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drawings/drawing29.xml" ContentType="application/vnd.openxmlformats-officedocument.drawing+xml"/>
  <Override PartName="/xl/comments20.xml" ContentType="application/vnd.openxmlformats-officedocument.spreadsheetml.comments+xml"/>
  <Override PartName="/xl/drawings/drawing30.xml" ContentType="application/vnd.openxmlformats-officedocument.drawing+xml"/>
  <Override PartName="/xl/comments21.xml" ContentType="application/vnd.openxmlformats-officedocument.spreadsheetml.comments+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drawings/drawing33.xml" ContentType="application/vnd.openxmlformats-officedocument.drawing+xml"/>
  <Override PartName="/xl/comments24.xml" ContentType="application/vnd.openxmlformats-officedocument.spreadsheetml.comments+xml"/>
  <Override PartName="/xl/drawings/drawing34.xml" ContentType="application/vnd.openxmlformats-officedocument.drawing+xml"/>
  <Override PartName="/xl/comments25.xml" ContentType="application/vnd.openxmlformats-officedocument.spreadsheetml.comments+xml"/>
  <Override PartName="/xl/drawings/drawing35.xml" ContentType="application/vnd.openxmlformats-officedocument.drawing+xml"/>
  <Override PartName="/xl/comments26.xml" ContentType="application/vnd.openxmlformats-officedocument.spreadsheetml.comments+xml"/>
  <Override PartName="/xl/drawings/drawing36.xml" ContentType="application/vnd.openxmlformats-officedocument.drawing+xml"/>
  <Override PartName="/xl/comments27.xml" ContentType="application/vnd.openxmlformats-officedocument.spreadsheetml.comments+xml"/>
  <Override PartName="/xl/drawings/drawing37.xml" ContentType="application/vnd.openxmlformats-officedocument.drawing+xml"/>
  <Override PartName="/xl/comments28.xml" ContentType="application/vnd.openxmlformats-officedocument.spreadsheetml.comments+xml"/>
  <Override PartName="/xl/drawings/drawing38.xml" ContentType="application/vnd.openxmlformats-officedocument.drawing+xml"/>
  <Override PartName="/xl/comments29.xml" ContentType="application/vnd.openxmlformats-officedocument.spreadsheetml.comments+xml"/>
  <Override PartName="/xl/drawings/drawing39.xml" ContentType="application/vnd.openxmlformats-officedocument.drawing+xml"/>
  <Override PartName="/xl/comments30.xml" ContentType="application/vnd.openxmlformats-officedocument.spreadsheetml.comments+xml"/>
  <Override PartName="/xl/drawings/drawing40.xml" ContentType="application/vnd.openxmlformats-officedocument.drawing+xml"/>
  <Override PartName="/xl/comments31.xml" ContentType="application/vnd.openxmlformats-officedocument.spreadsheetml.comments+xml"/>
  <Override PartName="/xl/drawings/drawing41.xml" ContentType="application/vnd.openxmlformats-officedocument.drawing+xml"/>
  <Override PartName="/xl/comments32.xml" ContentType="application/vnd.openxmlformats-officedocument.spreadsheetml.comments+xml"/>
  <Override PartName="/xl/drawings/drawing42.xml" ContentType="application/vnd.openxmlformats-officedocument.drawing+xml"/>
  <Override PartName="/xl/comments33.xml" ContentType="application/vnd.openxmlformats-officedocument.spreadsheetml.comments+xml"/>
  <Override PartName="/xl/drawings/drawing43.xml" ContentType="application/vnd.openxmlformats-officedocument.drawing+xml"/>
  <Override PartName="/xl/comments34.xml" ContentType="application/vnd.openxmlformats-officedocument.spreadsheetml.comments+xml"/>
  <Override PartName="/xl/drawings/drawing44.xml" ContentType="application/vnd.openxmlformats-officedocument.drawing+xml"/>
  <Override PartName="/xl/comments35.xml" ContentType="application/vnd.openxmlformats-officedocument.spreadsheetml.comments+xml"/>
  <Override PartName="/xl/drawings/drawing45.xml" ContentType="application/vnd.openxmlformats-officedocument.drawing+xml"/>
  <Override PartName="/xl/comments36.xml" ContentType="application/vnd.openxmlformats-officedocument.spreadsheetml.comments+xml"/>
  <Override PartName="/xl/drawings/drawing46.xml" ContentType="application/vnd.openxmlformats-officedocument.drawing+xml"/>
  <Override PartName="/xl/comments37.xml" ContentType="application/vnd.openxmlformats-officedocument.spreadsheetml.comments+xml"/>
  <Override PartName="/xl/drawings/drawing47.xml" ContentType="application/vnd.openxmlformats-officedocument.drawing+xml"/>
  <Override PartName="/xl/comments38.xml" ContentType="application/vnd.openxmlformats-officedocument.spreadsheetml.comments+xml"/>
  <Override PartName="/xl/drawings/drawing48.xml" ContentType="application/vnd.openxmlformats-officedocument.drawing+xml"/>
  <Override PartName="/xl/comments39.xml" ContentType="application/vnd.openxmlformats-officedocument.spreadsheetml.comments+xml"/>
  <Override PartName="/xl/drawings/drawing49.xml" ContentType="application/vnd.openxmlformats-officedocument.drawing+xml"/>
  <Override PartName="/xl/comments40.xml" ContentType="application/vnd.openxmlformats-officedocument.spreadsheetml.comments+xml"/>
  <Override PartName="/xl/drawings/drawing50.xml" ContentType="application/vnd.openxmlformats-officedocument.drawing+xml"/>
  <Override PartName="/xl/comments41.xml" ContentType="application/vnd.openxmlformats-officedocument.spreadsheetml.comments+xml"/>
  <Override PartName="/xl/drawings/drawing51.xml" ContentType="application/vnd.openxmlformats-officedocument.drawing+xml"/>
  <Override PartName="/xl/comments42.xml" ContentType="application/vnd.openxmlformats-officedocument.spreadsheetml.comments+xml"/>
  <Override PartName="/xl/drawings/drawing52.xml" ContentType="application/vnd.openxmlformats-officedocument.drawing+xml"/>
  <Override PartName="/xl/comments43.xml" ContentType="application/vnd.openxmlformats-officedocument.spreadsheetml.comments+xml"/>
  <Override PartName="/xl/drawings/drawing53.xml" ContentType="application/vnd.openxmlformats-officedocument.drawing+xml"/>
  <Override PartName="/xl/comments44.xml" ContentType="application/vnd.openxmlformats-officedocument.spreadsheetml.comments+xml"/>
  <Override PartName="/xl/drawings/drawing54.xml" ContentType="application/vnd.openxmlformats-officedocument.drawing+xml"/>
  <Override PartName="/xl/comments45.xml" ContentType="application/vnd.openxmlformats-officedocument.spreadsheetml.comments+xml"/>
  <Override PartName="/xl/drawings/drawing55.xml" ContentType="application/vnd.openxmlformats-officedocument.drawing+xml"/>
  <Override PartName="/xl/comments46.xml" ContentType="application/vnd.openxmlformats-officedocument.spreadsheetml.comments+xml"/>
  <Override PartName="/xl/drawings/drawing56.xml" ContentType="application/vnd.openxmlformats-officedocument.drawing+xml"/>
  <Override PartName="/xl/comments47.xml" ContentType="application/vnd.openxmlformats-officedocument.spreadsheetml.comments+xml"/>
  <Override PartName="/xl/drawings/drawing57.xml" ContentType="application/vnd.openxmlformats-officedocument.drawing+xml"/>
  <Override PartName="/xl/comments48.xml" ContentType="application/vnd.openxmlformats-officedocument.spreadsheetml.comments+xml"/>
  <Override PartName="/xl/drawings/drawing58.xml" ContentType="application/vnd.openxmlformats-officedocument.drawing+xml"/>
  <Override PartName="/xl/comments49.xml" ContentType="application/vnd.openxmlformats-officedocument.spreadsheetml.comments+xml"/>
  <Override PartName="/xl/drawings/drawing59.xml" ContentType="application/vnd.openxmlformats-officedocument.drawing+xml"/>
  <Override PartName="/xl/comments50.xml" ContentType="application/vnd.openxmlformats-officedocument.spreadsheetml.comments+xml"/>
  <Override PartName="/xl/drawings/drawing60.xml" ContentType="application/vnd.openxmlformats-officedocument.drawing+xml"/>
  <Override PartName="/xl/activeX/activeX13.xml" ContentType="application/vnd.ms-office.activeX+xml"/>
  <Override PartName="/xl/activeX/activeX13.bin" ContentType="application/vnd.ms-office.activeX"/>
  <Override PartName="/xl/comments51.xml" ContentType="application/vnd.openxmlformats-officedocument.spreadsheetml.comments+xml"/>
  <Override PartName="/xl/drawings/drawing61.xml" ContentType="application/vnd.openxmlformats-officedocument.drawing+xml"/>
  <Override PartName="/xl/comments52.xml" ContentType="application/vnd.openxmlformats-officedocument.spreadsheetml.comments+xml"/>
  <Override PartName="/xl/drawings/drawing62.xml" ContentType="application/vnd.openxmlformats-officedocument.drawing+xml"/>
  <Override PartName="/xl/comments53.xml" ContentType="application/vnd.openxmlformats-officedocument.spreadsheetml.comments+xml"/>
  <Override PartName="/xl/drawings/drawing63.xml" ContentType="application/vnd.openxmlformats-officedocument.drawing+xml"/>
  <Override PartName="/xl/comments54.xml" ContentType="application/vnd.openxmlformats-officedocument.spreadsheetml.comments+xml"/>
  <Override PartName="/xl/drawings/drawing64.xml" ContentType="application/vnd.openxmlformats-officedocument.drawing+xml"/>
  <Override PartName="/xl/comments55.xml" ContentType="application/vnd.openxmlformats-officedocument.spreadsheetml.comments+xml"/>
  <Override PartName="/xl/drawings/drawing65.xml" ContentType="application/vnd.openxmlformats-officedocument.drawing+xml"/>
  <Override PartName="/xl/comments56.xml" ContentType="application/vnd.openxmlformats-officedocument.spreadsheetml.comments+xml"/>
  <Override PartName="/xl/drawings/drawing66.xml" ContentType="application/vnd.openxmlformats-officedocument.drawing+xml"/>
  <Override PartName="/xl/comments57.xml" ContentType="application/vnd.openxmlformats-officedocument.spreadsheetml.comments+xml"/>
  <Override PartName="/xl/drawings/drawing67.xml" ContentType="application/vnd.openxmlformats-officedocument.drawing+xml"/>
  <Override PartName="/xl/comments58.xml" ContentType="application/vnd.openxmlformats-officedocument.spreadsheetml.comments+xml"/>
  <Override PartName="/xl/drawings/drawing68.xml" ContentType="application/vnd.openxmlformats-officedocument.drawing+xml"/>
  <Override PartName="/xl/comments59.xml" ContentType="application/vnd.openxmlformats-officedocument.spreadsheetml.comments+xml"/>
  <Override PartName="/xl/drawings/drawing69.xml" ContentType="application/vnd.openxmlformats-officedocument.drawing+xml"/>
  <Override PartName="/xl/comments60.xml" ContentType="application/vnd.openxmlformats-officedocument.spreadsheetml.comments+xml"/>
  <Override PartName="/xl/drawings/drawing70.xml" ContentType="application/vnd.openxmlformats-officedocument.drawing+xml"/>
  <Override PartName="/xl/comments61.xml" ContentType="application/vnd.openxmlformats-officedocument.spreadsheetml.comments+xml"/>
  <Override PartName="/xl/drawings/drawing71.xml" ContentType="application/vnd.openxmlformats-officedocument.drawing+xml"/>
  <Override PartName="/xl/comments6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8_{95BBCEDB-A9DF-4840-A49E-39D8A5DD288D}" xr6:coauthVersionLast="47" xr6:coauthVersionMax="47" xr10:uidLastSave="{00000000-0000-0000-0000-000000000000}"/>
  <bookViews>
    <workbookView xWindow="345" yWindow="360" windowWidth="28800" windowHeight="15435" tabRatio="815" firstSheet="39" activeTab="60"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r:id="rId18"/>
    <sheet name="Job Info." sheetId="13" r:id="rId19"/>
    <sheet name="C (1)" sheetId="187" r:id="rId20"/>
    <sheet name="C (2)" sheetId="188" r:id="rId21"/>
    <sheet name="P (1)" sheetId="196" r:id="rId22"/>
    <sheet name="N (1)" sheetId="182" r:id="rId23"/>
    <sheet name="L (1)" sheetId="178" r:id="rId24"/>
    <sheet name="L (2)" sheetId="179" r:id="rId25"/>
    <sheet name="L (3)" sheetId="180" r:id="rId26"/>
    <sheet name="L (4)" sheetId="181" r:id="rId27"/>
    <sheet name="L (5)" sheetId="197" r:id="rId28"/>
    <sheet name="L (6)" sheetId="198" r:id="rId29"/>
    <sheet name="L (7)" sheetId="199" r:id="rId30"/>
    <sheet name="L (8)" sheetId="200" r:id="rId31"/>
    <sheet name="L (9)" sheetId="201" r:id="rId32"/>
    <sheet name="L (10)" sheetId="202" r:id="rId33"/>
    <sheet name="L (11)" sheetId="203" r:id="rId34"/>
    <sheet name="L (12)" sheetId="204" r:id="rId35"/>
    <sheet name="L (13)" sheetId="205" r:id="rId36"/>
    <sheet name="L (14)" sheetId="206" r:id="rId37"/>
    <sheet name="L (15)" sheetId="207" r:id="rId38"/>
    <sheet name="L (16)" sheetId="208" r:id="rId39"/>
    <sheet name="L (17)" sheetId="209" r:id="rId40"/>
    <sheet name="L (18)" sheetId="210" r:id="rId41"/>
    <sheet name="L (19)" sheetId="211" r:id="rId42"/>
    <sheet name="L (20)" sheetId="212" r:id="rId43"/>
    <sheet name="L (21)" sheetId="213" r:id="rId44"/>
    <sheet name="L (22)" sheetId="214" r:id="rId45"/>
    <sheet name="L (23)" sheetId="215" r:id="rId46"/>
    <sheet name="L (24)" sheetId="216" r:id="rId47"/>
    <sheet name="L (25)" sheetId="217" r:id="rId48"/>
    <sheet name="L (26)" sheetId="218" r:id="rId49"/>
    <sheet name="L (27)" sheetId="219" r:id="rId50"/>
    <sheet name="L (28)" sheetId="220" r:id="rId51"/>
    <sheet name="L (29)" sheetId="221" r:id="rId52"/>
    <sheet name="L (30)" sheetId="222" r:id="rId53"/>
    <sheet name="L (31)" sheetId="223" r:id="rId54"/>
    <sheet name="L (32)" sheetId="224" r:id="rId55"/>
    <sheet name="L (33)" sheetId="225" r:id="rId56"/>
    <sheet name="L (34)" sheetId="226" r:id="rId57"/>
    <sheet name="L (35)" sheetId="227" r:id="rId58"/>
    <sheet name="L (36)" sheetId="228" r:id="rId59"/>
    <sheet name="L (37)" sheetId="229" r:id="rId60"/>
    <sheet name="L (38)" sheetId="230" r:id="rId61"/>
    <sheet name="K (1)" sheetId="170" r:id="rId62"/>
    <sheet name="S (1)" sheetId="171" r:id="rId63"/>
    <sheet name="S (2)" sheetId="172" r:id="rId64"/>
    <sheet name="S (3)" sheetId="173" r:id="rId65"/>
    <sheet name="S (4)" sheetId="174" r:id="rId66"/>
    <sheet name="S (5)" sheetId="175" r:id="rId67"/>
    <sheet name="S (6)" sheetId="176" r:id="rId68"/>
    <sheet name="S (7)" sheetId="177" r:id="rId69"/>
    <sheet name="G (1)" sheetId="183" r:id="rId70"/>
    <sheet name="G (2)" sheetId="184" r:id="rId71"/>
    <sheet name="G (3)" sheetId="185" r:id="rId72"/>
    <sheet name="G (4)" sheetId="186" r:id="rId73"/>
  </sheets>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comment="Lists all the options for joist, girder, and bridging paint/finishes." localSheetId="19">tblFinishList[Finish Types]</definedName>
    <definedName name="masterFinishList" comment="Lists all the options for joist, girder, and bridging paint/finishes." localSheetId="20">tblFinishList[Finish Types]</definedName>
    <definedName name="masterFinishList" localSheetId="69">tblFinishList[Finish Types]</definedName>
    <definedName name="masterFinishList" localSheetId="70">tblFinishList[Finish Types]</definedName>
    <definedName name="masterFinishList" localSheetId="71">tblFinishList[Finish Types]</definedName>
    <definedName name="masterFinishList" localSheetId="72">tblFinishList[Finish Types]</definedName>
    <definedName name="masterFinishList" comment="Lists all the options for joist, girder, and bridging paint/finishes." localSheetId="61">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 localSheetId="35">tblFinishList[Finish Types]</definedName>
    <definedName name="masterFinishList" comment="Lists all the options for joist, girder, and bridging paint/finishes." localSheetId="36">tblFinishList[Finish Types]</definedName>
    <definedName name="masterFinishList" comment="Lists all the options for joist, girder, and bridging paint/finishes." localSheetId="37">tblFinishList[Finish Types]</definedName>
    <definedName name="masterFinishList" comment="Lists all the options for joist, girder, and bridging paint/finishes." localSheetId="38">tblFinishList[Finish Types]</definedName>
    <definedName name="masterFinishList" comment="Lists all the options for joist, girder, and bridging paint/finishes." localSheetId="39">tblFinishList[Finish Types]</definedName>
    <definedName name="masterFinishList" comment="Lists all the options for joist, girder, and bridging paint/finishes." localSheetId="40">tblFinishList[Finish Types]</definedName>
    <definedName name="masterFinishList" comment="Lists all the options for joist, girder, and bridging paint/finishes." localSheetId="41">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42">tblFinishList[Finish Types]</definedName>
    <definedName name="masterFinishList" comment="Lists all the options for joist, girder, and bridging paint/finishes." localSheetId="43">tblFinishList[Finish Types]</definedName>
    <definedName name="masterFinishList" comment="Lists all the options for joist, girder, and bridging paint/finishes." localSheetId="44">tblFinishList[Finish Types]</definedName>
    <definedName name="masterFinishList" comment="Lists all the options for joist, girder, and bridging paint/finishes." localSheetId="45">tblFinishList[Finish Types]</definedName>
    <definedName name="masterFinishList" comment="Lists all the options for joist, girder, and bridging paint/finishes." localSheetId="46">tblFinishList[Finish Types]</definedName>
    <definedName name="masterFinishList" comment="Lists all the options for joist, girder, and bridging paint/finishes." localSheetId="47">tblFinishList[Finish Types]</definedName>
    <definedName name="masterFinishList" comment="Lists all the options for joist, girder, and bridging paint/finishes." localSheetId="48">tblFinishList[Finish Types]</definedName>
    <definedName name="masterFinishList" comment="Lists all the options for joist, girder, and bridging paint/finishes." localSheetId="49">tblFinishList[Finish Types]</definedName>
    <definedName name="masterFinishList" comment="Lists all the options for joist, girder, and bridging paint/finishes." localSheetId="50">tblFinishList[Finish Types]</definedName>
    <definedName name="masterFinishList" comment="Lists all the options for joist, girder, and bridging paint/finishes." localSheetId="51">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52">tblFinishList[Finish Types]</definedName>
    <definedName name="masterFinishList" comment="Lists all the options for joist, girder, and bridging paint/finishes." localSheetId="53">tblFinishList[Finish Types]</definedName>
    <definedName name="masterFinishList" comment="Lists all the options for joist, girder, and bridging paint/finishes." localSheetId="54">tblFinishList[Finish Types]</definedName>
    <definedName name="masterFinishList" comment="Lists all the options for joist, girder, and bridging paint/finishes." localSheetId="55">tblFinishList[Finish Types]</definedName>
    <definedName name="masterFinishList" comment="Lists all the options for joist, girder, and bridging paint/finishes." localSheetId="56">tblFinishList[Finish Types]</definedName>
    <definedName name="masterFinishList" comment="Lists all the options for joist, girder, and bridging paint/finishes." localSheetId="57">tblFinishList[Finish Types]</definedName>
    <definedName name="masterFinishList" comment="Lists all the options for joist, girder, and bridging paint/finishes." localSheetId="58">tblFinishList[Finish Types]</definedName>
    <definedName name="masterFinishList" comment="Lists all the options for joist, girder, and bridging paint/finishes." localSheetId="59">tblFinishList[Finish Types]</definedName>
    <definedName name="masterFinishList" comment="Lists all the options for joist, girder, and bridging paint/finishes." localSheetId="60">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62">tblFinishList[Finish Types]</definedName>
    <definedName name="masterFinishList" comment="Lists all the options for joist, girder, and bridging paint/finishes." localSheetId="63">tblFinishList[Finish Types]</definedName>
    <definedName name="masterFinishList" comment="Lists all the options for joist, girder, and bridging paint/finishes." localSheetId="64">tblFinishList[Finish Types]</definedName>
    <definedName name="masterFinishList" comment="Lists all the options for joist, girder, and bridging paint/finishes." localSheetId="65">tblFinishList[Finish Types]</definedName>
    <definedName name="masterFinishList" comment="Lists all the options for joist, girder, and bridging paint/finishes." localSheetId="66">tblFinishList[Finish Types]</definedName>
    <definedName name="masterFinishList" comment="Lists all the options for joist, girder, and bridging paint/finishes." localSheetId="67">tblFinishList[Finish Types]</definedName>
    <definedName name="masterFinishList" comment="Lists all the options for joist, girder, and bridging paint/finishes." localSheetId="68">tblFinishList[Finish Types]</definedName>
    <definedName name="masterFinishList" comment="Lists all the options for joist, girder, and bridging paint/finishes.">tblFinishList[Finish Types]</definedName>
    <definedName name="Pos" localSheetId="23">'L (1)'!$BF$14:$BS$14</definedName>
    <definedName name="Pos" localSheetId="32">'L (10)'!$BF$14:$BS$14</definedName>
    <definedName name="Pos" localSheetId="33">'L (11)'!$BF$14:$BS$14</definedName>
    <definedName name="Pos" localSheetId="34">'L (12)'!$BF$14:$BS$14</definedName>
    <definedName name="Pos" localSheetId="35">'L (13)'!$BF$14:$BS$14</definedName>
    <definedName name="Pos" localSheetId="36">'L (14)'!$BF$14:$BS$14</definedName>
    <definedName name="Pos" localSheetId="37">'L (15)'!$BF$14:$BS$14</definedName>
    <definedName name="Pos" localSheetId="38">'L (16)'!$BF$14:$BS$14</definedName>
    <definedName name="Pos" localSheetId="39">'L (17)'!$BF$14:$BS$14</definedName>
    <definedName name="Pos" localSheetId="40">'L (18)'!$BF$14:$BS$14</definedName>
    <definedName name="Pos" localSheetId="41">'L (19)'!$BF$14:$BS$14</definedName>
    <definedName name="Pos" localSheetId="24">'L (2)'!$BF$14:$BS$14</definedName>
    <definedName name="Pos" localSheetId="42">'L (20)'!$BF$14:$BS$14</definedName>
    <definedName name="Pos" localSheetId="43">'L (21)'!$BF$14:$BS$14</definedName>
    <definedName name="Pos" localSheetId="44">'L (22)'!$BF$14:$BS$14</definedName>
    <definedName name="Pos" localSheetId="45">'L (23)'!$BF$14:$BS$14</definedName>
    <definedName name="Pos" localSheetId="46">'L (24)'!$BF$14:$BS$14</definedName>
    <definedName name="Pos" localSheetId="47">'L (25)'!$BF$14:$BS$14</definedName>
    <definedName name="Pos" localSheetId="48">'L (26)'!$BF$14:$BS$14</definedName>
    <definedName name="Pos" localSheetId="49">'L (27)'!$BF$14:$BS$14</definedName>
    <definedName name="Pos" localSheetId="50">'L (28)'!$BF$14:$BS$14</definedName>
    <definedName name="Pos" localSheetId="51">'L (29)'!$BF$14:$BS$14</definedName>
    <definedName name="Pos" localSheetId="25">'L (3)'!$BF$14:$BS$14</definedName>
    <definedName name="Pos" localSheetId="52">'L (30)'!$BF$14:$BS$14</definedName>
    <definedName name="Pos" localSheetId="53">'L (31)'!$BF$14:$BS$14</definedName>
    <definedName name="Pos" localSheetId="54">'L (32)'!$BF$14:$BS$14</definedName>
    <definedName name="Pos" localSheetId="55">'L (33)'!$BF$14:$BS$14</definedName>
    <definedName name="Pos" localSheetId="56">'L (34)'!$BF$14:$BS$14</definedName>
    <definedName name="Pos" localSheetId="57">'L (35)'!$BF$14:$BS$14</definedName>
    <definedName name="Pos" localSheetId="58">'L (36)'!$BF$14:$BS$14</definedName>
    <definedName name="Pos" localSheetId="59">'L (37)'!$BF$14:$BS$14</definedName>
    <definedName name="Pos" localSheetId="60">'L (38)'!$BF$14:$BS$14</definedName>
    <definedName name="Pos" localSheetId="26">'L (4)'!$BF$14:$BS$14</definedName>
    <definedName name="Pos" localSheetId="27">'L (5)'!$BF$14:$BS$14</definedName>
    <definedName name="Pos" localSheetId="28">'L (6)'!$BF$14:$BS$14</definedName>
    <definedName name="Pos" localSheetId="29">'L (7)'!$BF$14:$BS$14</definedName>
    <definedName name="Pos" localSheetId="30">'L (8)'!$BF$14:$BS$14</definedName>
    <definedName name="Pos" localSheetId="31">'L (9)'!$BF$14:$BS$14</definedName>
    <definedName name="Pos">L_A!$BF$14:$BS$14</definedName>
    <definedName name="_xlnm.Print_Area" localSheetId="14">B_A!$A$1:$P$42</definedName>
    <definedName name="_xlnm.Print_Area" localSheetId="15">B_B!$A$1:$P$42</definedName>
    <definedName name="_xlnm.Print_Area" localSheetId="19">'C (1)'!$A$1:$H$47</definedName>
    <definedName name="_xlnm.Print_Area" localSheetId="20">'C (2)'!$A$1:$H$47</definedName>
    <definedName name="_xlnm.Print_Area" localSheetId="3">C_A!$A$1:$H$47</definedName>
    <definedName name="_xlnm.Print_Area" localSheetId="16">'Discrepancy Check'!$A$1:$AB$54</definedName>
    <definedName name="_xlnm.Print_Area" localSheetId="69">'G (1)'!$CB$1:$DE$45,'G (1)'!$DH$1:$EU$45</definedName>
    <definedName name="_xlnm.Print_Area" localSheetId="70">'G (2)'!$A$1:$BG$45</definedName>
    <definedName name="_xlnm.Print_Area" localSheetId="71">'G (3)'!$A$1:$BG$45</definedName>
    <definedName name="_xlnm.Print_Area" localSheetId="72">'G (4)'!$A$1:$BG$45</definedName>
    <definedName name="_xlnm.Print_Area" localSheetId="10">G_A!$CB$1:$DE$45,G_A!$DH$1:$EU$45</definedName>
    <definedName name="_xlnm.Print_Area" localSheetId="11">G_B!$A$1:$BG$45</definedName>
    <definedName name="_xlnm.Print_Area" localSheetId="12">J_A!$A$1:$AA$40</definedName>
    <definedName name="_xlnm.Print_Area" localSheetId="13">J_B!$A$1:$AA$45</definedName>
    <definedName name="_xlnm.Print_Area" localSheetId="18">'Job Info.'!$A$1:$F$50</definedName>
    <definedName name="_xlnm.Print_Area" localSheetId="61">'K (1)'!$A$1:$N$49</definedName>
    <definedName name="_xlnm.Print_Area" localSheetId="8">K_A!$A$1:$N$49</definedName>
    <definedName name="_xlnm.Print_Area" localSheetId="23">'L (1)'!$A$1:$N$55</definedName>
    <definedName name="_xlnm.Print_Area" localSheetId="32">'L (10)'!$A$1:$N$55</definedName>
    <definedName name="_xlnm.Print_Area" localSheetId="33">'L (11)'!$A$1:$N$55</definedName>
    <definedName name="_xlnm.Print_Area" localSheetId="34">'L (12)'!$A$1:$N$55</definedName>
    <definedName name="_xlnm.Print_Area" localSheetId="35">'L (13)'!$A$1:$N$55</definedName>
    <definedName name="_xlnm.Print_Area" localSheetId="36">'L (14)'!$A$1:$N$55</definedName>
    <definedName name="_xlnm.Print_Area" localSheetId="37">'L (15)'!$A$1:$N$55</definedName>
    <definedName name="_xlnm.Print_Area" localSheetId="38">'L (16)'!$A$1:$N$55</definedName>
    <definedName name="_xlnm.Print_Area" localSheetId="39">'L (17)'!$A$1:$N$55</definedName>
    <definedName name="_xlnm.Print_Area" localSheetId="40">'L (18)'!$A$1:$N$55</definedName>
    <definedName name="_xlnm.Print_Area" localSheetId="41">'L (19)'!$A$1:$N$55</definedName>
    <definedName name="_xlnm.Print_Area" localSheetId="24">'L (2)'!$A$1:$N$55</definedName>
    <definedName name="_xlnm.Print_Area" localSheetId="42">'L (20)'!$A$1:$N$55</definedName>
    <definedName name="_xlnm.Print_Area" localSheetId="43">'L (21)'!$A$1:$N$55</definedName>
    <definedName name="_xlnm.Print_Area" localSheetId="44">'L (22)'!$A$1:$N$55</definedName>
    <definedName name="_xlnm.Print_Area" localSheetId="45">'L (23)'!$A$1:$N$55</definedName>
    <definedName name="_xlnm.Print_Area" localSheetId="46">'L (24)'!$A$1:$N$55</definedName>
    <definedName name="_xlnm.Print_Area" localSheetId="47">'L (25)'!$A$1:$N$55</definedName>
    <definedName name="_xlnm.Print_Area" localSheetId="48">'L (26)'!$A$1:$N$55</definedName>
    <definedName name="_xlnm.Print_Area" localSheetId="49">'L (27)'!$A$1:$N$55</definedName>
    <definedName name="_xlnm.Print_Area" localSheetId="50">'L (28)'!$A$1:$N$55</definedName>
    <definedName name="_xlnm.Print_Area" localSheetId="51">'L (29)'!$A$1:$N$55</definedName>
    <definedName name="_xlnm.Print_Area" localSheetId="25">'L (3)'!$A$1:$N$55</definedName>
    <definedName name="_xlnm.Print_Area" localSheetId="52">'L (30)'!$A$1:$N$55</definedName>
    <definedName name="_xlnm.Print_Area" localSheetId="53">'L (31)'!$A$1:$N$55</definedName>
    <definedName name="_xlnm.Print_Area" localSheetId="54">'L (32)'!$A$1:$N$55</definedName>
    <definedName name="_xlnm.Print_Area" localSheetId="55">'L (33)'!$A$1:$N$55</definedName>
    <definedName name="_xlnm.Print_Area" localSheetId="56">'L (34)'!$A$1:$N$55</definedName>
    <definedName name="_xlnm.Print_Area" localSheetId="57">'L (35)'!$A$1:$N$55</definedName>
    <definedName name="_xlnm.Print_Area" localSheetId="58">'L (36)'!$A$1:$N$55</definedName>
    <definedName name="_xlnm.Print_Area" localSheetId="59">'L (37)'!$A$1:$N$55</definedName>
    <definedName name="_xlnm.Print_Area" localSheetId="60">'L (38)'!$A$1:$N$55</definedName>
    <definedName name="_xlnm.Print_Area" localSheetId="26">'L (4)'!$A$1:$N$55</definedName>
    <definedName name="_xlnm.Print_Area" localSheetId="27">'L (5)'!$A$1:$N$55</definedName>
    <definedName name="_xlnm.Print_Area" localSheetId="28">'L (6)'!$A$1:$N$55</definedName>
    <definedName name="_xlnm.Print_Area" localSheetId="29">'L (7)'!$A$1:$N$55</definedName>
    <definedName name="_xlnm.Print_Area" localSheetId="30">'L (8)'!$A$1:$N$55</definedName>
    <definedName name="_xlnm.Print_Area" localSheetId="31">'L (9)'!$A$1:$N$55</definedName>
    <definedName name="_xlnm.Print_Area" localSheetId="6">L_A!$A$1:$N$55</definedName>
    <definedName name="_xlnm.Print_Area" localSheetId="22">'N (1)'!$A$1:$J$51</definedName>
    <definedName name="_xlnm.Print_Area" localSheetId="7">N_A!$A$1:$J$51</definedName>
    <definedName name="_xlnm.Print_Area" localSheetId="21">'P (1)'!$A$1:$J$51</definedName>
    <definedName name="_xlnm.Print_Area" localSheetId="4">P_A!$A$1:$H$47</definedName>
    <definedName name="_xlnm.Print_Area" localSheetId="5">P_B!$A$1:$J$51</definedName>
    <definedName name="_xlnm.Print_Area" localSheetId="62">'S (1)'!$A$1:$P$50</definedName>
    <definedName name="_xlnm.Print_Area" localSheetId="63">'S (2)'!$A$1:$P$50</definedName>
    <definedName name="_xlnm.Print_Area" localSheetId="64">'S (3)'!$A$1:$P$50</definedName>
    <definedName name="_xlnm.Print_Area" localSheetId="65">'S (4)'!$A$1:$P$50</definedName>
    <definedName name="_xlnm.Print_Area" localSheetId="66">'S (5)'!$A$1:$P$50</definedName>
    <definedName name="_xlnm.Print_Area" localSheetId="67">'S (6)'!$A$1:$P$50</definedName>
    <definedName name="_xlnm.Print_Area" localSheetId="68">'S (7)'!$A$1:$P$50</definedName>
    <definedName name="_xlnm.Print_Area" localSheetId="9">S_A!$A$1:$P$50</definedName>
    <definedName name="_xlnm.Print_Area" localSheetId="17">SectInfo!$A$1:$T$64</definedName>
    <definedName name="_xlnm.Print_Titles" localSheetId="12">J_A!$BB:$BB</definedName>
    <definedName name="_xlnm.Print_Titles" localSheetId="17">SectInfo!$1:$2</definedName>
    <definedName name="Type" localSheetId="23">'L (1)'!$BF$15:$BU$15</definedName>
    <definedName name="Type" localSheetId="32">'L (10)'!$BF$15:$BU$15</definedName>
    <definedName name="Type" localSheetId="33">'L (11)'!$BF$15:$BU$15</definedName>
    <definedName name="Type" localSheetId="34">'L (12)'!$BF$15:$BU$15</definedName>
    <definedName name="Type" localSheetId="35">'L (13)'!$BF$15:$BU$15</definedName>
    <definedName name="Type" localSheetId="36">'L (14)'!$BF$15:$BU$15</definedName>
    <definedName name="Type" localSheetId="37">'L (15)'!$BF$15:$BU$15</definedName>
    <definedName name="Type" localSheetId="38">'L (16)'!$BF$15:$BU$15</definedName>
    <definedName name="Type" localSheetId="39">'L (17)'!$BF$15:$BU$15</definedName>
    <definedName name="Type" localSheetId="40">'L (18)'!$BF$15:$BU$15</definedName>
    <definedName name="Type" localSheetId="41">'L (19)'!$BF$15:$BU$15</definedName>
    <definedName name="Type" localSheetId="24">'L (2)'!$BF$15:$BU$15</definedName>
    <definedName name="Type" localSheetId="42">'L (20)'!$BF$15:$BU$15</definedName>
    <definedName name="Type" localSheetId="43">'L (21)'!$BF$15:$BU$15</definedName>
    <definedName name="Type" localSheetId="44">'L (22)'!$BF$15:$BU$15</definedName>
    <definedName name="Type" localSheetId="45">'L (23)'!$BF$15:$BU$15</definedName>
    <definedName name="Type" localSheetId="46">'L (24)'!$BF$15:$BU$15</definedName>
    <definedName name="Type" localSheetId="47">'L (25)'!$BF$15:$BU$15</definedName>
    <definedName name="Type" localSheetId="48">'L (26)'!$BF$15:$BU$15</definedName>
    <definedName name="Type" localSheetId="49">'L (27)'!$BF$15:$BU$15</definedName>
    <definedName name="Type" localSheetId="50">'L (28)'!$BF$15:$BU$15</definedName>
    <definedName name="Type" localSheetId="51">'L (29)'!$BF$15:$BU$15</definedName>
    <definedName name="Type" localSheetId="25">'L (3)'!$BF$15:$BU$15</definedName>
    <definedName name="Type" localSheetId="52">'L (30)'!$BF$15:$BU$15</definedName>
    <definedName name="Type" localSheetId="53">'L (31)'!$BF$15:$BU$15</definedName>
    <definedName name="Type" localSheetId="54">'L (32)'!$BF$15:$BU$15</definedName>
    <definedName name="Type" localSheetId="55">'L (33)'!$BF$15:$BU$15</definedName>
    <definedName name="Type" localSheetId="56">'L (34)'!$BF$15:$BU$15</definedName>
    <definedName name="Type" localSheetId="57">'L (35)'!$BF$15:$BU$15</definedName>
    <definedName name="Type" localSheetId="58">'L (36)'!$BF$15:$BU$15</definedName>
    <definedName name="Type" localSheetId="59">'L (37)'!$BF$15:$BU$15</definedName>
    <definedName name="Type" localSheetId="60">'L (38)'!$BF$15:$BU$15</definedName>
    <definedName name="Type" localSheetId="26">'L (4)'!$BF$15:$BU$15</definedName>
    <definedName name="Type" localSheetId="27">'L (5)'!$BF$15:$BU$15</definedName>
    <definedName name="Type" localSheetId="28">'L (6)'!$BF$15:$BU$15</definedName>
    <definedName name="Type" localSheetId="29">'L (7)'!$BF$15:$BU$15</definedName>
    <definedName name="Type" localSheetId="30">'L (8)'!$BF$15:$BU$15</definedName>
    <definedName name="Type" localSheetId="31">'L (9)'!$BF$15:$BU$15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5" i="230" l="1"/>
  <c r="R54" i="230"/>
  <c r="R53" i="230"/>
  <c r="R52" i="230"/>
  <c r="R51" i="230"/>
  <c r="R50" i="230"/>
  <c r="R49" i="230"/>
  <c r="R48" i="230"/>
  <c r="R47" i="230"/>
  <c r="R46" i="230"/>
  <c r="R45" i="230"/>
  <c r="R44" i="230"/>
  <c r="R43" i="230"/>
  <c r="R42" i="230"/>
  <c r="R41" i="230"/>
  <c r="R40" i="230"/>
  <c r="R39" i="230"/>
  <c r="R38" i="230"/>
  <c r="R37" i="230"/>
  <c r="R36" i="230"/>
  <c r="R35" i="230"/>
  <c r="R34" i="230"/>
  <c r="R33" i="230"/>
  <c r="R32" i="230"/>
  <c r="R31" i="230"/>
  <c r="CC30" i="230"/>
  <c r="CB30" i="230"/>
  <c r="CA30" i="230"/>
  <c r="BZ30" i="230"/>
  <c r="BY30" i="230"/>
  <c r="BX30" i="230"/>
  <c r="BW30" i="230"/>
  <c r="BV30" i="230"/>
  <c r="BU30" i="230"/>
  <c r="BT30" i="230"/>
  <c r="BS30" i="230"/>
  <c r="BR30" i="230"/>
  <c r="BQ30" i="230"/>
  <c r="BP30" i="230"/>
  <c r="BO30" i="230"/>
  <c r="BN30" i="230"/>
  <c r="BM30" i="230"/>
  <c r="BL30" i="230"/>
  <c r="BK30" i="230"/>
  <c r="BJ30" i="230"/>
  <c r="BI30" i="230"/>
  <c r="BH30" i="230"/>
  <c r="BG30" i="230"/>
  <c r="BF30" i="230"/>
  <c r="R30" i="230"/>
  <c r="R29" i="230"/>
  <c r="R28" i="230"/>
  <c r="R27" i="230"/>
  <c r="R26" i="230"/>
  <c r="R25" i="230"/>
  <c r="R24" i="230"/>
  <c r="R23" i="230"/>
  <c r="R22" i="230"/>
  <c r="R21" i="230"/>
  <c r="R20" i="230"/>
  <c r="R19" i="230"/>
  <c r="R18" i="230"/>
  <c r="R17" i="230"/>
  <c r="R16" i="230"/>
  <c r="R15" i="230"/>
  <c r="AO14" i="230"/>
  <c r="AO15" i="230" s="1"/>
  <c r="R14" i="230"/>
  <c r="N10" i="230"/>
  <c r="K10" i="230"/>
  <c r="B10" i="230"/>
  <c r="K9" i="230"/>
  <c r="B9" i="230"/>
  <c r="N7" i="230"/>
  <c r="N6" i="230"/>
  <c r="T1" i="230"/>
  <c r="S1" i="230"/>
  <c r="I4" i="230" s="1"/>
  <c r="I1" i="230"/>
  <c r="R55" i="229"/>
  <c r="R54" i="229"/>
  <c r="R53" i="229"/>
  <c r="R52" i="229"/>
  <c r="R51" i="229"/>
  <c r="R50" i="229"/>
  <c r="R49" i="229"/>
  <c r="R48" i="229"/>
  <c r="R47" i="229"/>
  <c r="R46" i="229"/>
  <c r="R45" i="229"/>
  <c r="R44" i="229"/>
  <c r="R43" i="229"/>
  <c r="R42" i="229"/>
  <c r="R41" i="229"/>
  <c r="R40" i="229"/>
  <c r="R39" i="229"/>
  <c r="R38" i="229"/>
  <c r="R37" i="229"/>
  <c r="R36" i="229"/>
  <c r="R35" i="229"/>
  <c r="R34" i="229"/>
  <c r="R33" i="229"/>
  <c r="R32" i="229"/>
  <c r="R31" i="229"/>
  <c r="CC30" i="229"/>
  <c r="CB30" i="229"/>
  <c r="CA30" i="229"/>
  <c r="BZ30" i="229"/>
  <c r="BY30" i="229"/>
  <c r="BX30" i="229"/>
  <c r="BW30" i="229"/>
  <c r="BV30" i="229"/>
  <c r="BU30" i="229"/>
  <c r="BT30" i="229"/>
  <c r="BS30" i="229"/>
  <c r="BR30" i="229"/>
  <c r="BQ30" i="229"/>
  <c r="BP30" i="229"/>
  <c r="BO30" i="229"/>
  <c r="BN30" i="229"/>
  <c r="BM30" i="229"/>
  <c r="BL30" i="229"/>
  <c r="BK30" i="229"/>
  <c r="BJ30" i="229"/>
  <c r="BI30" i="229"/>
  <c r="BH30" i="229"/>
  <c r="BG30" i="229"/>
  <c r="BF30" i="229"/>
  <c r="R30" i="229"/>
  <c r="R29" i="229"/>
  <c r="R28" i="229"/>
  <c r="R27" i="229"/>
  <c r="R26" i="229"/>
  <c r="R25" i="229"/>
  <c r="R24" i="229"/>
  <c r="R23" i="229"/>
  <c r="R22" i="229"/>
  <c r="R21" i="229"/>
  <c r="R20" i="229"/>
  <c r="R19" i="229"/>
  <c r="R18" i="229"/>
  <c r="R17" i="229"/>
  <c r="R16" i="229"/>
  <c r="R15" i="229"/>
  <c r="AO14" i="229"/>
  <c r="AO15" i="229" s="1"/>
  <c r="R14" i="229"/>
  <c r="N10" i="229"/>
  <c r="K10" i="229"/>
  <c r="B10" i="229"/>
  <c r="K9" i="229"/>
  <c r="B9" i="229"/>
  <c r="N7" i="229"/>
  <c r="N6" i="229"/>
  <c r="T1" i="229"/>
  <c r="S1" i="229"/>
  <c r="I4" i="229" s="1"/>
  <c r="I1" i="229"/>
  <c r="R55" i="228"/>
  <c r="R54" i="228"/>
  <c r="R53" i="228"/>
  <c r="R52" i="228"/>
  <c r="R51" i="228"/>
  <c r="R50" i="228"/>
  <c r="R49" i="228"/>
  <c r="R48" i="228"/>
  <c r="R47" i="228"/>
  <c r="R46" i="228"/>
  <c r="R45" i="228"/>
  <c r="R44" i="228"/>
  <c r="R43" i="228"/>
  <c r="R42" i="228"/>
  <c r="R41" i="228"/>
  <c r="R40" i="228"/>
  <c r="R39" i="228"/>
  <c r="R38" i="228"/>
  <c r="R37" i="228"/>
  <c r="R36" i="228"/>
  <c r="R35" i="228"/>
  <c r="R34" i="228"/>
  <c r="R33" i="228"/>
  <c r="R32" i="228"/>
  <c r="R31" i="228"/>
  <c r="CC30" i="228"/>
  <c r="CB30" i="228"/>
  <c r="CA30" i="228"/>
  <c r="BZ30" i="228"/>
  <c r="BY30" i="228"/>
  <c r="BX30" i="228"/>
  <c r="BW30" i="228"/>
  <c r="BV30" i="228"/>
  <c r="BU30" i="228"/>
  <c r="BT30" i="228"/>
  <c r="BS30" i="228"/>
  <c r="BR30" i="228"/>
  <c r="BQ30" i="228"/>
  <c r="BP30" i="228"/>
  <c r="BO30" i="228"/>
  <c r="BN30" i="228"/>
  <c r="BM30" i="228"/>
  <c r="BL30" i="228"/>
  <c r="BK30" i="228"/>
  <c r="BJ30" i="228"/>
  <c r="BI30" i="228"/>
  <c r="BH30" i="228"/>
  <c r="BG30" i="228"/>
  <c r="BF30" i="228"/>
  <c r="R30" i="228"/>
  <c r="R29" i="228"/>
  <c r="R28" i="228"/>
  <c r="R27" i="228"/>
  <c r="R26" i="228"/>
  <c r="R25" i="228"/>
  <c r="R24" i="228"/>
  <c r="R23" i="228"/>
  <c r="R22" i="228"/>
  <c r="R21" i="228"/>
  <c r="R20" i="228"/>
  <c r="R19" i="228"/>
  <c r="R18" i="228"/>
  <c r="R17" i="228"/>
  <c r="R16" i="228"/>
  <c r="R15" i="228"/>
  <c r="AO14" i="228"/>
  <c r="AO15" i="228" s="1"/>
  <c r="R14" i="228"/>
  <c r="N10" i="228"/>
  <c r="K10" i="228"/>
  <c r="B10" i="228"/>
  <c r="K9" i="228"/>
  <c r="B9" i="228"/>
  <c r="N7" i="228"/>
  <c r="N6" i="228"/>
  <c r="I2" i="228"/>
  <c r="T1" i="228"/>
  <c r="S1" i="228"/>
  <c r="I4" i="228" s="1"/>
  <c r="I1" i="228"/>
  <c r="R55" i="227"/>
  <c r="R54" i="227"/>
  <c r="R53" i="227"/>
  <c r="R52" i="227"/>
  <c r="R51" i="227"/>
  <c r="R50" i="227"/>
  <c r="R49" i="227"/>
  <c r="R48" i="227"/>
  <c r="R47" i="227"/>
  <c r="R46" i="227"/>
  <c r="R45" i="227"/>
  <c r="R44" i="227"/>
  <c r="R43" i="227"/>
  <c r="R42" i="227"/>
  <c r="R41" i="227"/>
  <c r="R40" i="227"/>
  <c r="R39" i="227"/>
  <c r="R38" i="227"/>
  <c r="R37" i="227"/>
  <c r="R36" i="227"/>
  <c r="R35" i="227"/>
  <c r="R34" i="227"/>
  <c r="R33" i="227"/>
  <c r="R32" i="227"/>
  <c r="R31" i="227"/>
  <c r="CC30" i="227"/>
  <c r="CB30" i="227"/>
  <c r="CA30" i="227"/>
  <c r="BZ30" i="227"/>
  <c r="BY30" i="227"/>
  <c r="BX30" i="227"/>
  <c r="BW30" i="227"/>
  <c r="BV30" i="227"/>
  <c r="BU30" i="227"/>
  <c r="BT30" i="227"/>
  <c r="BS30" i="227"/>
  <c r="BR30" i="227"/>
  <c r="BQ30" i="227"/>
  <c r="BP30" i="227"/>
  <c r="BO30" i="227"/>
  <c r="BN30" i="227"/>
  <c r="BM30" i="227"/>
  <c r="BL30" i="227"/>
  <c r="BK30" i="227"/>
  <c r="BJ30" i="227"/>
  <c r="BI30" i="227"/>
  <c r="BH30" i="227"/>
  <c r="BG30" i="227"/>
  <c r="BF30" i="227"/>
  <c r="R30" i="227"/>
  <c r="R29" i="227"/>
  <c r="R28" i="227"/>
  <c r="R27" i="227"/>
  <c r="R26" i="227"/>
  <c r="R25" i="227"/>
  <c r="R24" i="227"/>
  <c r="R23" i="227"/>
  <c r="R22" i="227"/>
  <c r="R21" i="227"/>
  <c r="R20" i="227"/>
  <c r="R19" i="227"/>
  <c r="R18" i="227"/>
  <c r="R17" i="227"/>
  <c r="R16" i="227"/>
  <c r="R15" i="227"/>
  <c r="AO14" i="227"/>
  <c r="AO15" i="227" s="1"/>
  <c r="R14" i="227"/>
  <c r="N10" i="227"/>
  <c r="K10" i="227"/>
  <c r="B10" i="227"/>
  <c r="K9" i="227"/>
  <c r="B9" i="227"/>
  <c r="N7" i="227"/>
  <c r="N6" i="227"/>
  <c r="I4" i="227"/>
  <c r="T1" i="227"/>
  <c r="S1" i="227"/>
  <c r="I2" i="227" s="1"/>
  <c r="R55" i="226"/>
  <c r="R54" i="226"/>
  <c r="R53" i="226"/>
  <c r="R52" i="226"/>
  <c r="R51" i="226"/>
  <c r="R50" i="226"/>
  <c r="R49" i="226"/>
  <c r="R48" i="226"/>
  <c r="R47" i="226"/>
  <c r="R46" i="226"/>
  <c r="R45" i="226"/>
  <c r="R44" i="226"/>
  <c r="R43" i="226"/>
  <c r="R42" i="226"/>
  <c r="R41" i="226"/>
  <c r="R40" i="226"/>
  <c r="R39" i="226"/>
  <c r="R38" i="226"/>
  <c r="R37" i="226"/>
  <c r="R36" i="226"/>
  <c r="R35" i="226"/>
  <c r="R34" i="226"/>
  <c r="R33" i="226"/>
  <c r="R32" i="226"/>
  <c r="R31" i="226"/>
  <c r="CC30" i="226"/>
  <c r="CB30" i="226"/>
  <c r="CA30" i="226"/>
  <c r="BZ30" i="226"/>
  <c r="BY30" i="226"/>
  <c r="BX30" i="226"/>
  <c r="BW30" i="226"/>
  <c r="BV30" i="226"/>
  <c r="BU30" i="226"/>
  <c r="BT30" i="226"/>
  <c r="BS30" i="226"/>
  <c r="BR30" i="226"/>
  <c r="BQ30" i="226"/>
  <c r="BP30" i="226"/>
  <c r="BO30" i="226"/>
  <c r="BN30" i="226"/>
  <c r="BM30" i="226"/>
  <c r="BL30" i="226"/>
  <c r="BK30" i="226"/>
  <c r="BJ30" i="226"/>
  <c r="BI30" i="226"/>
  <c r="BH30" i="226"/>
  <c r="BG30" i="226"/>
  <c r="BF30" i="226"/>
  <c r="R30" i="226"/>
  <c r="R29" i="226"/>
  <c r="R28" i="226"/>
  <c r="R27" i="226"/>
  <c r="R26" i="226"/>
  <c r="R25" i="226"/>
  <c r="R24" i="226"/>
  <c r="R23" i="226"/>
  <c r="R22" i="226"/>
  <c r="R21" i="226"/>
  <c r="R20" i="226"/>
  <c r="R19" i="226"/>
  <c r="R18" i="226"/>
  <c r="R17" i="226"/>
  <c r="R16" i="226"/>
  <c r="R15" i="226"/>
  <c r="AO14" i="226"/>
  <c r="AO15" i="226" s="1"/>
  <c r="R14" i="226"/>
  <c r="N10" i="226"/>
  <c r="K10" i="226"/>
  <c r="B10" i="226"/>
  <c r="K9" i="226"/>
  <c r="B9" i="226"/>
  <c r="N7" i="226"/>
  <c r="N6" i="226"/>
  <c r="T1" i="226"/>
  <c r="S1" i="226"/>
  <c r="I4" i="226" s="1"/>
  <c r="R55" i="225"/>
  <c r="R54" i="225"/>
  <c r="R53" i="225"/>
  <c r="R52" i="225"/>
  <c r="R51" i="225"/>
  <c r="R50" i="225"/>
  <c r="R49" i="225"/>
  <c r="R48" i="225"/>
  <c r="R47" i="225"/>
  <c r="R46" i="225"/>
  <c r="R45" i="225"/>
  <c r="R44" i="225"/>
  <c r="R43" i="225"/>
  <c r="R42" i="225"/>
  <c r="R41" i="225"/>
  <c r="R40" i="225"/>
  <c r="R39" i="225"/>
  <c r="R38" i="225"/>
  <c r="R37" i="225"/>
  <c r="R36" i="225"/>
  <c r="R35" i="225"/>
  <c r="R34" i="225"/>
  <c r="R33" i="225"/>
  <c r="R32" i="225"/>
  <c r="R31" i="225"/>
  <c r="CC30" i="225"/>
  <c r="CB30" i="225"/>
  <c r="CA30" i="225"/>
  <c r="BZ30" i="225"/>
  <c r="BY30" i="225"/>
  <c r="BX30" i="225"/>
  <c r="BW30" i="225"/>
  <c r="BV30" i="225"/>
  <c r="BU30" i="225"/>
  <c r="BT30" i="225"/>
  <c r="BS30" i="225"/>
  <c r="BR30" i="225"/>
  <c r="BQ30" i="225"/>
  <c r="BP30" i="225"/>
  <c r="BO30" i="225"/>
  <c r="BN30" i="225"/>
  <c r="BM30" i="225"/>
  <c r="BL30" i="225"/>
  <c r="BK30" i="225"/>
  <c r="BJ30" i="225"/>
  <c r="BI30" i="225"/>
  <c r="BH30" i="225"/>
  <c r="BG30" i="225"/>
  <c r="BF30" i="225"/>
  <c r="R30" i="225"/>
  <c r="R29" i="225"/>
  <c r="R28" i="225"/>
  <c r="R27" i="225"/>
  <c r="R26" i="225"/>
  <c r="R25" i="225"/>
  <c r="R24" i="225"/>
  <c r="R23" i="225"/>
  <c r="R22" i="225"/>
  <c r="R21" i="225"/>
  <c r="R20" i="225"/>
  <c r="R19" i="225"/>
  <c r="R18" i="225"/>
  <c r="R17" i="225"/>
  <c r="R16" i="225"/>
  <c r="R15" i="225"/>
  <c r="AO14" i="225"/>
  <c r="AO15" i="225" s="1"/>
  <c r="R14" i="225"/>
  <c r="P14" i="225"/>
  <c r="N10" i="225"/>
  <c r="K10" i="225"/>
  <c r="B10" i="225"/>
  <c r="K9" i="225"/>
  <c r="B9" i="225"/>
  <c r="N7" i="225"/>
  <c r="N6" i="225"/>
  <c r="T1" i="225"/>
  <c r="S1" i="225"/>
  <c r="I4" i="225" s="1"/>
  <c r="I1" i="225"/>
  <c r="R55" i="224"/>
  <c r="R54" i="224"/>
  <c r="R53" i="224"/>
  <c r="R52" i="224"/>
  <c r="R51" i="224"/>
  <c r="R50" i="224"/>
  <c r="R49" i="224"/>
  <c r="R48" i="224"/>
  <c r="R47" i="224"/>
  <c r="R46" i="224"/>
  <c r="R45" i="224"/>
  <c r="R44" i="224"/>
  <c r="R43" i="224"/>
  <c r="R42" i="224"/>
  <c r="R41" i="224"/>
  <c r="R40" i="224"/>
  <c r="R39" i="224"/>
  <c r="R38" i="224"/>
  <c r="R37" i="224"/>
  <c r="R36" i="224"/>
  <c r="R35" i="224"/>
  <c r="R34" i="224"/>
  <c r="R33" i="224"/>
  <c r="R32" i="224"/>
  <c r="R31" i="224"/>
  <c r="CC30" i="224"/>
  <c r="CB30" i="224"/>
  <c r="CA30" i="224"/>
  <c r="BZ30" i="224"/>
  <c r="BY30" i="224"/>
  <c r="BX30" i="224"/>
  <c r="BW30" i="224"/>
  <c r="BV30" i="224"/>
  <c r="BU30" i="224"/>
  <c r="BT30" i="224"/>
  <c r="BS30" i="224"/>
  <c r="BR30" i="224"/>
  <c r="BQ30" i="224"/>
  <c r="BP30" i="224"/>
  <c r="BO30" i="224"/>
  <c r="BN30" i="224"/>
  <c r="BM30" i="224"/>
  <c r="BL30" i="224"/>
  <c r="BK30" i="224"/>
  <c r="BJ30" i="224"/>
  <c r="BI30" i="224"/>
  <c r="BH30" i="224"/>
  <c r="BG30" i="224"/>
  <c r="BF30" i="224"/>
  <c r="R30" i="224"/>
  <c r="R29" i="224"/>
  <c r="R28" i="224"/>
  <c r="R27" i="224"/>
  <c r="R26" i="224"/>
  <c r="R25" i="224"/>
  <c r="R24" i="224"/>
  <c r="R23" i="224"/>
  <c r="R22" i="224"/>
  <c r="R21" i="224"/>
  <c r="R20" i="224"/>
  <c r="R19" i="224"/>
  <c r="R18" i="224"/>
  <c r="R17" i="224"/>
  <c r="R16" i="224"/>
  <c r="R15" i="224"/>
  <c r="AO14" i="224"/>
  <c r="AO15" i="224" s="1"/>
  <c r="R14" i="224"/>
  <c r="N10" i="224"/>
  <c r="K10" i="224"/>
  <c r="B10" i="224"/>
  <c r="K9" i="224"/>
  <c r="B9" i="224"/>
  <c r="N7" i="224"/>
  <c r="N6" i="224"/>
  <c r="T1" i="224"/>
  <c r="S1" i="224"/>
  <c r="I4" i="224" s="1"/>
  <c r="I1" i="224"/>
  <c r="R55" i="223"/>
  <c r="R54" i="223"/>
  <c r="R53" i="223"/>
  <c r="R52" i="223"/>
  <c r="R51" i="223"/>
  <c r="R50" i="223"/>
  <c r="R49" i="223"/>
  <c r="R48" i="223"/>
  <c r="R47" i="223"/>
  <c r="R46" i="223"/>
  <c r="R45" i="223"/>
  <c r="R44" i="223"/>
  <c r="R43" i="223"/>
  <c r="R42" i="223"/>
  <c r="R41" i="223"/>
  <c r="R40" i="223"/>
  <c r="R39" i="223"/>
  <c r="R38" i="223"/>
  <c r="R37" i="223"/>
  <c r="R36" i="223"/>
  <c r="R35" i="223"/>
  <c r="R34" i="223"/>
  <c r="R33" i="223"/>
  <c r="R32" i="223"/>
  <c r="R31" i="223"/>
  <c r="CC30" i="223"/>
  <c r="CB30" i="223"/>
  <c r="CA30" i="223"/>
  <c r="BZ30" i="223"/>
  <c r="BY30" i="223"/>
  <c r="BX30" i="223"/>
  <c r="BW30" i="223"/>
  <c r="BV30" i="223"/>
  <c r="BU30" i="223"/>
  <c r="BT30" i="223"/>
  <c r="BS30" i="223"/>
  <c r="BR30" i="223"/>
  <c r="BQ30" i="223"/>
  <c r="BP30" i="223"/>
  <c r="BO30" i="223"/>
  <c r="BN30" i="223"/>
  <c r="BM30" i="223"/>
  <c r="BL30" i="223"/>
  <c r="BK30" i="223"/>
  <c r="BJ30" i="223"/>
  <c r="BI30" i="223"/>
  <c r="BH30" i="223"/>
  <c r="BG30" i="223"/>
  <c r="BF30" i="223"/>
  <c r="R30" i="223"/>
  <c r="R29" i="223"/>
  <c r="R28" i="223"/>
  <c r="R27" i="223"/>
  <c r="R26" i="223"/>
  <c r="R25" i="223"/>
  <c r="R24" i="223"/>
  <c r="R23" i="223"/>
  <c r="R22" i="223"/>
  <c r="R21" i="223"/>
  <c r="R20" i="223"/>
  <c r="R19" i="223"/>
  <c r="R18" i="223"/>
  <c r="R17" i="223"/>
  <c r="R16" i="223"/>
  <c r="R15" i="223"/>
  <c r="AO14" i="223"/>
  <c r="AO15" i="223" s="1"/>
  <c r="R14" i="223"/>
  <c r="N10" i="223"/>
  <c r="K10" i="223"/>
  <c r="B10" i="223"/>
  <c r="K9" i="223"/>
  <c r="B9" i="223"/>
  <c r="N7" i="223"/>
  <c r="N6" i="223"/>
  <c r="T1" i="223"/>
  <c r="S1" i="223"/>
  <c r="I4" i="223" s="1"/>
  <c r="I1" i="223"/>
  <c r="R55" i="222"/>
  <c r="R54" i="222"/>
  <c r="R53" i="222"/>
  <c r="R52" i="222"/>
  <c r="R51" i="222"/>
  <c r="R50" i="222"/>
  <c r="R49" i="222"/>
  <c r="R48" i="222"/>
  <c r="R47" i="222"/>
  <c r="R46" i="222"/>
  <c r="R45" i="222"/>
  <c r="R44" i="222"/>
  <c r="R43" i="222"/>
  <c r="R42" i="222"/>
  <c r="R41" i="222"/>
  <c r="R40" i="222"/>
  <c r="R39" i="222"/>
  <c r="R38" i="222"/>
  <c r="R37" i="222"/>
  <c r="R36" i="222"/>
  <c r="R35" i="222"/>
  <c r="R34" i="222"/>
  <c r="R33" i="222"/>
  <c r="R32" i="222"/>
  <c r="R31" i="222"/>
  <c r="CC30" i="222"/>
  <c r="CB30" i="222"/>
  <c r="CA30" i="222"/>
  <c r="BZ30" i="222"/>
  <c r="BY30" i="222"/>
  <c r="BX30" i="222"/>
  <c r="BW30" i="222"/>
  <c r="BV30" i="222"/>
  <c r="BU30" i="222"/>
  <c r="BT30" i="222"/>
  <c r="BS30" i="222"/>
  <c r="BR30" i="222"/>
  <c r="BQ30" i="222"/>
  <c r="BP30" i="222"/>
  <c r="BO30" i="222"/>
  <c r="BN30" i="222"/>
  <c r="BM30" i="222"/>
  <c r="BL30" i="222"/>
  <c r="BK30" i="222"/>
  <c r="BJ30" i="222"/>
  <c r="BI30" i="222"/>
  <c r="BH30" i="222"/>
  <c r="BG30" i="222"/>
  <c r="BF30" i="222"/>
  <c r="R30" i="222"/>
  <c r="R29" i="222"/>
  <c r="R28" i="222"/>
  <c r="R27" i="222"/>
  <c r="R26" i="222"/>
  <c r="R25" i="222"/>
  <c r="R24" i="222"/>
  <c r="R23" i="222"/>
  <c r="R22" i="222"/>
  <c r="R21" i="222"/>
  <c r="R20" i="222"/>
  <c r="R19" i="222"/>
  <c r="R18" i="222"/>
  <c r="R17" i="222"/>
  <c r="R16" i="222"/>
  <c r="R15" i="222"/>
  <c r="AO14" i="222"/>
  <c r="AO15" i="222" s="1"/>
  <c r="R14" i="222"/>
  <c r="N10" i="222"/>
  <c r="K10" i="222"/>
  <c r="B10" i="222"/>
  <c r="K9" i="222"/>
  <c r="B9" i="222"/>
  <c r="N7" i="222"/>
  <c r="N6" i="222"/>
  <c r="I4" i="222"/>
  <c r="T1" i="222"/>
  <c r="S1" i="222"/>
  <c r="I2" i="222" s="1"/>
  <c r="I1" i="222"/>
  <c r="R55" i="221"/>
  <c r="R54" i="221"/>
  <c r="R53" i="221"/>
  <c r="R52" i="221"/>
  <c r="R51" i="221"/>
  <c r="R50" i="221"/>
  <c r="R49" i="221"/>
  <c r="R48" i="221"/>
  <c r="R47" i="221"/>
  <c r="R46" i="221"/>
  <c r="R45" i="221"/>
  <c r="R44" i="221"/>
  <c r="R43" i="221"/>
  <c r="R42" i="221"/>
  <c r="R41" i="221"/>
  <c r="R40" i="221"/>
  <c r="R39" i="221"/>
  <c r="R38" i="221"/>
  <c r="R37" i="221"/>
  <c r="R36" i="221"/>
  <c r="R35" i="221"/>
  <c r="R34" i="221"/>
  <c r="R33" i="221"/>
  <c r="R32" i="221"/>
  <c r="R31" i="221"/>
  <c r="CC30" i="221"/>
  <c r="CB30" i="221"/>
  <c r="CA30" i="221"/>
  <c r="BZ30" i="221"/>
  <c r="BY30" i="221"/>
  <c r="BX30" i="221"/>
  <c r="BW30" i="221"/>
  <c r="BV30" i="221"/>
  <c r="BU30" i="221"/>
  <c r="BT30" i="221"/>
  <c r="BS30" i="221"/>
  <c r="BR30" i="221"/>
  <c r="BQ30" i="221"/>
  <c r="BP30" i="221"/>
  <c r="BO30" i="221"/>
  <c r="BN30" i="221"/>
  <c r="BM30" i="221"/>
  <c r="BL30" i="221"/>
  <c r="BK30" i="221"/>
  <c r="BJ30" i="221"/>
  <c r="BI30" i="221"/>
  <c r="BH30" i="221"/>
  <c r="BG30" i="221"/>
  <c r="BF30" i="221"/>
  <c r="R30" i="221"/>
  <c r="R29" i="221"/>
  <c r="R28" i="221"/>
  <c r="R27" i="221"/>
  <c r="R26" i="221"/>
  <c r="R25" i="221"/>
  <c r="R24" i="221"/>
  <c r="R23" i="221"/>
  <c r="R22" i="221"/>
  <c r="R21" i="221"/>
  <c r="R20" i="221"/>
  <c r="R19" i="221"/>
  <c r="R18" i="221"/>
  <c r="R17" i="221"/>
  <c r="R16" i="221"/>
  <c r="R15" i="221"/>
  <c r="AO14" i="221"/>
  <c r="AO15" i="221" s="1"/>
  <c r="R14" i="221"/>
  <c r="N10" i="221"/>
  <c r="K10" i="221"/>
  <c r="B10" i="221"/>
  <c r="K9" i="221"/>
  <c r="B9" i="221"/>
  <c r="N7" i="221"/>
  <c r="N6" i="221"/>
  <c r="T1" i="221"/>
  <c r="S1" i="221"/>
  <c r="I4" i="221" s="1"/>
  <c r="I1" i="221"/>
  <c r="R55" i="220"/>
  <c r="R54" i="220"/>
  <c r="R53" i="220"/>
  <c r="R52" i="220"/>
  <c r="R51" i="220"/>
  <c r="R50" i="220"/>
  <c r="R49" i="220"/>
  <c r="R48" i="220"/>
  <c r="R47" i="220"/>
  <c r="R46" i="220"/>
  <c r="R45" i="220"/>
  <c r="R44" i="220"/>
  <c r="R43" i="220"/>
  <c r="R42" i="220"/>
  <c r="R41" i="220"/>
  <c r="R40" i="220"/>
  <c r="R39" i="220"/>
  <c r="R38" i="220"/>
  <c r="R37" i="220"/>
  <c r="R36" i="220"/>
  <c r="R35" i="220"/>
  <c r="R34" i="220"/>
  <c r="R33" i="220"/>
  <c r="R32" i="220"/>
  <c r="R31" i="220"/>
  <c r="CC30" i="220"/>
  <c r="CB30" i="220"/>
  <c r="CA30" i="220"/>
  <c r="BZ30" i="220"/>
  <c r="BY30" i="220"/>
  <c r="BX30" i="220"/>
  <c r="BW30" i="220"/>
  <c r="BV30" i="220"/>
  <c r="BU30" i="220"/>
  <c r="BT30" i="220"/>
  <c r="BS30" i="220"/>
  <c r="BR30" i="220"/>
  <c r="BQ30" i="220"/>
  <c r="BP30" i="220"/>
  <c r="BO30" i="220"/>
  <c r="BN30" i="220"/>
  <c r="BM30" i="220"/>
  <c r="BL30" i="220"/>
  <c r="BK30" i="220"/>
  <c r="BJ30" i="220"/>
  <c r="BI30" i="220"/>
  <c r="BH30" i="220"/>
  <c r="BG30" i="220"/>
  <c r="BF30" i="220"/>
  <c r="R30" i="220"/>
  <c r="R29" i="220"/>
  <c r="R28" i="220"/>
  <c r="R27" i="220"/>
  <c r="R26" i="220"/>
  <c r="R25" i="220"/>
  <c r="R24" i="220"/>
  <c r="R23" i="220"/>
  <c r="R22" i="220"/>
  <c r="R21" i="220"/>
  <c r="R20" i="220"/>
  <c r="R19" i="220"/>
  <c r="R18" i="220"/>
  <c r="R17" i="220"/>
  <c r="R16" i="220"/>
  <c r="R15" i="220"/>
  <c r="AO14" i="220"/>
  <c r="AO15" i="220" s="1"/>
  <c r="R14" i="220"/>
  <c r="N10" i="220"/>
  <c r="K10" i="220"/>
  <c r="B10" i="220"/>
  <c r="K9" i="220"/>
  <c r="B9" i="220"/>
  <c r="N7" i="220"/>
  <c r="N6" i="220"/>
  <c r="I4" i="220"/>
  <c r="T1" i="220"/>
  <c r="S1" i="220"/>
  <c r="I2" i="220" s="1"/>
  <c r="I1" i="220"/>
  <c r="R55" i="219"/>
  <c r="R54" i="219"/>
  <c r="R53" i="219"/>
  <c r="R52" i="219"/>
  <c r="R51" i="219"/>
  <c r="R50" i="219"/>
  <c r="R49" i="219"/>
  <c r="R48" i="219"/>
  <c r="R47" i="219"/>
  <c r="R46" i="219"/>
  <c r="R45" i="219"/>
  <c r="R44" i="219"/>
  <c r="R43" i="219"/>
  <c r="R42" i="219"/>
  <c r="R41" i="219"/>
  <c r="R40" i="219"/>
  <c r="R39" i="219"/>
  <c r="R38" i="219"/>
  <c r="R37" i="219"/>
  <c r="R36" i="219"/>
  <c r="R35" i="219"/>
  <c r="R34" i="219"/>
  <c r="R33" i="219"/>
  <c r="R32" i="219"/>
  <c r="R31" i="219"/>
  <c r="CC30" i="219"/>
  <c r="CB30" i="219"/>
  <c r="CA30" i="219"/>
  <c r="BZ30" i="219"/>
  <c r="BY30" i="219"/>
  <c r="BX30" i="219"/>
  <c r="BW30" i="219"/>
  <c r="BV30" i="219"/>
  <c r="BU30" i="219"/>
  <c r="BT30" i="219"/>
  <c r="BS30" i="219"/>
  <c r="BR30" i="219"/>
  <c r="BQ30" i="219"/>
  <c r="BP30" i="219"/>
  <c r="BO30" i="219"/>
  <c r="BN30" i="219"/>
  <c r="BM30" i="219"/>
  <c r="BL30" i="219"/>
  <c r="BK30" i="219"/>
  <c r="BJ30" i="219"/>
  <c r="BI30" i="219"/>
  <c r="BH30" i="219"/>
  <c r="BG30" i="219"/>
  <c r="BF30" i="219"/>
  <c r="R30" i="219"/>
  <c r="R29" i="219"/>
  <c r="R28" i="219"/>
  <c r="R27" i="219"/>
  <c r="R26" i="219"/>
  <c r="R25" i="219"/>
  <c r="R24" i="219"/>
  <c r="R23" i="219"/>
  <c r="R22" i="219"/>
  <c r="R21" i="219"/>
  <c r="R20" i="219"/>
  <c r="R19" i="219"/>
  <c r="R18" i="219"/>
  <c r="R17" i="219"/>
  <c r="R16" i="219"/>
  <c r="R15" i="219"/>
  <c r="AO14" i="219"/>
  <c r="AO15" i="219" s="1"/>
  <c r="R14" i="219"/>
  <c r="N10" i="219"/>
  <c r="K10" i="219"/>
  <c r="B10" i="219"/>
  <c r="K9" i="219"/>
  <c r="B9" i="219"/>
  <c r="N7" i="219"/>
  <c r="N6" i="219"/>
  <c r="T1" i="219"/>
  <c r="S1" i="219"/>
  <c r="I4" i="219" s="1"/>
  <c r="R55" i="218"/>
  <c r="R54" i="218"/>
  <c r="R53" i="218"/>
  <c r="R52" i="218"/>
  <c r="R51" i="218"/>
  <c r="R50" i="218"/>
  <c r="R49" i="218"/>
  <c r="R48" i="218"/>
  <c r="R47" i="218"/>
  <c r="R46" i="218"/>
  <c r="R45" i="218"/>
  <c r="R44" i="218"/>
  <c r="R43" i="218"/>
  <c r="R42" i="218"/>
  <c r="R41" i="218"/>
  <c r="R40" i="218"/>
  <c r="R39" i="218"/>
  <c r="R38" i="218"/>
  <c r="R37" i="218"/>
  <c r="R36" i="218"/>
  <c r="R35" i="218"/>
  <c r="R34" i="218"/>
  <c r="R33" i="218"/>
  <c r="R32" i="218"/>
  <c r="R31" i="218"/>
  <c r="CC30" i="218"/>
  <c r="CB30" i="218"/>
  <c r="CA30" i="218"/>
  <c r="BZ30" i="218"/>
  <c r="BY30" i="218"/>
  <c r="BX30" i="218"/>
  <c r="BW30" i="218"/>
  <c r="BV30" i="218"/>
  <c r="BU30" i="218"/>
  <c r="BT30" i="218"/>
  <c r="BS30" i="218"/>
  <c r="BR30" i="218"/>
  <c r="BQ30" i="218"/>
  <c r="BP30" i="218"/>
  <c r="BO30" i="218"/>
  <c r="BN30" i="218"/>
  <c r="BM30" i="218"/>
  <c r="BL30" i="218"/>
  <c r="BK30" i="218"/>
  <c r="BJ30" i="218"/>
  <c r="BI30" i="218"/>
  <c r="BH30" i="218"/>
  <c r="BG30" i="218"/>
  <c r="BF30" i="218"/>
  <c r="R30" i="218"/>
  <c r="R29" i="218"/>
  <c r="R28" i="218"/>
  <c r="R27" i="218"/>
  <c r="R26" i="218"/>
  <c r="R25" i="218"/>
  <c r="R24" i="218"/>
  <c r="R23" i="218"/>
  <c r="R22" i="218"/>
  <c r="R21" i="218"/>
  <c r="R20" i="218"/>
  <c r="R19" i="218"/>
  <c r="R18" i="218"/>
  <c r="R17" i="218"/>
  <c r="R16" i="218"/>
  <c r="R15" i="218"/>
  <c r="AO14" i="218"/>
  <c r="AO15" i="218" s="1"/>
  <c r="R14" i="218"/>
  <c r="N10" i="218"/>
  <c r="K10" i="218"/>
  <c r="B10" i="218"/>
  <c r="K9" i="218"/>
  <c r="B9" i="218"/>
  <c r="N7" i="218"/>
  <c r="N6" i="218"/>
  <c r="T1" i="218"/>
  <c r="S1" i="218"/>
  <c r="I4" i="218" s="1"/>
  <c r="I1" i="218"/>
  <c r="R55" i="217"/>
  <c r="R54" i="217"/>
  <c r="R53" i="217"/>
  <c r="R52" i="217"/>
  <c r="R51" i="217"/>
  <c r="R50" i="217"/>
  <c r="R49" i="217"/>
  <c r="R48" i="217"/>
  <c r="R47" i="217"/>
  <c r="R46" i="217"/>
  <c r="R45" i="217"/>
  <c r="R44" i="217"/>
  <c r="R43" i="217"/>
  <c r="R42" i="217"/>
  <c r="R41" i="217"/>
  <c r="R40" i="217"/>
  <c r="R39" i="217"/>
  <c r="R38" i="217"/>
  <c r="R37" i="217"/>
  <c r="R36" i="217"/>
  <c r="R35" i="217"/>
  <c r="R34" i="217"/>
  <c r="R33" i="217"/>
  <c r="R32" i="217"/>
  <c r="R31" i="217"/>
  <c r="CC30" i="217"/>
  <c r="CB30" i="217"/>
  <c r="CA30" i="217"/>
  <c r="BZ30" i="217"/>
  <c r="BY30" i="217"/>
  <c r="BX30" i="217"/>
  <c r="BW30" i="217"/>
  <c r="BV30" i="217"/>
  <c r="BU30" i="217"/>
  <c r="BT30" i="217"/>
  <c r="BS30" i="217"/>
  <c r="BR30" i="217"/>
  <c r="BQ30" i="217"/>
  <c r="BP30" i="217"/>
  <c r="BO30" i="217"/>
  <c r="BN30" i="217"/>
  <c r="BM30" i="217"/>
  <c r="BL30" i="217"/>
  <c r="BK30" i="217"/>
  <c r="BJ30" i="217"/>
  <c r="BI30" i="217"/>
  <c r="BH30" i="217"/>
  <c r="BG30" i="217"/>
  <c r="BF30" i="217"/>
  <c r="R30" i="217"/>
  <c r="R29" i="217"/>
  <c r="R28" i="217"/>
  <c r="R27" i="217"/>
  <c r="R26" i="217"/>
  <c r="R25" i="217"/>
  <c r="R24" i="217"/>
  <c r="R23" i="217"/>
  <c r="R22" i="217"/>
  <c r="R21" i="217"/>
  <c r="R20" i="217"/>
  <c r="R19" i="217"/>
  <c r="R18" i="217"/>
  <c r="R17" i="217"/>
  <c r="R16" i="217"/>
  <c r="R15" i="217"/>
  <c r="AO14" i="217"/>
  <c r="AO15" i="217" s="1"/>
  <c r="R14" i="217"/>
  <c r="P14" i="217"/>
  <c r="N10" i="217"/>
  <c r="K10" i="217"/>
  <c r="B10" i="217"/>
  <c r="K9" i="217"/>
  <c r="B9" i="217"/>
  <c r="N7" i="217"/>
  <c r="N6" i="217"/>
  <c r="T1" i="217"/>
  <c r="S1" i="217"/>
  <c r="I4" i="217" s="1"/>
  <c r="I1" i="217"/>
  <c r="R55" i="216"/>
  <c r="R54" i="216"/>
  <c r="R53" i="216"/>
  <c r="R52" i="216"/>
  <c r="R51" i="216"/>
  <c r="R50" i="216"/>
  <c r="R49" i="216"/>
  <c r="R48" i="216"/>
  <c r="R47" i="216"/>
  <c r="R46" i="216"/>
  <c r="R45" i="216"/>
  <c r="R44" i="216"/>
  <c r="R43" i="216"/>
  <c r="R42" i="216"/>
  <c r="R41" i="216"/>
  <c r="R40" i="216"/>
  <c r="R39" i="216"/>
  <c r="R38" i="216"/>
  <c r="R37" i="216"/>
  <c r="R36" i="216"/>
  <c r="R35" i="216"/>
  <c r="R34" i="216"/>
  <c r="R33" i="216"/>
  <c r="R32" i="216"/>
  <c r="R31" i="216"/>
  <c r="CC30" i="216"/>
  <c r="CB30" i="216"/>
  <c r="CA30" i="216"/>
  <c r="BZ30" i="216"/>
  <c r="BY30" i="216"/>
  <c r="BX30" i="216"/>
  <c r="BW30" i="216"/>
  <c r="BV30" i="216"/>
  <c r="BU30" i="216"/>
  <c r="BT30" i="216"/>
  <c r="BS30" i="216"/>
  <c r="BR30" i="216"/>
  <c r="BQ30" i="216"/>
  <c r="BP30" i="216"/>
  <c r="BO30" i="216"/>
  <c r="BN30" i="216"/>
  <c r="BM30" i="216"/>
  <c r="BL30" i="216"/>
  <c r="BK30" i="216"/>
  <c r="BJ30" i="216"/>
  <c r="BI30" i="216"/>
  <c r="BH30" i="216"/>
  <c r="BG30" i="216"/>
  <c r="BF30" i="216"/>
  <c r="R30" i="216"/>
  <c r="R29" i="216"/>
  <c r="R28" i="216"/>
  <c r="R27" i="216"/>
  <c r="R26" i="216"/>
  <c r="R25" i="216"/>
  <c r="R24" i="216"/>
  <c r="R23" i="216"/>
  <c r="R22" i="216"/>
  <c r="R21" i="216"/>
  <c r="R20" i="216"/>
  <c r="R19" i="216"/>
  <c r="R18" i="216"/>
  <c r="R17" i="216"/>
  <c r="R16" i="216"/>
  <c r="R15" i="216"/>
  <c r="AO14" i="216"/>
  <c r="P14" i="216" s="1"/>
  <c r="R14" i="216"/>
  <c r="N10" i="216"/>
  <c r="K10" i="216"/>
  <c r="B10" i="216"/>
  <c r="K9" i="216"/>
  <c r="B9" i="216"/>
  <c r="N7" i="216"/>
  <c r="N6" i="216"/>
  <c r="I2" i="216"/>
  <c r="T1" i="216"/>
  <c r="S1" i="216"/>
  <c r="I4" i="216" s="1"/>
  <c r="I1" i="216"/>
  <c r="R55" i="215"/>
  <c r="R54" i="215"/>
  <c r="R53" i="215"/>
  <c r="R52" i="215"/>
  <c r="R51" i="215"/>
  <c r="R50" i="215"/>
  <c r="R49" i="215"/>
  <c r="R48" i="215"/>
  <c r="R47" i="215"/>
  <c r="R46" i="215"/>
  <c r="R45" i="215"/>
  <c r="R44" i="215"/>
  <c r="R43" i="215"/>
  <c r="R42" i="215"/>
  <c r="R41" i="215"/>
  <c r="R40" i="215"/>
  <c r="R39" i="215"/>
  <c r="R38" i="215"/>
  <c r="R37" i="215"/>
  <c r="R36" i="215"/>
  <c r="R35" i="215"/>
  <c r="R34" i="215"/>
  <c r="R33" i="215"/>
  <c r="R32" i="215"/>
  <c r="R31" i="215"/>
  <c r="CC30" i="215"/>
  <c r="CB30" i="215"/>
  <c r="CA30" i="215"/>
  <c r="BZ30" i="215"/>
  <c r="BY30" i="215"/>
  <c r="BX30" i="215"/>
  <c r="BW30" i="215"/>
  <c r="BV30" i="215"/>
  <c r="BU30" i="215"/>
  <c r="BT30" i="215"/>
  <c r="BS30" i="215"/>
  <c r="BR30" i="215"/>
  <c r="BQ30" i="215"/>
  <c r="BP30" i="215"/>
  <c r="BO30" i="215"/>
  <c r="BN30" i="215"/>
  <c r="BM30" i="215"/>
  <c r="BL30" i="215"/>
  <c r="BK30" i="215"/>
  <c r="BJ30" i="215"/>
  <c r="BI30" i="215"/>
  <c r="BH30" i="215"/>
  <c r="BG30" i="215"/>
  <c r="BF30" i="215"/>
  <c r="R30" i="215"/>
  <c r="R29" i="215"/>
  <c r="R28" i="215"/>
  <c r="R27" i="215"/>
  <c r="R26" i="215"/>
  <c r="R25" i="215"/>
  <c r="R24" i="215"/>
  <c r="R23" i="215"/>
  <c r="R22" i="215"/>
  <c r="R21" i="215"/>
  <c r="R20" i="215"/>
  <c r="R19" i="215"/>
  <c r="R18" i="215"/>
  <c r="R17" i="215"/>
  <c r="R16" i="215"/>
  <c r="R15" i="215"/>
  <c r="AO14" i="215"/>
  <c r="AO15" i="215" s="1"/>
  <c r="R14" i="215"/>
  <c r="N10" i="215"/>
  <c r="K10" i="215"/>
  <c r="B10" i="215"/>
  <c r="K9" i="215"/>
  <c r="B9" i="215"/>
  <c r="N7" i="215"/>
  <c r="N6" i="215"/>
  <c r="T1" i="215"/>
  <c r="S1" i="215"/>
  <c r="I4" i="215" s="1"/>
  <c r="I1" i="215"/>
  <c r="R55" i="214"/>
  <c r="R54" i="214"/>
  <c r="R53" i="214"/>
  <c r="R52" i="214"/>
  <c r="R51" i="214"/>
  <c r="R50" i="214"/>
  <c r="R49" i="214"/>
  <c r="R48" i="214"/>
  <c r="R47" i="214"/>
  <c r="R46" i="214"/>
  <c r="R45" i="214"/>
  <c r="R44" i="214"/>
  <c r="R43" i="214"/>
  <c r="R42" i="214"/>
  <c r="R41" i="214"/>
  <c r="R40" i="214"/>
  <c r="R39" i="214"/>
  <c r="R38" i="214"/>
  <c r="R37" i="214"/>
  <c r="R36" i="214"/>
  <c r="R35" i="214"/>
  <c r="R34" i="214"/>
  <c r="R33" i="214"/>
  <c r="R32" i="214"/>
  <c r="R31" i="214"/>
  <c r="CC30" i="214"/>
  <c r="CB30" i="214"/>
  <c r="CA30" i="214"/>
  <c r="BZ30" i="214"/>
  <c r="BY30" i="214"/>
  <c r="BX30" i="214"/>
  <c r="BW30" i="214"/>
  <c r="BV30" i="214"/>
  <c r="BU30" i="214"/>
  <c r="BT30" i="214"/>
  <c r="BS30" i="214"/>
  <c r="BR30" i="214"/>
  <c r="BQ30" i="214"/>
  <c r="BP30" i="214"/>
  <c r="BO30" i="214"/>
  <c r="BN30" i="214"/>
  <c r="BM30" i="214"/>
  <c r="BL30" i="214"/>
  <c r="BK30" i="214"/>
  <c r="BJ30" i="214"/>
  <c r="BI30" i="214"/>
  <c r="BH30" i="214"/>
  <c r="BG30" i="214"/>
  <c r="BF30" i="214"/>
  <c r="R30" i="214"/>
  <c r="R29" i="214"/>
  <c r="R28" i="214"/>
  <c r="R27" i="214"/>
  <c r="R26" i="214"/>
  <c r="R25" i="214"/>
  <c r="R24" i="214"/>
  <c r="R23" i="214"/>
  <c r="R22" i="214"/>
  <c r="R21" i="214"/>
  <c r="R20" i="214"/>
  <c r="R19" i="214"/>
  <c r="R18" i="214"/>
  <c r="R17" i="214"/>
  <c r="R16" i="214"/>
  <c r="R15" i="214"/>
  <c r="AO14" i="214"/>
  <c r="AO15" i="214" s="1"/>
  <c r="R14" i="214"/>
  <c r="N10" i="214"/>
  <c r="K10" i="214"/>
  <c r="B10" i="214"/>
  <c r="K9" i="214"/>
  <c r="B9" i="214"/>
  <c r="N7" i="214"/>
  <c r="N6" i="214"/>
  <c r="T1" i="214"/>
  <c r="S1" i="214"/>
  <c r="I4" i="214" s="1"/>
  <c r="R55" i="213"/>
  <c r="R54" i="213"/>
  <c r="R53" i="213"/>
  <c r="R52" i="213"/>
  <c r="R51" i="213"/>
  <c r="R50" i="213"/>
  <c r="R49" i="213"/>
  <c r="R48" i="213"/>
  <c r="R47" i="213"/>
  <c r="R46" i="213"/>
  <c r="R45" i="213"/>
  <c r="R44" i="213"/>
  <c r="R43" i="213"/>
  <c r="R42" i="213"/>
  <c r="R41" i="213"/>
  <c r="R40" i="213"/>
  <c r="R39" i="213"/>
  <c r="R38" i="213"/>
  <c r="R37" i="213"/>
  <c r="R36" i="213"/>
  <c r="R35" i="213"/>
  <c r="R34" i="213"/>
  <c r="R33" i="213"/>
  <c r="R32" i="213"/>
  <c r="R31" i="213"/>
  <c r="CC30" i="213"/>
  <c r="CB30" i="213"/>
  <c r="CA30" i="213"/>
  <c r="BZ30" i="213"/>
  <c r="BY30" i="213"/>
  <c r="BX30" i="213"/>
  <c r="BW30" i="213"/>
  <c r="BV30" i="213"/>
  <c r="BU30" i="213"/>
  <c r="BT30" i="213"/>
  <c r="BS30" i="213"/>
  <c r="BR30" i="213"/>
  <c r="BQ30" i="213"/>
  <c r="BP30" i="213"/>
  <c r="BO30" i="213"/>
  <c r="BN30" i="213"/>
  <c r="BM30" i="213"/>
  <c r="BL30" i="213"/>
  <c r="BK30" i="213"/>
  <c r="BJ30" i="213"/>
  <c r="BI30" i="213"/>
  <c r="BH30" i="213"/>
  <c r="BG30" i="213"/>
  <c r="BF30" i="213"/>
  <c r="R30" i="213"/>
  <c r="R29" i="213"/>
  <c r="R28" i="213"/>
  <c r="R27" i="213"/>
  <c r="R26" i="213"/>
  <c r="R25" i="213"/>
  <c r="R24" i="213"/>
  <c r="R23" i="213"/>
  <c r="R22" i="213"/>
  <c r="R21" i="213"/>
  <c r="R20" i="213"/>
  <c r="R19" i="213"/>
  <c r="R18" i="213"/>
  <c r="R17" i="213"/>
  <c r="R16" i="213"/>
  <c r="R15" i="213"/>
  <c r="AO14" i="213"/>
  <c r="AO15" i="213" s="1"/>
  <c r="R14" i="213"/>
  <c r="N10" i="213"/>
  <c r="K10" i="213"/>
  <c r="B10" i="213"/>
  <c r="K9" i="213"/>
  <c r="B9" i="213"/>
  <c r="N7" i="213"/>
  <c r="N6" i="213"/>
  <c r="T1" i="213"/>
  <c r="S1" i="213"/>
  <c r="I4" i="213" s="1"/>
  <c r="I1" i="213"/>
  <c r="R55" i="212"/>
  <c r="R54" i="212"/>
  <c r="R53" i="212"/>
  <c r="R52" i="212"/>
  <c r="R51" i="212"/>
  <c r="R50" i="212"/>
  <c r="R49" i="212"/>
  <c r="R48" i="212"/>
  <c r="R47" i="212"/>
  <c r="R46" i="212"/>
  <c r="R45" i="212"/>
  <c r="R44" i="212"/>
  <c r="R43" i="212"/>
  <c r="R42" i="212"/>
  <c r="R41" i="212"/>
  <c r="R40" i="212"/>
  <c r="R39" i="212"/>
  <c r="R38" i="212"/>
  <c r="R37" i="212"/>
  <c r="R36" i="212"/>
  <c r="R35" i="212"/>
  <c r="R34" i="212"/>
  <c r="R33" i="212"/>
  <c r="R32" i="212"/>
  <c r="R31" i="212"/>
  <c r="CC30" i="212"/>
  <c r="CB30" i="212"/>
  <c r="CA30" i="212"/>
  <c r="BZ30" i="212"/>
  <c r="BY30" i="212"/>
  <c r="BX30" i="212"/>
  <c r="BW30" i="212"/>
  <c r="BV30" i="212"/>
  <c r="BU30" i="212"/>
  <c r="BT30" i="212"/>
  <c r="BS30" i="212"/>
  <c r="BR30" i="212"/>
  <c r="BQ30" i="212"/>
  <c r="BP30" i="212"/>
  <c r="BO30" i="212"/>
  <c r="BN30" i="212"/>
  <c r="BM30" i="212"/>
  <c r="BL30" i="212"/>
  <c r="BK30" i="212"/>
  <c r="BJ30" i="212"/>
  <c r="BI30" i="212"/>
  <c r="BH30" i="212"/>
  <c r="BG30" i="212"/>
  <c r="BF30" i="212"/>
  <c r="R30" i="212"/>
  <c r="R29" i="212"/>
  <c r="R28" i="212"/>
  <c r="R27" i="212"/>
  <c r="R26" i="212"/>
  <c r="R25" i="212"/>
  <c r="R24" i="212"/>
  <c r="R23" i="212"/>
  <c r="R22" i="212"/>
  <c r="R21" i="212"/>
  <c r="R20" i="212"/>
  <c r="R19" i="212"/>
  <c r="R18" i="212"/>
  <c r="R17" i="212"/>
  <c r="R16" i="212"/>
  <c r="R15" i="212"/>
  <c r="AO14" i="212"/>
  <c r="AO15" i="212" s="1"/>
  <c r="R14" i="212"/>
  <c r="N10" i="212"/>
  <c r="K10" i="212"/>
  <c r="B10" i="212"/>
  <c r="K9" i="212"/>
  <c r="B9" i="212"/>
  <c r="N7" i="212"/>
  <c r="N6" i="212"/>
  <c r="T1" i="212"/>
  <c r="S1" i="212"/>
  <c r="I4" i="212" s="1"/>
  <c r="I1" i="212"/>
  <c r="R55" i="211"/>
  <c r="R54" i="211"/>
  <c r="R53" i="211"/>
  <c r="R52" i="211"/>
  <c r="R51" i="211"/>
  <c r="R50" i="211"/>
  <c r="R49" i="211"/>
  <c r="R48" i="211"/>
  <c r="R47" i="211"/>
  <c r="R46" i="211"/>
  <c r="R45" i="211"/>
  <c r="R44" i="211"/>
  <c r="R43" i="211"/>
  <c r="R42" i="211"/>
  <c r="R41" i="211"/>
  <c r="R40" i="211"/>
  <c r="R39" i="211"/>
  <c r="R38" i="211"/>
  <c r="R37" i="211"/>
  <c r="R36" i="211"/>
  <c r="R35" i="211"/>
  <c r="R34" i="211"/>
  <c r="R33" i="211"/>
  <c r="R32" i="211"/>
  <c r="R31" i="211"/>
  <c r="CC30" i="211"/>
  <c r="CB30" i="211"/>
  <c r="CA30" i="211"/>
  <c r="BZ30" i="211"/>
  <c r="BY30" i="211"/>
  <c r="BX30" i="211"/>
  <c r="BW30" i="211"/>
  <c r="BV30" i="211"/>
  <c r="BU30" i="211"/>
  <c r="BT30" i="211"/>
  <c r="BS30" i="211"/>
  <c r="BR30" i="211"/>
  <c r="BQ30" i="211"/>
  <c r="BP30" i="211"/>
  <c r="BO30" i="211"/>
  <c r="BN30" i="211"/>
  <c r="BM30" i="211"/>
  <c r="BL30" i="211"/>
  <c r="BK30" i="211"/>
  <c r="BJ30" i="211"/>
  <c r="BI30" i="211"/>
  <c r="BH30" i="211"/>
  <c r="BG30" i="211"/>
  <c r="BF30" i="211"/>
  <c r="R30" i="211"/>
  <c r="R29" i="211"/>
  <c r="R28" i="211"/>
  <c r="R27" i="211"/>
  <c r="R26" i="211"/>
  <c r="R25" i="211"/>
  <c r="R24" i="211"/>
  <c r="R23" i="211"/>
  <c r="R22" i="211"/>
  <c r="R21" i="211"/>
  <c r="R20" i="211"/>
  <c r="R19" i="211"/>
  <c r="R18" i="211"/>
  <c r="R17" i="211"/>
  <c r="R16" i="211"/>
  <c r="R15" i="211"/>
  <c r="AO14" i="211"/>
  <c r="P14" i="211" s="1"/>
  <c r="R14" i="211"/>
  <c r="N10" i="211"/>
  <c r="K10" i="211"/>
  <c r="B10" i="211"/>
  <c r="K9" i="211"/>
  <c r="B9" i="211"/>
  <c r="N7" i="211"/>
  <c r="N6" i="211"/>
  <c r="T1" i="211"/>
  <c r="S1" i="211"/>
  <c r="I4" i="211" s="1"/>
  <c r="I1" i="211"/>
  <c r="R55" i="210"/>
  <c r="R54" i="210"/>
  <c r="R53" i="210"/>
  <c r="R52" i="210"/>
  <c r="R51" i="210"/>
  <c r="R50" i="210"/>
  <c r="R49" i="210"/>
  <c r="R48" i="210"/>
  <c r="R47" i="210"/>
  <c r="R46" i="210"/>
  <c r="R45" i="210"/>
  <c r="R44" i="210"/>
  <c r="R43" i="210"/>
  <c r="R42" i="210"/>
  <c r="R41" i="210"/>
  <c r="R40" i="210"/>
  <c r="R39" i="210"/>
  <c r="R38" i="210"/>
  <c r="R37" i="210"/>
  <c r="R36" i="210"/>
  <c r="R35" i="210"/>
  <c r="R34" i="210"/>
  <c r="R33" i="210"/>
  <c r="R32" i="210"/>
  <c r="R31" i="210"/>
  <c r="CC30" i="210"/>
  <c r="CB30" i="210"/>
  <c r="CA30" i="210"/>
  <c r="BZ30" i="210"/>
  <c r="BY30" i="210"/>
  <c r="BX30" i="210"/>
  <c r="BW30" i="210"/>
  <c r="BV30" i="210"/>
  <c r="BU30" i="210"/>
  <c r="BT30" i="210"/>
  <c r="BS30" i="210"/>
  <c r="BR30" i="210"/>
  <c r="BQ30" i="210"/>
  <c r="BP30" i="210"/>
  <c r="BO30" i="210"/>
  <c r="BN30" i="210"/>
  <c r="BM30" i="210"/>
  <c r="BL30" i="210"/>
  <c r="BK30" i="210"/>
  <c r="BJ30" i="210"/>
  <c r="BI30" i="210"/>
  <c r="BH30" i="210"/>
  <c r="BG30" i="210"/>
  <c r="BF30" i="210"/>
  <c r="R30" i="210"/>
  <c r="R29" i="210"/>
  <c r="R28" i="210"/>
  <c r="R27" i="210"/>
  <c r="R26" i="210"/>
  <c r="R25" i="210"/>
  <c r="R24" i="210"/>
  <c r="R23" i="210"/>
  <c r="R22" i="210"/>
  <c r="R21" i="210"/>
  <c r="R20" i="210"/>
  <c r="R19" i="210"/>
  <c r="R18" i="210"/>
  <c r="R17" i="210"/>
  <c r="R16" i="210"/>
  <c r="R15" i="210"/>
  <c r="AO14" i="210"/>
  <c r="AO15" i="210" s="1"/>
  <c r="R14" i="210"/>
  <c r="N10" i="210"/>
  <c r="K10" i="210"/>
  <c r="B10" i="210"/>
  <c r="K9" i="210"/>
  <c r="B9" i="210"/>
  <c r="N7" i="210"/>
  <c r="N6" i="210"/>
  <c r="T1" i="210"/>
  <c r="S1" i="210"/>
  <c r="I4" i="210" s="1"/>
  <c r="I1" i="210"/>
  <c r="R55" i="209"/>
  <c r="R54" i="209"/>
  <c r="R53" i="209"/>
  <c r="R52" i="209"/>
  <c r="R51" i="209"/>
  <c r="R50" i="209"/>
  <c r="R49" i="209"/>
  <c r="R48" i="209"/>
  <c r="R47" i="209"/>
  <c r="R46" i="209"/>
  <c r="R45" i="209"/>
  <c r="R44" i="209"/>
  <c r="R43" i="209"/>
  <c r="R42" i="209"/>
  <c r="R41" i="209"/>
  <c r="R40" i="209"/>
  <c r="R39" i="209"/>
  <c r="R38" i="209"/>
  <c r="R37" i="209"/>
  <c r="R36" i="209"/>
  <c r="R35" i="209"/>
  <c r="R34" i="209"/>
  <c r="R33" i="209"/>
  <c r="R32" i="209"/>
  <c r="R31" i="209"/>
  <c r="CC30" i="209"/>
  <c r="CB30" i="209"/>
  <c r="CA30" i="209"/>
  <c r="BZ30" i="209"/>
  <c r="BY30" i="209"/>
  <c r="BX30" i="209"/>
  <c r="BW30" i="209"/>
  <c r="BV30" i="209"/>
  <c r="BU30" i="209"/>
  <c r="BT30" i="209"/>
  <c r="BS30" i="209"/>
  <c r="BR30" i="209"/>
  <c r="BQ30" i="209"/>
  <c r="BP30" i="209"/>
  <c r="BO30" i="209"/>
  <c r="BN30" i="209"/>
  <c r="BM30" i="209"/>
  <c r="BL30" i="209"/>
  <c r="BK30" i="209"/>
  <c r="BJ30" i="209"/>
  <c r="BI30" i="209"/>
  <c r="BH30" i="209"/>
  <c r="BG30" i="209"/>
  <c r="BF30" i="209"/>
  <c r="R30" i="209"/>
  <c r="R29" i="209"/>
  <c r="R28" i="209"/>
  <c r="R27" i="209"/>
  <c r="R26" i="209"/>
  <c r="R25" i="209"/>
  <c r="R24" i="209"/>
  <c r="R23" i="209"/>
  <c r="R22" i="209"/>
  <c r="R21" i="209"/>
  <c r="R20" i="209"/>
  <c r="R19" i="209"/>
  <c r="R18" i="209"/>
  <c r="R17" i="209"/>
  <c r="R16" i="209"/>
  <c r="R15" i="209"/>
  <c r="AO14" i="209"/>
  <c r="AO15" i="209" s="1"/>
  <c r="R14" i="209"/>
  <c r="N10" i="209"/>
  <c r="K10" i="209"/>
  <c r="B10" i="209"/>
  <c r="K9" i="209"/>
  <c r="B9" i="209"/>
  <c r="N7" i="209"/>
  <c r="N6" i="209"/>
  <c r="T1" i="209"/>
  <c r="S1" i="209"/>
  <c r="I4" i="209" s="1"/>
  <c r="I1" i="209"/>
  <c r="R55" i="208"/>
  <c r="R54" i="208"/>
  <c r="R53" i="208"/>
  <c r="R52" i="208"/>
  <c r="R51" i="208"/>
  <c r="R50" i="208"/>
  <c r="R49" i="208"/>
  <c r="R48" i="208"/>
  <c r="R47" i="208"/>
  <c r="R46" i="208"/>
  <c r="R45" i="208"/>
  <c r="R44" i="208"/>
  <c r="R43" i="208"/>
  <c r="R42" i="208"/>
  <c r="R41" i="208"/>
  <c r="R40" i="208"/>
  <c r="R39" i="208"/>
  <c r="R38" i="208"/>
  <c r="R37" i="208"/>
  <c r="R36" i="208"/>
  <c r="R35" i="208"/>
  <c r="R34" i="208"/>
  <c r="R33" i="208"/>
  <c r="R32" i="208"/>
  <c r="R31" i="208"/>
  <c r="CC30" i="208"/>
  <c r="CB30" i="208"/>
  <c r="CA30" i="208"/>
  <c r="BZ30" i="208"/>
  <c r="BY30" i="208"/>
  <c r="BX30" i="208"/>
  <c r="BW30" i="208"/>
  <c r="BV30" i="208"/>
  <c r="BU30" i="208"/>
  <c r="BT30" i="208"/>
  <c r="BS30" i="208"/>
  <c r="BR30" i="208"/>
  <c r="BQ30" i="208"/>
  <c r="BP30" i="208"/>
  <c r="BO30" i="208"/>
  <c r="BN30" i="208"/>
  <c r="BM30" i="208"/>
  <c r="BL30" i="208"/>
  <c r="BK30" i="208"/>
  <c r="BJ30" i="208"/>
  <c r="BI30" i="208"/>
  <c r="BH30" i="208"/>
  <c r="BG30" i="208"/>
  <c r="BF30" i="208"/>
  <c r="R30" i="208"/>
  <c r="R29" i="208"/>
  <c r="R28" i="208"/>
  <c r="R27" i="208"/>
  <c r="R26" i="208"/>
  <c r="R25" i="208"/>
  <c r="R24" i="208"/>
  <c r="R23" i="208"/>
  <c r="R22" i="208"/>
  <c r="R21" i="208"/>
  <c r="R20" i="208"/>
  <c r="R19" i="208"/>
  <c r="R18" i="208"/>
  <c r="R17" i="208"/>
  <c r="R16" i="208"/>
  <c r="AO15" i="208"/>
  <c r="P15" i="208" s="1"/>
  <c r="R15" i="208"/>
  <c r="AO14" i="208"/>
  <c r="P14" i="208" s="1"/>
  <c r="R14" i="208"/>
  <c r="N10" i="208"/>
  <c r="K10" i="208"/>
  <c r="B10" i="208"/>
  <c r="K9" i="208"/>
  <c r="B9" i="208"/>
  <c r="N7" i="208"/>
  <c r="N6" i="208"/>
  <c r="T1" i="208"/>
  <c r="S1" i="208"/>
  <c r="I4" i="208" s="1"/>
  <c r="I1" i="208"/>
  <c r="R55" i="207"/>
  <c r="R54" i="207"/>
  <c r="R53" i="207"/>
  <c r="R52" i="207"/>
  <c r="R51" i="207"/>
  <c r="R50" i="207"/>
  <c r="R49" i="207"/>
  <c r="R48" i="207"/>
  <c r="R47" i="207"/>
  <c r="R46" i="207"/>
  <c r="R45" i="207"/>
  <c r="R44" i="207"/>
  <c r="R43" i="207"/>
  <c r="R42" i="207"/>
  <c r="R41" i="207"/>
  <c r="R40" i="207"/>
  <c r="R39" i="207"/>
  <c r="R38" i="207"/>
  <c r="R37" i="207"/>
  <c r="R36" i="207"/>
  <c r="R35" i="207"/>
  <c r="R34" i="207"/>
  <c r="R33" i="207"/>
  <c r="R32" i="207"/>
  <c r="R31" i="207"/>
  <c r="CC30" i="207"/>
  <c r="CB30" i="207"/>
  <c r="CA30" i="207"/>
  <c r="BZ30" i="207"/>
  <c r="BY30" i="207"/>
  <c r="BX30" i="207"/>
  <c r="BW30" i="207"/>
  <c r="BV30" i="207"/>
  <c r="BU30" i="207"/>
  <c r="BT30" i="207"/>
  <c r="BS30" i="207"/>
  <c r="BR30" i="207"/>
  <c r="BQ30" i="207"/>
  <c r="BP30" i="207"/>
  <c r="BO30" i="207"/>
  <c r="BN30" i="207"/>
  <c r="BM30" i="207"/>
  <c r="BL30" i="207"/>
  <c r="BK30" i="207"/>
  <c r="BJ30" i="207"/>
  <c r="BI30" i="207"/>
  <c r="BH30" i="207"/>
  <c r="BG30" i="207"/>
  <c r="BF30" i="207"/>
  <c r="R30" i="207"/>
  <c r="R29" i="207"/>
  <c r="R28" i="207"/>
  <c r="R27" i="207"/>
  <c r="R26" i="207"/>
  <c r="R25" i="207"/>
  <c r="R24" i="207"/>
  <c r="R23" i="207"/>
  <c r="R22" i="207"/>
  <c r="R21" i="207"/>
  <c r="R20" i="207"/>
  <c r="R19" i="207"/>
  <c r="R18" i="207"/>
  <c r="R17" i="207"/>
  <c r="R16" i="207"/>
  <c r="R15" i="207"/>
  <c r="AO14" i="207"/>
  <c r="AO15" i="207" s="1"/>
  <c r="R14" i="207"/>
  <c r="N10" i="207"/>
  <c r="K10" i="207"/>
  <c r="B10" i="207"/>
  <c r="K9" i="207"/>
  <c r="B9" i="207"/>
  <c r="N7" i="207"/>
  <c r="N6" i="207"/>
  <c r="I4" i="207"/>
  <c r="I2" i="207"/>
  <c r="T1" i="207"/>
  <c r="S1" i="207"/>
  <c r="I1" i="207"/>
  <c r="R55" i="206"/>
  <c r="R54" i="206"/>
  <c r="R53" i="206"/>
  <c r="R52" i="206"/>
  <c r="R51" i="206"/>
  <c r="R50" i="206"/>
  <c r="R49" i="206"/>
  <c r="R48" i="206"/>
  <c r="R47" i="206"/>
  <c r="R46" i="206"/>
  <c r="R45" i="206"/>
  <c r="R44" i="206"/>
  <c r="R43" i="206"/>
  <c r="R42" i="206"/>
  <c r="R41" i="206"/>
  <c r="R40" i="206"/>
  <c r="R39" i="206"/>
  <c r="R38" i="206"/>
  <c r="R37" i="206"/>
  <c r="R36" i="206"/>
  <c r="R35" i="206"/>
  <c r="R34" i="206"/>
  <c r="R33" i="206"/>
  <c r="R32" i="206"/>
  <c r="R31" i="206"/>
  <c r="CC30" i="206"/>
  <c r="CB30" i="206"/>
  <c r="CA30" i="206"/>
  <c r="BZ30" i="206"/>
  <c r="BY30" i="206"/>
  <c r="BX30" i="206"/>
  <c r="BW30" i="206"/>
  <c r="BV30" i="206"/>
  <c r="BU30" i="206"/>
  <c r="BT30" i="206"/>
  <c r="BS30" i="206"/>
  <c r="BR30" i="206"/>
  <c r="BQ30" i="206"/>
  <c r="BP30" i="206"/>
  <c r="BO30" i="206"/>
  <c r="BN30" i="206"/>
  <c r="BM30" i="206"/>
  <c r="BL30" i="206"/>
  <c r="BK30" i="206"/>
  <c r="BJ30" i="206"/>
  <c r="BI30" i="206"/>
  <c r="BH30" i="206"/>
  <c r="BG30" i="206"/>
  <c r="BF30" i="206"/>
  <c r="R30" i="206"/>
  <c r="R29" i="206"/>
  <c r="R28" i="206"/>
  <c r="R27" i="206"/>
  <c r="R26" i="206"/>
  <c r="R25" i="206"/>
  <c r="R24" i="206"/>
  <c r="R23" i="206"/>
  <c r="R22" i="206"/>
  <c r="R21" i="206"/>
  <c r="R20" i="206"/>
  <c r="R19" i="206"/>
  <c r="R18" i="206"/>
  <c r="R17" i="206"/>
  <c r="R16" i="206"/>
  <c r="R15" i="206"/>
  <c r="AO14" i="206"/>
  <c r="AO15" i="206" s="1"/>
  <c r="R14" i="206"/>
  <c r="N10" i="206"/>
  <c r="K10" i="206"/>
  <c r="B10" i="206"/>
  <c r="K9" i="206"/>
  <c r="B9" i="206"/>
  <c r="N7" i="206"/>
  <c r="N6" i="206"/>
  <c r="T1" i="206"/>
  <c r="S1" i="206"/>
  <c r="I4" i="206" s="1"/>
  <c r="I1" i="206"/>
  <c r="R55" i="205"/>
  <c r="R54" i="205"/>
  <c r="R53" i="205"/>
  <c r="R52" i="205"/>
  <c r="R51" i="205"/>
  <c r="R50" i="205"/>
  <c r="R49" i="205"/>
  <c r="R48" i="205"/>
  <c r="R47" i="205"/>
  <c r="R46" i="205"/>
  <c r="R45" i="205"/>
  <c r="R44" i="205"/>
  <c r="R43" i="205"/>
  <c r="R42" i="205"/>
  <c r="R41" i="205"/>
  <c r="R40" i="205"/>
  <c r="R39" i="205"/>
  <c r="R38" i="205"/>
  <c r="R37" i="205"/>
  <c r="R36" i="205"/>
  <c r="R35" i="205"/>
  <c r="R34" i="205"/>
  <c r="R33" i="205"/>
  <c r="R32" i="205"/>
  <c r="R31" i="205"/>
  <c r="CC30" i="205"/>
  <c r="CB30" i="205"/>
  <c r="CA30" i="205"/>
  <c r="BZ30" i="205"/>
  <c r="BY30" i="205"/>
  <c r="BX30" i="205"/>
  <c r="BW30" i="205"/>
  <c r="BV30" i="205"/>
  <c r="BU30" i="205"/>
  <c r="BT30" i="205"/>
  <c r="BS30" i="205"/>
  <c r="BR30" i="205"/>
  <c r="BQ30" i="205"/>
  <c r="BP30" i="205"/>
  <c r="BO30" i="205"/>
  <c r="BN30" i="205"/>
  <c r="BM30" i="205"/>
  <c r="BL30" i="205"/>
  <c r="BK30" i="205"/>
  <c r="BJ30" i="205"/>
  <c r="BI30" i="205"/>
  <c r="BH30" i="205"/>
  <c r="BG30" i="205"/>
  <c r="BF30" i="205"/>
  <c r="R30" i="205"/>
  <c r="R29" i="205"/>
  <c r="R28" i="205"/>
  <c r="R27" i="205"/>
  <c r="R26" i="205"/>
  <c r="R25" i="205"/>
  <c r="R24" i="205"/>
  <c r="R23" i="205"/>
  <c r="R22" i="205"/>
  <c r="R21" i="205"/>
  <c r="R20" i="205"/>
  <c r="R19" i="205"/>
  <c r="R18" i="205"/>
  <c r="R17" i="205"/>
  <c r="R16" i="205"/>
  <c r="R15" i="205"/>
  <c r="AO14" i="205"/>
  <c r="AO15" i="205" s="1"/>
  <c r="R14" i="205"/>
  <c r="N10" i="205"/>
  <c r="K10" i="205"/>
  <c r="B10" i="205"/>
  <c r="K9" i="205"/>
  <c r="B9" i="205"/>
  <c r="N7" i="205"/>
  <c r="N6" i="205"/>
  <c r="T1" i="205"/>
  <c r="S1" i="205"/>
  <c r="I4" i="205" s="1"/>
  <c r="I1" i="205"/>
  <c r="R55" i="204"/>
  <c r="R54" i="204"/>
  <c r="R53" i="204"/>
  <c r="R52" i="204"/>
  <c r="R51" i="204"/>
  <c r="R50" i="204"/>
  <c r="R49" i="204"/>
  <c r="R48" i="204"/>
  <c r="R47" i="204"/>
  <c r="R46" i="204"/>
  <c r="R45" i="204"/>
  <c r="R44" i="204"/>
  <c r="R43" i="204"/>
  <c r="R42" i="204"/>
  <c r="R41" i="204"/>
  <c r="R40" i="204"/>
  <c r="R39" i="204"/>
  <c r="R38" i="204"/>
  <c r="R37" i="204"/>
  <c r="R36" i="204"/>
  <c r="R35" i="204"/>
  <c r="R34" i="204"/>
  <c r="R33" i="204"/>
  <c r="R32" i="204"/>
  <c r="R31" i="204"/>
  <c r="CC30" i="204"/>
  <c r="CB30" i="204"/>
  <c r="CA30" i="204"/>
  <c r="BZ30" i="204"/>
  <c r="BY30" i="204"/>
  <c r="BX30" i="204"/>
  <c r="BW30" i="204"/>
  <c r="BV30" i="204"/>
  <c r="BU30" i="204"/>
  <c r="BT30" i="204"/>
  <c r="BS30" i="204"/>
  <c r="BR30" i="204"/>
  <c r="BQ30" i="204"/>
  <c r="BP30" i="204"/>
  <c r="BO30" i="204"/>
  <c r="BN30" i="204"/>
  <c r="BM30" i="204"/>
  <c r="BL30" i="204"/>
  <c r="BK30" i="204"/>
  <c r="BJ30" i="204"/>
  <c r="BI30" i="204"/>
  <c r="BH30" i="204"/>
  <c r="BG30" i="204"/>
  <c r="BF30" i="204"/>
  <c r="R30" i="204"/>
  <c r="R29" i="204"/>
  <c r="R28" i="204"/>
  <c r="R27" i="204"/>
  <c r="R26" i="204"/>
  <c r="R25" i="204"/>
  <c r="R24" i="204"/>
  <c r="R23" i="204"/>
  <c r="R22" i="204"/>
  <c r="R21" i="204"/>
  <c r="R20" i="204"/>
  <c r="R19" i="204"/>
  <c r="R18" i="204"/>
  <c r="R17" i="204"/>
  <c r="R16" i="204"/>
  <c r="R15" i="204"/>
  <c r="AO14" i="204"/>
  <c r="AO15" i="204" s="1"/>
  <c r="R14" i="204"/>
  <c r="N10" i="204"/>
  <c r="K10" i="204"/>
  <c r="B10" i="204"/>
  <c r="K9" i="204"/>
  <c r="B9" i="204"/>
  <c r="N7" i="204"/>
  <c r="N6" i="204"/>
  <c r="T1" i="204"/>
  <c r="S1" i="204"/>
  <c r="I4" i="204" s="1"/>
  <c r="I1" i="204"/>
  <c r="R55" i="203"/>
  <c r="R54" i="203"/>
  <c r="R53" i="203"/>
  <c r="R52" i="203"/>
  <c r="R51" i="203"/>
  <c r="R50" i="203"/>
  <c r="R49" i="203"/>
  <c r="R48" i="203"/>
  <c r="R47" i="203"/>
  <c r="R46" i="203"/>
  <c r="R45" i="203"/>
  <c r="R44" i="203"/>
  <c r="R43" i="203"/>
  <c r="R42" i="203"/>
  <c r="R41" i="203"/>
  <c r="R40" i="203"/>
  <c r="R39" i="203"/>
  <c r="R38" i="203"/>
  <c r="R37" i="203"/>
  <c r="R36" i="203"/>
  <c r="R35" i="203"/>
  <c r="R34" i="203"/>
  <c r="R33" i="203"/>
  <c r="R32" i="203"/>
  <c r="R31" i="203"/>
  <c r="CC30" i="203"/>
  <c r="CB30" i="203"/>
  <c r="CA30" i="203"/>
  <c r="BZ30" i="203"/>
  <c r="BY30" i="203"/>
  <c r="BX30" i="203"/>
  <c r="BW30" i="203"/>
  <c r="BV30" i="203"/>
  <c r="BU30" i="203"/>
  <c r="BT30" i="203"/>
  <c r="BS30" i="203"/>
  <c r="BR30" i="203"/>
  <c r="BQ30" i="203"/>
  <c r="BP30" i="203"/>
  <c r="BO30" i="203"/>
  <c r="BN30" i="203"/>
  <c r="BM30" i="203"/>
  <c r="BL30" i="203"/>
  <c r="BK30" i="203"/>
  <c r="BJ30" i="203"/>
  <c r="BI30" i="203"/>
  <c r="BH30" i="203"/>
  <c r="BG30" i="203"/>
  <c r="BF30" i="203"/>
  <c r="R30" i="203"/>
  <c r="R29" i="203"/>
  <c r="R28" i="203"/>
  <c r="R27" i="203"/>
  <c r="R26" i="203"/>
  <c r="R25" i="203"/>
  <c r="R24" i="203"/>
  <c r="R23" i="203"/>
  <c r="R22" i="203"/>
  <c r="R21" i="203"/>
  <c r="R20" i="203"/>
  <c r="R19" i="203"/>
  <c r="R18" i="203"/>
  <c r="R17" i="203"/>
  <c r="R16" i="203"/>
  <c r="R15" i="203"/>
  <c r="AO14" i="203"/>
  <c r="P14" i="203" s="1"/>
  <c r="R14" i="203"/>
  <c r="N10" i="203"/>
  <c r="K10" i="203"/>
  <c r="B10" i="203"/>
  <c r="K9" i="203"/>
  <c r="B9" i="203"/>
  <c r="N7" i="203"/>
  <c r="N6" i="203"/>
  <c r="T1" i="203"/>
  <c r="S1" i="203"/>
  <c r="I4" i="203" s="1"/>
  <c r="I1" i="203"/>
  <c r="R55" i="202"/>
  <c r="R54" i="202"/>
  <c r="R53" i="202"/>
  <c r="R52" i="202"/>
  <c r="R51" i="202"/>
  <c r="R50" i="202"/>
  <c r="R49" i="202"/>
  <c r="R48" i="202"/>
  <c r="R47" i="202"/>
  <c r="R46" i="202"/>
  <c r="R45" i="202"/>
  <c r="R44" i="202"/>
  <c r="R43" i="202"/>
  <c r="R42" i="202"/>
  <c r="R41" i="202"/>
  <c r="R40" i="202"/>
  <c r="R39" i="202"/>
  <c r="R38" i="202"/>
  <c r="R37" i="202"/>
  <c r="R36" i="202"/>
  <c r="R35" i="202"/>
  <c r="R34" i="202"/>
  <c r="R33" i="202"/>
  <c r="R32" i="202"/>
  <c r="R31" i="202"/>
  <c r="CC30" i="202"/>
  <c r="CB30" i="202"/>
  <c r="CA30" i="202"/>
  <c r="BZ30" i="202"/>
  <c r="BY30" i="202"/>
  <c r="BX30" i="202"/>
  <c r="BW30" i="202"/>
  <c r="BV30" i="202"/>
  <c r="BU30" i="202"/>
  <c r="BT30" i="202"/>
  <c r="BS30" i="202"/>
  <c r="BR30" i="202"/>
  <c r="BQ30" i="202"/>
  <c r="BP30" i="202"/>
  <c r="BO30" i="202"/>
  <c r="BN30" i="202"/>
  <c r="BM30" i="202"/>
  <c r="BL30" i="202"/>
  <c r="BK30" i="202"/>
  <c r="BJ30" i="202"/>
  <c r="BI30" i="202"/>
  <c r="BH30" i="202"/>
  <c r="BG30" i="202"/>
  <c r="BF30" i="202"/>
  <c r="R30" i="202"/>
  <c r="R29" i="202"/>
  <c r="R28" i="202"/>
  <c r="R27" i="202"/>
  <c r="R26" i="202"/>
  <c r="R25" i="202"/>
  <c r="R24" i="202"/>
  <c r="R23" i="202"/>
  <c r="R22" i="202"/>
  <c r="R21" i="202"/>
  <c r="R20" i="202"/>
  <c r="R19" i="202"/>
  <c r="R18" i="202"/>
  <c r="R17" i="202"/>
  <c r="R16" i="202"/>
  <c r="R15" i="202"/>
  <c r="AO14" i="202"/>
  <c r="AO15" i="202" s="1"/>
  <c r="R14" i="202"/>
  <c r="N10" i="202"/>
  <c r="K10" i="202"/>
  <c r="B10" i="202"/>
  <c r="K9" i="202"/>
  <c r="B9" i="202"/>
  <c r="N7" i="202"/>
  <c r="N6" i="202"/>
  <c r="T1" i="202"/>
  <c r="S1" i="202"/>
  <c r="I4" i="202" s="1"/>
  <c r="I1" i="202"/>
  <c r="R55" i="201"/>
  <c r="R54" i="201"/>
  <c r="R53" i="201"/>
  <c r="R52" i="201"/>
  <c r="R51" i="201"/>
  <c r="R50" i="201"/>
  <c r="R49" i="201"/>
  <c r="R48" i="201"/>
  <c r="R47" i="201"/>
  <c r="R46" i="201"/>
  <c r="R45" i="201"/>
  <c r="R44" i="201"/>
  <c r="R43" i="201"/>
  <c r="R42" i="201"/>
  <c r="R41" i="201"/>
  <c r="R40" i="201"/>
  <c r="R39" i="201"/>
  <c r="R38" i="201"/>
  <c r="R37" i="201"/>
  <c r="R36" i="201"/>
  <c r="R35" i="201"/>
  <c r="R34" i="201"/>
  <c r="R33" i="201"/>
  <c r="R32" i="201"/>
  <c r="R31" i="201"/>
  <c r="CC30" i="201"/>
  <c r="CB30" i="201"/>
  <c r="CA30" i="201"/>
  <c r="BZ30" i="201"/>
  <c r="BY30" i="201"/>
  <c r="BX30" i="201"/>
  <c r="BW30" i="201"/>
  <c r="BV30" i="201"/>
  <c r="BU30" i="201"/>
  <c r="BT30" i="201"/>
  <c r="BS30" i="201"/>
  <c r="BR30" i="201"/>
  <c r="BQ30" i="201"/>
  <c r="BP30" i="201"/>
  <c r="BO30" i="201"/>
  <c r="BN30" i="201"/>
  <c r="BM30" i="201"/>
  <c r="BL30" i="201"/>
  <c r="BK30" i="201"/>
  <c r="BJ30" i="201"/>
  <c r="BI30" i="201"/>
  <c r="BH30" i="201"/>
  <c r="BG30" i="201"/>
  <c r="BF30" i="201"/>
  <c r="R30" i="201"/>
  <c r="R29" i="201"/>
  <c r="R28" i="201"/>
  <c r="R27" i="201"/>
  <c r="R26" i="201"/>
  <c r="R25" i="201"/>
  <c r="R24" i="201"/>
  <c r="R23" i="201"/>
  <c r="R22" i="201"/>
  <c r="R21" i="201"/>
  <c r="R20" i="201"/>
  <c r="R19" i="201"/>
  <c r="R18" i="201"/>
  <c r="R17" i="201"/>
  <c r="R16" i="201"/>
  <c r="R15" i="201"/>
  <c r="AO14" i="201"/>
  <c r="AO15" i="201" s="1"/>
  <c r="R14" i="201"/>
  <c r="N10" i="201"/>
  <c r="K10" i="201"/>
  <c r="B10" i="201"/>
  <c r="K9" i="201"/>
  <c r="B9" i="201"/>
  <c r="N7" i="201"/>
  <c r="N6" i="201"/>
  <c r="T1" i="201"/>
  <c r="S1" i="201"/>
  <c r="I4" i="201" s="1"/>
  <c r="I1" i="201"/>
  <c r="R55" i="200"/>
  <c r="R54" i="200"/>
  <c r="R53" i="200"/>
  <c r="R52" i="200"/>
  <c r="R51" i="200"/>
  <c r="R50" i="200"/>
  <c r="R49" i="200"/>
  <c r="R48" i="200"/>
  <c r="R47" i="200"/>
  <c r="R46" i="200"/>
  <c r="R45" i="200"/>
  <c r="R44" i="200"/>
  <c r="R43" i="200"/>
  <c r="R42" i="200"/>
  <c r="R41" i="200"/>
  <c r="R40" i="200"/>
  <c r="R39" i="200"/>
  <c r="R38" i="200"/>
  <c r="R37" i="200"/>
  <c r="R36" i="200"/>
  <c r="R35" i="200"/>
  <c r="R34" i="200"/>
  <c r="R33" i="200"/>
  <c r="R32" i="200"/>
  <c r="R31" i="200"/>
  <c r="CC30" i="200"/>
  <c r="CB30" i="200"/>
  <c r="CA30" i="200"/>
  <c r="BZ30" i="200"/>
  <c r="BY30" i="200"/>
  <c r="BX30" i="200"/>
  <c r="BW30" i="200"/>
  <c r="BV30" i="200"/>
  <c r="BU30" i="200"/>
  <c r="BT30" i="200"/>
  <c r="BS30" i="200"/>
  <c r="BR30" i="200"/>
  <c r="BQ30" i="200"/>
  <c r="BP30" i="200"/>
  <c r="BO30" i="200"/>
  <c r="BN30" i="200"/>
  <c r="BM30" i="200"/>
  <c r="BL30" i="200"/>
  <c r="BK30" i="200"/>
  <c r="BJ30" i="200"/>
  <c r="BI30" i="200"/>
  <c r="BH30" i="200"/>
  <c r="BG30" i="200"/>
  <c r="BF30" i="200"/>
  <c r="R30" i="200"/>
  <c r="R29" i="200"/>
  <c r="R28" i="200"/>
  <c r="R27" i="200"/>
  <c r="R26" i="200"/>
  <c r="R25" i="200"/>
  <c r="R24" i="200"/>
  <c r="R23" i="200"/>
  <c r="R22" i="200"/>
  <c r="R21" i="200"/>
  <c r="R20" i="200"/>
  <c r="R19" i="200"/>
  <c r="R18" i="200"/>
  <c r="R17" i="200"/>
  <c r="R16" i="200"/>
  <c r="R15" i="200"/>
  <c r="AO14" i="200"/>
  <c r="AO15" i="200" s="1"/>
  <c r="R14" i="200"/>
  <c r="N10" i="200"/>
  <c r="K10" i="200"/>
  <c r="B10" i="200"/>
  <c r="K9" i="200"/>
  <c r="B9" i="200"/>
  <c r="N7" i="200"/>
  <c r="N6" i="200"/>
  <c r="T1" i="200"/>
  <c r="S1" i="200"/>
  <c r="I4" i="200" s="1"/>
  <c r="I1" i="200"/>
  <c r="R55" i="199"/>
  <c r="R54" i="199"/>
  <c r="R53" i="199"/>
  <c r="R52" i="199"/>
  <c r="R51" i="199"/>
  <c r="R50" i="199"/>
  <c r="R49" i="199"/>
  <c r="R48" i="199"/>
  <c r="R47" i="199"/>
  <c r="R46" i="199"/>
  <c r="R45" i="199"/>
  <c r="R44" i="199"/>
  <c r="R43" i="199"/>
  <c r="R42" i="199"/>
  <c r="R41" i="199"/>
  <c r="R40" i="199"/>
  <c r="R39" i="199"/>
  <c r="R38" i="199"/>
  <c r="R37" i="199"/>
  <c r="R36" i="199"/>
  <c r="R35" i="199"/>
  <c r="R34" i="199"/>
  <c r="R33" i="199"/>
  <c r="R32" i="199"/>
  <c r="R31" i="199"/>
  <c r="CC30" i="199"/>
  <c r="CB30" i="199"/>
  <c r="CA30" i="199"/>
  <c r="BZ30" i="199"/>
  <c r="BY30" i="199"/>
  <c r="BX30" i="199"/>
  <c r="BW30" i="199"/>
  <c r="BV30" i="199"/>
  <c r="BU30" i="199"/>
  <c r="BT30" i="199"/>
  <c r="BS30" i="199"/>
  <c r="BR30" i="199"/>
  <c r="BQ30" i="199"/>
  <c r="BP30" i="199"/>
  <c r="BO30" i="199"/>
  <c r="BN30" i="199"/>
  <c r="BM30" i="199"/>
  <c r="BL30" i="199"/>
  <c r="BK30" i="199"/>
  <c r="BJ30" i="199"/>
  <c r="BI30" i="199"/>
  <c r="BH30" i="199"/>
  <c r="BG30" i="199"/>
  <c r="BF30" i="199"/>
  <c r="R30" i="199"/>
  <c r="R29" i="199"/>
  <c r="R28" i="199"/>
  <c r="R27" i="199"/>
  <c r="R26" i="199"/>
  <c r="R25" i="199"/>
  <c r="R24" i="199"/>
  <c r="R23" i="199"/>
  <c r="R22" i="199"/>
  <c r="R21" i="199"/>
  <c r="R20" i="199"/>
  <c r="R19" i="199"/>
  <c r="R18" i="199"/>
  <c r="R17" i="199"/>
  <c r="R16" i="199"/>
  <c r="R15" i="199"/>
  <c r="AO14" i="199"/>
  <c r="AO15" i="199" s="1"/>
  <c r="R14" i="199"/>
  <c r="N10" i="199"/>
  <c r="K10" i="199"/>
  <c r="B10" i="199"/>
  <c r="K9" i="199"/>
  <c r="B9" i="199"/>
  <c r="N7" i="199"/>
  <c r="N6" i="199"/>
  <c r="T1" i="199"/>
  <c r="S1" i="199"/>
  <c r="I4" i="199" s="1"/>
  <c r="I1" i="199"/>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CC30" i="198"/>
  <c r="CB30" i="198"/>
  <c r="CA30" i="198"/>
  <c r="BZ30" i="198"/>
  <c r="BY30" i="198"/>
  <c r="BX30" i="198"/>
  <c r="BW30" i="198"/>
  <c r="BV30" i="198"/>
  <c r="BU30" i="198"/>
  <c r="BT30" i="198"/>
  <c r="BS30" i="198"/>
  <c r="BR30" i="198"/>
  <c r="BQ30" i="198"/>
  <c r="BP30" i="198"/>
  <c r="BO30" i="198"/>
  <c r="BN30" i="198"/>
  <c r="BM30" i="198"/>
  <c r="BL30" i="198"/>
  <c r="BK30" i="198"/>
  <c r="BJ30" i="198"/>
  <c r="BI30" i="198"/>
  <c r="BH30" i="198"/>
  <c r="BG30" i="198"/>
  <c r="BF30" i="198"/>
  <c r="R30" i="198"/>
  <c r="R29" i="198"/>
  <c r="R28" i="198"/>
  <c r="R27" i="198"/>
  <c r="R26" i="198"/>
  <c r="R25" i="198"/>
  <c r="R24" i="198"/>
  <c r="R23" i="198"/>
  <c r="R22" i="198"/>
  <c r="R21" i="198"/>
  <c r="R20" i="198"/>
  <c r="R19" i="198"/>
  <c r="R18" i="198"/>
  <c r="R17" i="198"/>
  <c r="R16" i="198"/>
  <c r="R15" i="198"/>
  <c r="AO14" i="198"/>
  <c r="AO15" i="198" s="1"/>
  <c r="R14" i="198"/>
  <c r="N10" i="198"/>
  <c r="K10" i="198"/>
  <c r="B10" i="198"/>
  <c r="K9" i="198"/>
  <c r="B9" i="198"/>
  <c r="N7" i="198"/>
  <c r="N6" i="198"/>
  <c r="I4" i="198"/>
  <c r="T1" i="198"/>
  <c r="S1" i="198"/>
  <c r="I2" i="198" s="1"/>
  <c r="I1" i="198"/>
  <c r="R55" i="197"/>
  <c r="R54" i="197"/>
  <c r="R53" i="197"/>
  <c r="R52" i="197"/>
  <c r="R51" i="197"/>
  <c r="R50" i="197"/>
  <c r="R49" i="197"/>
  <c r="R48" i="197"/>
  <c r="R47" i="197"/>
  <c r="R46" i="197"/>
  <c r="R45" i="197"/>
  <c r="R44" i="197"/>
  <c r="R43" i="197"/>
  <c r="R42" i="197"/>
  <c r="R41" i="197"/>
  <c r="R40" i="197"/>
  <c r="R39" i="197"/>
  <c r="R38" i="197"/>
  <c r="R37" i="197"/>
  <c r="R36" i="197"/>
  <c r="R35" i="197"/>
  <c r="R34" i="197"/>
  <c r="R33" i="197"/>
  <c r="R32" i="197"/>
  <c r="R31" i="197"/>
  <c r="CC30" i="197"/>
  <c r="CB30" i="197"/>
  <c r="CA30" i="197"/>
  <c r="BZ30" i="197"/>
  <c r="BY30" i="197"/>
  <c r="BX30" i="197"/>
  <c r="BW30" i="197"/>
  <c r="BV30" i="197"/>
  <c r="BU30" i="197"/>
  <c r="BT30" i="197"/>
  <c r="BS30" i="197"/>
  <c r="BR30" i="197"/>
  <c r="BQ30" i="197"/>
  <c r="BP30" i="197"/>
  <c r="BO30" i="197"/>
  <c r="BN30" i="197"/>
  <c r="BM30" i="197"/>
  <c r="BL30" i="197"/>
  <c r="BK30" i="197"/>
  <c r="BJ30" i="197"/>
  <c r="BI30" i="197"/>
  <c r="BH30" i="197"/>
  <c r="BG30" i="197"/>
  <c r="BF30" i="197"/>
  <c r="R30" i="197"/>
  <c r="R29" i="197"/>
  <c r="R28" i="197"/>
  <c r="R27" i="197"/>
  <c r="R26" i="197"/>
  <c r="R25" i="197"/>
  <c r="R24" i="197"/>
  <c r="R23" i="197"/>
  <c r="R22" i="197"/>
  <c r="R21" i="197"/>
  <c r="R20" i="197"/>
  <c r="R19" i="197"/>
  <c r="R18" i="197"/>
  <c r="R17" i="197"/>
  <c r="R16" i="197"/>
  <c r="R15" i="197"/>
  <c r="AO14" i="197"/>
  <c r="AO15" i="197" s="1"/>
  <c r="R14" i="197"/>
  <c r="N10" i="197"/>
  <c r="K10" i="197"/>
  <c r="B10" i="197"/>
  <c r="K9" i="197"/>
  <c r="B9" i="197"/>
  <c r="N7" i="197"/>
  <c r="N6" i="197"/>
  <c r="T1" i="197"/>
  <c r="S1" i="197"/>
  <c r="I4" i="197" s="1"/>
  <c r="X7" i="186"/>
  <c r="X7" i="185"/>
  <c r="X7" i="184"/>
  <c r="X7" i="183"/>
  <c r="L7" i="177"/>
  <c r="L7" i="176"/>
  <c r="L7" i="175"/>
  <c r="L7" i="174"/>
  <c r="L7" i="173"/>
  <c r="L7" i="172"/>
  <c r="L7" i="171"/>
  <c r="L7" i="170"/>
  <c r="N7" i="181"/>
  <c r="N7" i="180"/>
  <c r="N7" i="179"/>
  <c r="N7" i="178"/>
  <c r="H7" i="182"/>
  <c r="H7" i="196"/>
  <c r="R99" i="196"/>
  <c r="R98" i="196"/>
  <c r="R97" i="196"/>
  <c r="R96" i="196"/>
  <c r="R95" i="196"/>
  <c r="R94" i="196"/>
  <c r="R93" i="196"/>
  <c r="R92" i="196"/>
  <c r="R91" i="196"/>
  <c r="R90" i="196"/>
  <c r="R89" i="196"/>
  <c r="R88" i="196"/>
  <c r="R87" i="196"/>
  <c r="R86" i="196"/>
  <c r="R85" i="196"/>
  <c r="R84" i="196"/>
  <c r="R83" i="196"/>
  <c r="R82" i="196"/>
  <c r="R81" i="196"/>
  <c r="R80" i="196"/>
  <c r="R79" i="196"/>
  <c r="R78" i="196"/>
  <c r="R77" i="196"/>
  <c r="R76" i="196"/>
  <c r="R75" i="196"/>
  <c r="R74" i="196"/>
  <c r="R73" i="196"/>
  <c r="R72" i="196"/>
  <c r="R71" i="196"/>
  <c r="R70" i="196"/>
  <c r="R69" i="196"/>
  <c r="R68" i="196"/>
  <c r="R67" i="196"/>
  <c r="R66" i="196"/>
  <c r="R65" i="196"/>
  <c r="R64" i="196"/>
  <c r="R63" i="196"/>
  <c r="R62" i="196"/>
  <c r="R61" i="196"/>
  <c r="R60" i="196"/>
  <c r="R59" i="196"/>
  <c r="R58" i="196"/>
  <c r="R57" i="196"/>
  <c r="R56" i="196"/>
  <c r="R55" i="196"/>
  <c r="R54" i="196"/>
  <c r="R53" i="196"/>
  <c r="R52" i="196"/>
  <c r="N52" i="196"/>
  <c r="R51" i="196"/>
  <c r="R50" i="196"/>
  <c r="R49" i="196"/>
  <c r="R48" i="196"/>
  <c r="R47" i="196"/>
  <c r="R46" i="196"/>
  <c r="R45" i="196"/>
  <c r="R44" i="196"/>
  <c r="R43" i="196"/>
  <c r="R42" i="196"/>
  <c r="R41" i="196"/>
  <c r="R40" i="196"/>
  <c r="R39" i="196"/>
  <c r="R38" i="196"/>
  <c r="R37" i="196"/>
  <c r="R36" i="196"/>
  <c r="R35" i="196"/>
  <c r="R34" i="196"/>
  <c r="R33" i="196"/>
  <c r="R32" i="196"/>
  <c r="R31" i="196"/>
  <c r="R30" i="196"/>
  <c r="R29" i="196"/>
  <c r="R28" i="196"/>
  <c r="R27" i="196"/>
  <c r="L27" i="196"/>
  <c r="L28" i="196" s="1"/>
  <c r="L29" i="196" s="1"/>
  <c r="L30" i="196" s="1"/>
  <c r="L31" i="196" s="1"/>
  <c r="L32" i="196" s="1"/>
  <c r="L33" i="196" s="1"/>
  <c r="L34" i="196" s="1"/>
  <c r="L35" i="196" s="1"/>
  <c r="L36" i="196" s="1"/>
  <c r="L37" i="196" s="1"/>
  <c r="L38" i="196" s="1"/>
  <c r="L39" i="196" s="1"/>
  <c r="L40" i="196" s="1"/>
  <c r="L41" i="196" s="1"/>
  <c r="L42" i="196" s="1"/>
  <c r="L43" i="196" s="1"/>
  <c r="L44" i="196" s="1"/>
  <c r="L45" i="196" s="1"/>
  <c r="L46" i="196" s="1"/>
  <c r="L47" i="196" s="1"/>
  <c r="L48" i="196" s="1"/>
  <c r="L49" i="196" s="1"/>
  <c r="L50" i="196" s="1"/>
  <c r="L51" i="196" s="1"/>
  <c r="R26" i="196"/>
  <c r="L26" i="196"/>
  <c r="R25" i="196"/>
  <c r="L25" i="196"/>
  <c r="R24" i="196"/>
  <c r="L24" i="196"/>
  <c r="R23" i="196"/>
  <c r="L23" i="196"/>
  <c r="R22" i="196"/>
  <c r="L22" i="196"/>
  <c r="R21" i="196"/>
  <c r="L21" i="196"/>
  <c r="R20" i="196"/>
  <c r="L20" i="196"/>
  <c r="R19" i="196"/>
  <c r="L19" i="196"/>
  <c r="R18" i="196"/>
  <c r="L18" i="196"/>
  <c r="R17" i="196"/>
  <c r="L17" i="196"/>
  <c r="R16" i="196"/>
  <c r="L16" i="196"/>
  <c r="R15" i="196"/>
  <c r="L15" i="196"/>
  <c r="R14" i="196"/>
  <c r="L14" i="196"/>
  <c r="R13" i="196"/>
  <c r="L13" i="196"/>
  <c r="P10" i="196"/>
  <c r="J10" i="196"/>
  <c r="G10" i="196"/>
  <c r="B10" i="196"/>
  <c r="G9" i="196"/>
  <c r="B9" i="196"/>
  <c r="H6" i="196"/>
  <c r="D2" i="196"/>
  <c r="M1" i="196"/>
  <c r="L1" i="196"/>
  <c r="D4" i="196" s="1"/>
  <c r="H5" i="188"/>
  <c r="E5" i="188"/>
  <c r="B5" i="188"/>
  <c r="E4" i="188"/>
  <c r="B4" i="188"/>
  <c r="F1" i="188"/>
  <c r="H5" i="187"/>
  <c r="E5" i="187"/>
  <c r="B5" i="187"/>
  <c r="E4" i="187"/>
  <c r="B4" i="187"/>
  <c r="F1" i="187"/>
  <c r="BG87" i="186"/>
  <c r="BF87" i="186"/>
  <c r="BE87" i="186"/>
  <c r="BD87" i="186"/>
  <c r="BC87" i="186"/>
  <c r="BB87" i="186"/>
  <c r="BA87" i="186"/>
  <c r="AZ87" i="186"/>
  <c r="AY87" i="186"/>
  <c r="AX87" i="186"/>
  <c r="AW87" i="186"/>
  <c r="AV87" i="186"/>
  <c r="AU87" i="186"/>
  <c r="AT87" i="186"/>
  <c r="AS87" i="186"/>
  <c r="AR87" i="186"/>
  <c r="AQ87" i="186"/>
  <c r="AP87" i="186"/>
  <c r="AO87" i="186"/>
  <c r="AN87" i="186"/>
  <c r="AM87" i="186"/>
  <c r="AL87" i="186"/>
  <c r="AK87" i="186"/>
  <c r="AJ87" i="186"/>
  <c r="AI87" i="186"/>
  <c r="AH87" i="186"/>
  <c r="AG87" i="186"/>
  <c r="AF87" i="186"/>
  <c r="AE87" i="186"/>
  <c r="AD87" i="186"/>
  <c r="AC87" i="186"/>
  <c r="AB87" i="186"/>
  <c r="AA87" i="186"/>
  <c r="Z87" i="186"/>
  <c r="Y87" i="186"/>
  <c r="X87" i="186"/>
  <c r="W87" i="186"/>
  <c r="V87" i="186"/>
  <c r="U87" i="186"/>
  <c r="T87" i="186"/>
  <c r="S87" i="186"/>
  <c r="R87" i="186"/>
  <c r="Q87" i="186"/>
  <c r="P87" i="186"/>
  <c r="O87" i="186"/>
  <c r="N87" i="186"/>
  <c r="M87" i="186"/>
  <c r="L87" i="186"/>
  <c r="K87" i="186"/>
  <c r="J87" i="186"/>
  <c r="I87" i="186"/>
  <c r="H87" i="186"/>
  <c r="G87" i="186"/>
  <c r="F87" i="186"/>
  <c r="E87" i="186"/>
  <c r="D87" i="186"/>
  <c r="C87" i="186"/>
  <c r="B87" i="186"/>
  <c r="A87" i="186"/>
  <c r="GI85" i="186"/>
  <c r="GH85" i="186"/>
  <c r="AZ45" i="186" s="1"/>
  <c r="FH85" i="186" s="1"/>
  <c r="GG85" i="186"/>
  <c r="AV45" i="186" s="1"/>
  <c r="FG85" i="186" s="1"/>
  <c r="GF85" i="186"/>
  <c r="AR45" i="186" s="1"/>
  <c r="FF85" i="186" s="1"/>
  <c r="GE85" i="186"/>
  <c r="AQ45" i="186" s="1"/>
  <c r="GD85" i="186"/>
  <c r="AP45" i="186" s="1"/>
  <c r="FM85" i="186"/>
  <c r="EX85" i="186"/>
  <c r="EK85" i="186"/>
  <c r="ED85" i="186"/>
  <c r="EB85" i="186"/>
  <c r="DE85" i="186"/>
  <c r="CY85" i="186"/>
  <c r="CU85" i="186"/>
  <c r="EQ85" i="186" s="1"/>
  <c r="ER85" i="186" s="1"/>
  <c r="CT85" i="186"/>
  <c r="EP85" i="186" s="1"/>
  <c r="CS85" i="186"/>
  <c r="CR85" i="186"/>
  <c r="CQ85" i="186"/>
  <c r="CP85" i="186"/>
  <c r="FC85" i="186" s="1"/>
  <c r="CO85" i="186"/>
  <c r="CN85" i="186"/>
  <c r="CM85" i="186"/>
  <c r="DI85" i="186" s="1"/>
  <c r="CL85" i="186"/>
  <c r="EI85" i="186" s="1"/>
  <c r="CK85" i="186"/>
  <c r="CJ85" i="186"/>
  <c r="CI85" i="186"/>
  <c r="CH85" i="186"/>
  <c r="CG85" i="186"/>
  <c r="CF85" i="186"/>
  <c r="EO85" i="186" s="1"/>
  <c r="CE85" i="186"/>
  <c r="CD85" i="186"/>
  <c r="DC85" i="186" s="1"/>
  <c r="CC85" i="186"/>
  <c r="EE85" i="186" s="1"/>
  <c r="EG85" i="186" s="1"/>
  <c r="CB85" i="186"/>
  <c r="GI84" i="186"/>
  <c r="BE44" i="186" s="1"/>
  <c r="GH84" i="186"/>
  <c r="BA44" i="186" s="1"/>
  <c r="GG84" i="186"/>
  <c r="AW44" i="186" s="1"/>
  <c r="GF84" i="186"/>
  <c r="AS44" i="186" s="1"/>
  <c r="GE84" i="186"/>
  <c r="AQ44" i="186" s="1"/>
  <c r="GD84" i="186"/>
  <c r="AP44" i="186" s="1"/>
  <c r="FM84" i="186"/>
  <c r="EX84" i="186"/>
  <c r="EM84" i="186"/>
  <c r="EL84" i="186"/>
  <c r="EK84" i="186"/>
  <c r="ED84" i="186"/>
  <c r="EB84" i="186"/>
  <c r="DE84" i="186"/>
  <c r="CY84" i="186"/>
  <c r="CU84" i="186"/>
  <c r="EQ84" i="186" s="1"/>
  <c r="ER84" i="186" s="1"/>
  <c r="CT84" i="186"/>
  <c r="EP84" i="186" s="1"/>
  <c r="CS84" i="186"/>
  <c r="CR84" i="186"/>
  <c r="CQ84" i="186"/>
  <c r="CP84" i="186"/>
  <c r="EA84" i="186" s="1"/>
  <c r="R44" i="186" s="1"/>
  <c r="CO84" i="186"/>
  <c r="FE84" i="186" s="1"/>
  <c r="CN84" i="186"/>
  <c r="CM84" i="186"/>
  <c r="CL84" i="186"/>
  <c r="EI84" i="186" s="1"/>
  <c r="CK84" i="186"/>
  <c r="CJ84" i="186"/>
  <c r="CI84" i="186"/>
  <c r="CH84" i="186"/>
  <c r="CG84" i="186"/>
  <c r="DZ84" i="186" s="1"/>
  <c r="CF84" i="186"/>
  <c r="CE84" i="186"/>
  <c r="CD84" i="186"/>
  <c r="DC84" i="186" s="1"/>
  <c r="CC84" i="186"/>
  <c r="EF84" i="186" s="1"/>
  <c r="CB84" i="186"/>
  <c r="GI83" i="186"/>
  <c r="BE43" i="186" s="1"/>
  <c r="GH83" i="186"/>
  <c r="BA43" i="186" s="1"/>
  <c r="GG83" i="186"/>
  <c r="AW43" i="186" s="1"/>
  <c r="GF83" i="186"/>
  <c r="AR43" i="186" s="1"/>
  <c r="FF83" i="186" s="1"/>
  <c r="GE83" i="186"/>
  <c r="AQ43" i="186" s="1"/>
  <c r="GD83" i="186"/>
  <c r="AP43" i="186" s="1"/>
  <c r="FM83" i="186"/>
  <c r="EX83" i="186"/>
  <c r="ED83" i="186"/>
  <c r="EB83" i="186"/>
  <c r="DE83" i="186"/>
  <c r="CY83" i="186"/>
  <c r="CU83" i="186"/>
  <c r="EQ83" i="186" s="1"/>
  <c r="ER83" i="186" s="1"/>
  <c r="CT83" i="186"/>
  <c r="EP83" i="186" s="1"/>
  <c r="CS83" i="186"/>
  <c r="CR83" i="186"/>
  <c r="CQ83" i="186"/>
  <c r="CP83" i="186"/>
  <c r="CO83" i="186"/>
  <c r="FE83" i="186" s="1"/>
  <c r="CN83" i="186"/>
  <c r="CM83" i="186"/>
  <c r="DJ83" i="186" s="1"/>
  <c r="K43" i="186" s="1"/>
  <c r="CL83" i="186"/>
  <c r="EI83" i="186" s="1"/>
  <c r="CK83" i="186"/>
  <c r="EK83" i="186" s="1"/>
  <c r="EL83" i="186" s="1"/>
  <c r="EM83" i="186" s="1"/>
  <c r="EN83" i="186" s="1"/>
  <c r="X43" i="186" s="1"/>
  <c r="CJ83" i="186"/>
  <c r="CI83" i="186"/>
  <c r="CH83" i="186"/>
  <c r="CG83" i="186"/>
  <c r="DZ83" i="186" s="1"/>
  <c r="O43" i="186" s="1"/>
  <c r="CF83" i="186"/>
  <c r="CW83" i="186" s="1"/>
  <c r="M43" i="186" s="1"/>
  <c r="CE83" i="186"/>
  <c r="CD83" i="186"/>
  <c r="DC83" i="186" s="1"/>
  <c r="CC83" i="186"/>
  <c r="CB83" i="186"/>
  <c r="GI82" i="186"/>
  <c r="BE42" i="186" s="1"/>
  <c r="GH82" i="186"/>
  <c r="AZ42" i="186" s="1"/>
  <c r="FH82" i="186" s="1"/>
  <c r="GG82" i="186"/>
  <c r="AW42" i="186" s="1"/>
  <c r="GF82" i="186"/>
  <c r="AS42" i="186" s="1"/>
  <c r="GE82" i="186"/>
  <c r="AQ42" i="186" s="1"/>
  <c r="GD82" i="186"/>
  <c r="AP42" i="186" s="1"/>
  <c r="FM82" i="186"/>
  <c r="EX82" i="186"/>
  <c r="ED82" i="186"/>
  <c r="EB82" i="186"/>
  <c r="DE82" i="186"/>
  <c r="CY82" i="186"/>
  <c r="CU82" i="186"/>
  <c r="EQ82" i="186" s="1"/>
  <c r="ER82" i="186" s="1"/>
  <c r="CT82" i="186"/>
  <c r="EP82" i="186" s="1"/>
  <c r="CS82" i="186"/>
  <c r="CR82" i="186"/>
  <c r="CQ82" i="186"/>
  <c r="CP82" i="186"/>
  <c r="FC82" i="186" s="1"/>
  <c r="CO82" i="186"/>
  <c r="CN82" i="186"/>
  <c r="CM82" i="186"/>
  <c r="DH82" i="186" s="1"/>
  <c r="CL82" i="186"/>
  <c r="EI82" i="186" s="1"/>
  <c r="CK82" i="186"/>
  <c r="EK82" i="186" s="1"/>
  <c r="CJ82" i="186"/>
  <c r="CI82" i="186"/>
  <c r="CH82" i="186"/>
  <c r="CG82" i="186"/>
  <c r="CF82" i="186"/>
  <c r="CW82" i="186" s="1"/>
  <c r="M42" i="186" s="1"/>
  <c r="CE82" i="186"/>
  <c r="CD82" i="186"/>
  <c r="DA82" i="186" s="1"/>
  <c r="CC82" i="186"/>
  <c r="EE82" i="186" s="1"/>
  <c r="EG82" i="186" s="1"/>
  <c r="CB82" i="186"/>
  <c r="GI81" i="186"/>
  <c r="BE41" i="186" s="1"/>
  <c r="GH81" i="186"/>
  <c r="BA41" i="186" s="1"/>
  <c r="GG81" i="186"/>
  <c r="GF81" i="186"/>
  <c r="AS41" i="186" s="1"/>
  <c r="GE81" i="186"/>
  <c r="AQ41" i="186" s="1"/>
  <c r="GD81" i="186"/>
  <c r="AP41" i="186" s="1"/>
  <c r="FM81" i="186"/>
  <c r="EX81" i="186"/>
  <c r="EP81" i="186"/>
  <c r="EK81" i="186"/>
  <c r="ED81" i="186"/>
  <c r="EB81" i="186"/>
  <c r="DE81" i="186"/>
  <c r="CY81" i="186"/>
  <c r="CU81" i="186"/>
  <c r="CT81" i="186"/>
  <c r="CS81" i="186"/>
  <c r="CR81" i="186"/>
  <c r="CQ81" i="186"/>
  <c r="CP81" i="186"/>
  <c r="FC81" i="186" s="1"/>
  <c r="CO81" i="186"/>
  <c r="CN81" i="186"/>
  <c r="CM81" i="186"/>
  <c r="DI81" i="186" s="1"/>
  <c r="CL81" i="186"/>
  <c r="EI81" i="186" s="1"/>
  <c r="CK81" i="186"/>
  <c r="CJ81" i="186"/>
  <c r="CI81" i="186"/>
  <c r="CH81" i="186"/>
  <c r="CG81" i="186"/>
  <c r="FB81" i="186" s="1"/>
  <c r="CF81" i="186"/>
  <c r="EO81" i="186" s="1"/>
  <c r="CE81" i="186"/>
  <c r="CD81" i="186"/>
  <c r="DB81" i="186" s="1"/>
  <c r="CC81" i="186"/>
  <c r="EE81" i="186" s="1"/>
  <c r="EG81" i="186" s="1"/>
  <c r="CB81" i="186"/>
  <c r="GI80" i="186"/>
  <c r="BE40" i="186" s="1"/>
  <c r="GH80" i="186"/>
  <c r="BA40" i="186" s="1"/>
  <c r="GG80" i="186"/>
  <c r="AW40" i="186" s="1"/>
  <c r="GF80" i="186"/>
  <c r="AS40" i="186" s="1"/>
  <c r="GE80" i="186"/>
  <c r="AQ40" i="186" s="1"/>
  <c r="GD80" i="186"/>
  <c r="AP40" i="186" s="1"/>
  <c r="FM80" i="186"/>
  <c r="EX80" i="186"/>
  <c r="EM80" i="186"/>
  <c r="EL80" i="186"/>
  <c r="EK80" i="186"/>
  <c r="ED80" i="186"/>
  <c r="EB80" i="186"/>
  <c r="DE80" i="186"/>
  <c r="CY80" i="186"/>
  <c r="CU80" i="186"/>
  <c r="CT80" i="186"/>
  <c r="EP80" i="186" s="1"/>
  <c r="CS80" i="186"/>
  <c r="CR80" i="186"/>
  <c r="CQ80" i="186"/>
  <c r="CP80" i="186"/>
  <c r="EA80" i="186" s="1"/>
  <c r="Q40" i="186" s="1"/>
  <c r="CO80" i="186"/>
  <c r="FE80" i="186" s="1"/>
  <c r="CN80" i="186"/>
  <c r="CM80" i="186"/>
  <c r="DI80" i="186" s="1"/>
  <c r="CL80" i="186"/>
  <c r="EI80" i="186" s="1"/>
  <c r="CK80" i="186"/>
  <c r="CJ80" i="186"/>
  <c r="CI80" i="186"/>
  <c r="CH80" i="186"/>
  <c r="CG80" i="186"/>
  <c r="FB80" i="186" s="1"/>
  <c r="CF80" i="186"/>
  <c r="CE80" i="186"/>
  <c r="CD80" i="186"/>
  <c r="CC80" i="186"/>
  <c r="EF80" i="186" s="1"/>
  <c r="CB80" i="186"/>
  <c r="GI79" i="186"/>
  <c r="BE39" i="186" s="1"/>
  <c r="GH79" i="186"/>
  <c r="BA39" i="186" s="1"/>
  <c r="GG79" i="186"/>
  <c r="AW39" i="186" s="1"/>
  <c r="GF79" i="186"/>
  <c r="AR39" i="186" s="1"/>
  <c r="FF79" i="186" s="1"/>
  <c r="GE79" i="186"/>
  <c r="AQ39" i="186" s="1"/>
  <c r="GD79" i="186"/>
  <c r="AP39" i="186" s="1"/>
  <c r="FM79" i="186"/>
  <c r="EX79" i="186"/>
  <c r="EL79" i="186"/>
  <c r="EM79" i="186" s="1"/>
  <c r="ED79" i="186"/>
  <c r="EB79" i="186"/>
  <c r="DE79" i="186"/>
  <c r="CY79" i="186"/>
  <c r="CU79" i="186"/>
  <c r="CT79" i="186"/>
  <c r="EP79" i="186" s="1"/>
  <c r="CS79" i="186"/>
  <c r="CR79" i="186"/>
  <c r="CQ79" i="186"/>
  <c r="CP79" i="186"/>
  <c r="CO79" i="186"/>
  <c r="CX79" i="186" s="1"/>
  <c r="N39" i="186" s="1"/>
  <c r="CN79" i="186"/>
  <c r="CM79" i="186"/>
  <c r="DJ79" i="186" s="1"/>
  <c r="L39" i="186" s="1"/>
  <c r="BU39" i="186" s="1"/>
  <c r="CL79" i="186"/>
  <c r="EI79" i="186" s="1"/>
  <c r="CK79" i="186"/>
  <c r="EK79" i="186" s="1"/>
  <c r="CJ79" i="186"/>
  <c r="CI79" i="186"/>
  <c r="CH79" i="186"/>
  <c r="CG79" i="186"/>
  <c r="DZ79" i="186" s="1"/>
  <c r="P39" i="186" s="1"/>
  <c r="CF79" i="186"/>
  <c r="CW79" i="186" s="1"/>
  <c r="M39" i="186" s="1"/>
  <c r="CE79" i="186"/>
  <c r="CD79" i="186"/>
  <c r="CC79" i="186"/>
  <c r="EE79" i="186" s="1"/>
  <c r="EG79" i="186" s="1"/>
  <c r="CB79" i="186"/>
  <c r="GI78" i="186"/>
  <c r="BE38" i="186" s="1"/>
  <c r="GH78" i="186"/>
  <c r="BA38" i="186" s="1"/>
  <c r="GG78" i="186"/>
  <c r="AW38" i="186" s="1"/>
  <c r="GF78" i="186"/>
  <c r="AS38" i="186" s="1"/>
  <c r="GE78" i="186"/>
  <c r="AQ38" i="186" s="1"/>
  <c r="GD78" i="186"/>
  <c r="AP38" i="186" s="1"/>
  <c r="FM78" i="186"/>
  <c r="EX78" i="186"/>
  <c r="ED78" i="186"/>
  <c r="EB78" i="186"/>
  <c r="DE78" i="186"/>
  <c r="CY78" i="186"/>
  <c r="CU78" i="186"/>
  <c r="CT78" i="186"/>
  <c r="EP78" i="186" s="1"/>
  <c r="EQ78" i="186" s="1"/>
  <c r="ER78" i="186" s="1"/>
  <c r="CS78" i="186"/>
  <c r="CR78" i="186"/>
  <c r="CQ78" i="186"/>
  <c r="CP78" i="186"/>
  <c r="FC78" i="186" s="1"/>
  <c r="CO78" i="186"/>
  <c r="FE78" i="186" s="1"/>
  <c r="CN78" i="186"/>
  <c r="CM78" i="186"/>
  <c r="DJ78" i="186" s="1"/>
  <c r="CL78" i="186"/>
  <c r="EI78" i="186" s="1"/>
  <c r="CK78" i="186"/>
  <c r="EK78" i="186" s="1"/>
  <c r="CJ78" i="186"/>
  <c r="CI78" i="186"/>
  <c r="CH78" i="186"/>
  <c r="CG78" i="186"/>
  <c r="FB78" i="186" s="1"/>
  <c r="CF78" i="186"/>
  <c r="CW78" i="186" s="1"/>
  <c r="M38" i="186" s="1"/>
  <c r="CE78" i="186"/>
  <c r="CD78" i="186"/>
  <c r="DC78" i="186" s="1"/>
  <c r="CC78" i="186"/>
  <c r="EE78" i="186" s="1"/>
  <c r="EG78" i="186" s="1"/>
  <c r="CB78" i="186"/>
  <c r="GI77" i="186"/>
  <c r="BD37" i="186" s="1"/>
  <c r="FI77" i="186" s="1"/>
  <c r="GH77" i="186"/>
  <c r="AZ37" i="186" s="1"/>
  <c r="FH77" i="186" s="1"/>
  <c r="GG77" i="186"/>
  <c r="AV37" i="186" s="1"/>
  <c r="FG77" i="186" s="1"/>
  <c r="GF77" i="186"/>
  <c r="AS37" i="186" s="1"/>
  <c r="GE77" i="186"/>
  <c r="AQ37" i="186" s="1"/>
  <c r="GD77" i="186"/>
  <c r="AP37" i="186" s="1"/>
  <c r="FM77" i="186"/>
  <c r="EX77" i="186"/>
  <c r="EQ77" i="186"/>
  <c r="ER77" i="186" s="1"/>
  <c r="EK77" i="186"/>
  <c r="ED77" i="186"/>
  <c r="EB77" i="186"/>
  <c r="DE77" i="186"/>
  <c r="CY77" i="186"/>
  <c r="CU77" i="186"/>
  <c r="CT77" i="186"/>
  <c r="EP77" i="186" s="1"/>
  <c r="CS77" i="186"/>
  <c r="CR77" i="186"/>
  <c r="CQ77" i="186"/>
  <c r="CP77" i="186"/>
  <c r="FC77" i="186" s="1"/>
  <c r="CO77" i="186"/>
  <c r="CN77" i="186"/>
  <c r="CM77" i="186"/>
  <c r="CL77" i="186"/>
  <c r="EI77" i="186" s="1"/>
  <c r="CK77" i="186"/>
  <c r="CJ77" i="186"/>
  <c r="CI77" i="186"/>
  <c r="CH77" i="186"/>
  <c r="CG77" i="186"/>
  <c r="FB77" i="186" s="1"/>
  <c r="CF77" i="186"/>
  <c r="EO77" i="186" s="1"/>
  <c r="CE77" i="186"/>
  <c r="CD77" i="186"/>
  <c r="DA77" i="186" s="1"/>
  <c r="CC77" i="186"/>
  <c r="EE77" i="186" s="1"/>
  <c r="EG77" i="186" s="1"/>
  <c r="CB77" i="186"/>
  <c r="GI76" i="186"/>
  <c r="BE36" i="186" s="1"/>
  <c r="GH76" i="186"/>
  <c r="AZ36" i="186" s="1"/>
  <c r="FH76" i="186" s="1"/>
  <c r="GG76" i="186"/>
  <c r="AW36" i="186" s="1"/>
  <c r="GF76" i="186"/>
  <c r="AR36" i="186" s="1"/>
  <c r="FF76" i="186" s="1"/>
  <c r="GE76" i="186"/>
  <c r="AQ36" i="186" s="1"/>
  <c r="GD76" i="186"/>
  <c r="AP36" i="186" s="1"/>
  <c r="FM76" i="186"/>
  <c r="EX76" i="186"/>
  <c r="EP76" i="186"/>
  <c r="EK76" i="186"/>
  <c r="EL76" i="186" s="1"/>
  <c r="EM76" i="186" s="1"/>
  <c r="ED76" i="186"/>
  <c r="EB76" i="186"/>
  <c r="DE76" i="186"/>
  <c r="CY76" i="186"/>
  <c r="CU76" i="186"/>
  <c r="CT76" i="186"/>
  <c r="CS76" i="186"/>
  <c r="CR76" i="186"/>
  <c r="CQ76" i="186"/>
  <c r="CP76" i="186"/>
  <c r="EA76" i="186" s="1"/>
  <c r="R36" i="186" s="1"/>
  <c r="CO76" i="186"/>
  <c r="FE76" i="186" s="1"/>
  <c r="CN76" i="186"/>
  <c r="CM76" i="186"/>
  <c r="DI76" i="186" s="1"/>
  <c r="CL76" i="186"/>
  <c r="EI76" i="186" s="1"/>
  <c r="CK76" i="186"/>
  <c r="CJ76" i="186"/>
  <c r="CI76" i="186"/>
  <c r="CH76" i="186"/>
  <c r="CG76" i="186"/>
  <c r="DZ76" i="186" s="1"/>
  <c r="CF76" i="186"/>
  <c r="CE76" i="186"/>
  <c r="CD76" i="186"/>
  <c r="CC76" i="186"/>
  <c r="EF76" i="186" s="1"/>
  <c r="CB76" i="186"/>
  <c r="GI75" i="186"/>
  <c r="GH75" i="186"/>
  <c r="AZ35" i="186" s="1"/>
  <c r="FH75" i="186" s="1"/>
  <c r="GG75" i="186"/>
  <c r="AW35" i="186" s="1"/>
  <c r="GF75" i="186"/>
  <c r="AS35" i="186" s="1"/>
  <c r="GE75" i="186"/>
  <c r="AQ35" i="186" s="1"/>
  <c r="GD75" i="186"/>
  <c r="AP35" i="186" s="1"/>
  <c r="FM75" i="186"/>
  <c r="EX75" i="186"/>
  <c r="ED75" i="186"/>
  <c r="EB75" i="186"/>
  <c r="DE75" i="186"/>
  <c r="CY75" i="186"/>
  <c r="CU75" i="186"/>
  <c r="EQ75" i="186" s="1"/>
  <c r="ER75" i="186" s="1"/>
  <c r="CT75" i="186"/>
  <c r="EP75" i="186" s="1"/>
  <c r="CS75" i="186"/>
  <c r="CR75" i="186"/>
  <c r="CQ75" i="186"/>
  <c r="CP75" i="186"/>
  <c r="EA75" i="186" s="1"/>
  <c r="R35" i="186" s="1"/>
  <c r="CO75" i="186"/>
  <c r="CX75" i="186" s="1"/>
  <c r="N35" i="186" s="1"/>
  <c r="CN75" i="186"/>
  <c r="CM75" i="186"/>
  <c r="DJ75" i="186" s="1"/>
  <c r="L35" i="186" s="1"/>
  <c r="BU35" i="186" s="1"/>
  <c r="CL75" i="186"/>
  <c r="EI75" i="186" s="1"/>
  <c r="CK75" i="186"/>
  <c r="EK75" i="186" s="1"/>
  <c r="EL75" i="186" s="1"/>
  <c r="EM75" i="186" s="1"/>
  <c r="CJ75" i="186"/>
  <c r="CI75" i="186"/>
  <c r="CH75" i="186"/>
  <c r="CG75" i="186"/>
  <c r="DZ75" i="186" s="1"/>
  <c r="O35" i="186" s="1"/>
  <c r="CF75" i="186"/>
  <c r="CW75" i="186" s="1"/>
  <c r="M35" i="186" s="1"/>
  <c r="CE75" i="186"/>
  <c r="CD75" i="186"/>
  <c r="CC75" i="186"/>
  <c r="CB75" i="186"/>
  <c r="GI74" i="186"/>
  <c r="BE34" i="186" s="1"/>
  <c r="GH74" i="186"/>
  <c r="AZ34" i="186" s="1"/>
  <c r="FH74" i="186" s="1"/>
  <c r="GG74" i="186"/>
  <c r="AW34" i="186" s="1"/>
  <c r="GF74" i="186"/>
  <c r="AS34" i="186" s="1"/>
  <c r="GE74" i="186"/>
  <c r="AQ34" i="186" s="1"/>
  <c r="GD74" i="186"/>
  <c r="AP34" i="186" s="1"/>
  <c r="FM74" i="186"/>
  <c r="EX74" i="186"/>
  <c r="ED74" i="186"/>
  <c r="EB74" i="186"/>
  <c r="DE74" i="186"/>
  <c r="CY74" i="186"/>
  <c r="CU74" i="186"/>
  <c r="EL74" i="186" s="1"/>
  <c r="EM74" i="186" s="1"/>
  <c r="EN74" i="186" s="1"/>
  <c r="CT74" i="186"/>
  <c r="EP74" i="186" s="1"/>
  <c r="EQ74" i="186" s="1"/>
  <c r="ER74" i="186" s="1"/>
  <c r="CS74" i="186"/>
  <c r="CR74" i="186"/>
  <c r="CQ74" i="186"/>
  <c r="CP74" i="186"/>
  <c r="FC74" i="186" s="1"/>
  <c r="CO74" i="186"/>
  <c r="ET74" i="186" s="1"/>
  <c r="CN74" i="186"/>
  <c r="CM74" i="186"/>
  <c r="DG74" i="186" s="1"/>
  <c r="CL74" i="186"/>
  <c r="EI74" i="186" s="1"/>
  <c r="CK74" i="186"/>
  <c r="EK74" i="186" s="1"/>
  <c r="CJ74" i="186"/>
  <c r="CI74" i="186"/>
  <c r="CH74" i="186"/>
  <c r="CG74" i="186"/>
  <c r="FB74" i="186" s="1"/>
  <c r="CF74" i="186"/>
  <c r="CW74" i="186" s="1"/>
  <c r="M34" i="186" s="1"/>
  <c r="CE74" i="186"/>
  <c r="CD74" i="186"/>
  <c r="DC74" i="186" s="1"/>
  <c r="CC74" i="186"/>
  <c r="EE74" i="186" s="1"/>
  <c r="EG74" i="186" s="1"/>
  <c r="CB74" i="186"/>
  <c r="GI73" i="186"/>
  <c r="GH73" i="186"/>
  <c r="BA33" i="186" s="1"/>
  <c r="GG73" i="186"/>
  <c r="AV33" i="186" s="1"/>
  <c r="FG73" i="186" s="1"/>
  <c r="GF73" i="186"/>
  <c r="AS33" i="186" s="1"/>
  <c r="GE73" i="186"/>
  <c r="AQ33" i="186" s="1"/>
  <c r="GD73" i="186"/>
  <c r="AP33" i="186" s="1"/>
  <c r="FM73" i="186"/>
  <c r="EX73" i="186"/>
  <c r="EK73" i="186"/>
  <c r="ED73" i="186"/>
  <c r="EB73" i="186"/>
  <c r="DE73" i="186"/>
  <c r="CY73" i="186"/>
  <c r="CU73" i="186"/>
  <c r="CT73" i="186"/>
  <c r="EP73" i="186" s="1"/>
  <c r="CS73" i="186"/>
  <c r="CR73" i="186"/>
  <c r="CQ73" i="186"/>
  <c r="CP73" i="186"/>
  <c r="CO73" i="186"/>
  <c r="CN73" i="186"/>
  <c r="CM73" i="186"/>
  <c r="DJ73" i="186" s="1"/>
  <c r="CL73" i="186"/>
  <c r="EI73" i="186" s="1"/>
  <c r="CK73" i="186"/>
  <c r="CJ73" i="186"/>
  <c r="CI73" i="186"/>
  <c r="CH73" i="186"/>
  <c r="CG73" i="186"/>
  <c r="FB73" i="186" s="1"/>
  <c r="CF73" i="186"/>
  <c r="EO73" i="186" s="1"/>
  <c r="CE73" i="186"/>
  <c r="CD73" i="186"/>
  <c r="DA73" i="186" s="1"/>
  <c r="CC73" i="186"/>
  <c r="EE73" i="186" s="1"/>
  <c r="EG73" i="186" s="1"/>
  <c r="CB73" i="186"/>
  <c r="GI72" i="186"/>
  <c r="BE32" i="186" s="1"/>
  <c r="GH72" i="186"/>
  <c r="GF72" i="186"/>
  <c r="AR32" i="186" s="1"/>
  <c r="AS32" i="186" s="1"/>
  <c r="GE72" i="186"/>
  <c r="AQ32" i="186" s="1"/>
  <c r="FS72" i="186"/>
  <c r="FN72" i="186" s="1"/>
  <c r="FM72" i="186"/>
  <c r="FK72" i="186"/>
  <c r="FK73" i="186" s="1"/>
  <c r="EP72" i="186"/>
  <c r="EK72" i="186"/>
  <c r="EL72" i="186" s="1"/>
  <c r="EM72" i="186" s="1"/>
  <c r="EN72" i="186" s="1"/>
  <c r="ED72" i="186"/>
  <c r="DE72" i="186"/>
  <c r="CY72" i="186"/>
  <c r="CU72" i="186"/>
  <c r="CT72" i="186"/>
  <c r="CS72" i="186"/>
  <c r="CR72" i="186"/>
  <c r="CQ72" i="186"/>
  <c r="CP72" i="186"/>
  <c r="CO72" i="186"/>
  <c r="ET72" i="186" s="1"/>
  <c r="CN72" i="186"/>
  <c r="CK72" i="186"/>
  <c r="CJ72" i="186"/>
  <c r="CI72" i="186"/>
  <c r="CH72" i="186"/>
  <c r="CG72" i="186"/>
  <c r="CF72" i="186"/>
  <c r="CE72" i="186"/>
  <c r="CB72" i="186"/>
  <c r="GI71" i="186"/>
  <c r="BE31" i="186" s="1"/>
  <c r="GH71" i="186"/>
  <c r="BA31" i="186" s="1"/>
  <c r="FS71" i="186"/>
  <c r="FP71" i="186" s="1"/>
  <c r="FM71" i="186"/>
  <c r="FK71" i="186"/>
  <c r="EM71" i="186"/>
  <c r="EL71" i="186"/>
  <c r="ED71" i="186"/>
  <c r="DE71" i="186"/>
  <c r="CY71" i="186"/>
  <c r="CU71" i="186"/>
  <c r="EQ71" i="186" s="1"/>
  <c r="ER71" i="186" s="1"/>
  <c r="CT71" i="186"/>
  <c r="EP71" i="186" s="1"/>
  <c r="CS71" i="186"/>
  <c r="CR71" i="186"/>
  <c r="CQ71" i="186"/>
  <c r="CP71" i="186"/>
  <c r="CO71" i="186"/>
  <c r="ET71" i="186" s="1"/>
  <c r="CN71" i="186"/>
  <c r="CK71" i="186"/>
  <c r="EK71" i="186" s="1"/>
  <c r="CJ71" i="186"/>
  <c r="CI71" i="186"/>
  <c r="CH71" i="186"/>
  <c r="CG71" i="186"/>
  <c r="CF71" i="186"/>
  <c r="CE71" i="186"/>
  <c r="CB71" i="186"/>
  <c r="GI70" i="186"/>
  <c r="BE30" i="186" s="1"/>
  <c r="GH70" i="186"/>
  <c r="AZ30" i="186" s="1"/>
  <c r="FH70" i="186" s="1"/>
  <c r="FS70" i="186"/>
  <c r="FM70" i="186"/>
  <c r="FK70" i="186"/>
  <c r="FJ71" i="186" s="1"/>
  <c r="EP70" i="186"/>
  <c r="ED70" i="186"/>
  <c r="DE70" i="186"/>
  <c r="CY70" i="186"/>
  <c r="CU70" i="186"/>
  <c r="CT70" i="186"/>
  <c r="CS70" i="186"/>
  <c r="CR70" i="186"/>
  <c r="CQ70" i="186"/>
  <c r="CP70" i="186"/>
  <c r="CO70" i="186"/>
  <c r="CN70" i="186"/>
  <c r="CK70" i="186"/>
  <c r="EK70" i="186" s="1"/>
  <c r="CJ70" i="186"/>
  <c r="CI70" i="186"/>
  <c r="CH70" i="186"/>
  <c r="CG70" i="186"/>
  <c r="CF70" i="186"/>
  <c r="CE70" i="186"/>
  <c r="CB70" i="186"/>
  <c r="GI69" i="186"/>
  <c r="GH69" i="186"/>
  <c r="BA29" i="186" s="1"/>
  <c r="FS69" i="186"/>
  <c r="FP69" i="186" s="1"/>
  <c r="FM69" i="186"/>
  <c r="FK69" i="186"/>
  <c r="EK69" i="186"/>
  <c r="ED69" i="186"/>
  <c r="DE69" i="186"/>
  <c r="CY69" i="186"/>
  <c r="CU69" i="186"/>
  <c r="CT69" i="186"/>
  <c r="EP69" i="186" s="1"/>
  <c r="CS69" i="186"/>
  <c r="CR69" i="186"/>
  <c r="CQ69" i="186"/>
  <c r="CP69" i="186"/>
  <c r="CO69" i="186"/>
  <c r="CN69" i="186"/>
  <c r="CK69" i="186"/>
  <c r="CJ69" i="186"/>
  <c r="CI69" i="186"/>
  <c r="CH69" i="186"/>
  <c r="CG69" i="186"/>
  <c r="CF69" i="186"/>
  <c r="CE69" i="186"/>
  <c r="CB69" i="186"/>
  <c r="GI68" i="186"/>
  <c r="BE28" i="186" s="1"/>
  <c r="GH68" i="186"/>
  <c r="BA28" i="186" s="1"/>
  <c r="FS68" i="186"/>
  <c r="FM68" i="186"/>
  <c r="FK68" i="186"/>
  <c r="EU68" i="186"/>
  <c r="EK68" i="186"/>
  <c r="ED68" i="186"/>
  <c r="DE68" i="186"/>
  <c r="CY68" i="186"/>
  <c r="CU68" i="186"/>
  <c r="CT68" i="186"/>
  <c r="EP68" i="186" s="1"/>
  <c r="CS68" i="186"/>
  <c r="CR68" i="186"/>
  <c r="CQ68" i="186"/>
  <c r="CP68" i="186"/>
  <c r="CO68" i="186"/>
  <c r="CN68" i="186"/>
  <c r="CK68" i="186"/>
  <c r="CJ68" i="186"/>
  <c r="CI68" i="186"/>
  <c r="CH68" i="186"/>
  <c r="CG68" i="186"/>
  <c r="CF68" i="186"/>
  <c r="CE68" i="186"/>
  <c r="CB68" i="186"/>
  <c r="GI67" i="186"/>
  <c r="BE27" i="186" s="1"/>
  <c r="GH67" i="186"/>
  <c r="BA27" i="186" s="1"/>
  <c r="FS67" i="186"/>
  <c r="FP67" i="186" s="1"/>
  <c r="FM67" i="186"/>
  <c r="FK67" i="186"/>
  <c r="FJ67" i="186" s="1"/>
  <c r="ED67" i="186"/>
  <c r="DE67" i="186"/>
  <c r="CY67" i="186"/>
  <c r="CU67" i="186"/>
  <c r="EQ67" i="186" s="1"/>
  <c r="ER67" i="186" s="1"/>
  <c r="CT67" i="186"/>
  <c r="EP67" i="186" s="1"/>
  <c r="CS67" i="186"/>
  <c r="CR67" i="186"/>
  <c r="CQ67" i="186"/>
  <c r="CP67" i="186"/>
  <c r="CO67" i="186"/>
  <c r="CN67" i="186"/>
  <c r="CK67" i="186"/>
  <c r="EK67" i="186" s="1"/>
  <c r="CJ67" i="186"/>
  <c r="CI67" i="186"/>
  <c r="CH67" i="186"/>
  <c r="CG67" i="186"/>
  <c r="CF67" i="186"/>
  <c r="CE67" i="186"/>
  <c r="CB67" i="186"/>
  <c r="GI66" i="186"/>
  <c r="BD26" i="186" s="1"/>
  <c r="FI66" i="186" s="1"/>
  <c r="GH66" i="186"/>
  <c r="BA26" i="186" s="1"/>
  <c r="GG66" i="186"/>
  <c r="GE66" i="186"/>
  <c r="AQ26" i="186" s="1"/>
  <c r="FS66" i="186"/>
  <c r="FM66" i="186"/>
  <c r="FK66" i="186"/>
  <c r="EQ66" i="186"/>
  <c r="ER66" i="186" s="1"/>
  <c r="ED66" i="186"/>
  <c r="DE66" i="186"/>
  <c r="CY66" i="186"/>
  <c r="CU66" i="186"/>
  <c r="CT66" i="186"/>
  <c r="EP66" i="186" s="1"/>
  <c r="CS66" i="186"/>
  <c r="CR66" i="186"/>
  <c r="CQ66" i="186"/>
  <c r="CP66" i="186"/>
  <c r="CO66" i="186"/>
  <c r="CN66" i="186"/>
  <c r="CK66" i="186"/>
  <c r="EK66" i="186" s="1"/>
  <c r="CJ66" i="186"/>
  <c r="CI66" i="186"/>
  <c r="CH66" i="186"/>
  <c r="CG66" i="186"/>
  <c r="CF66" i="186"/>
  <c r="CE66" i="186"/>
  <c r="CB66" i="186"/>
  <c r="FS65" i="186"/>
  <c r="FP65" i="186" s="1"/>
  <c r="FM65" i="186"/>
  <c r="FK65" i="186"/>
  <c r="FJ65" i="186" s="1"/>
  <c r="EK65" i="186"/>
  <c r="ED65" i="186"/>
  <c r="DE65" i="186"/>
  <c r="CY65" i="186"/>
  <c r="CU65" i="186"/>
  <c r="EQ65" i="186" s="1"/>
  <c r="ER65" i="186" s="1"/>
  <c r="ES65" i="186" s="1"/>
  <c r="CT65" i="186"/>
  <c r="EP65" i="186" s="1"/>
  <c r="CS65" i="186"/>
  <c r="CR65" i="186"/>
  <c r="CQ65" i="186"/>
  <c r="CP65" i="186"/>
  <c r="CO65" i="186"/>
  <c r="CN65" i="186"/>
  <c r="CK65" i="186"/>
  <c r="CJ65" i="186"/>
  <c r="CI65" i="186"/>
  <c r="CH65" i="186"/>
  <c r="CG65" i="186"/>
  <c r="CF65" i="186"/>
  <c r="CE65" i="186"/>
  <c r="CB65" i="186"/>
  <c r="GG64" i="186"/>
  <c r="AV24" i="186" s="1"/>
  <c r="GF64" i="186"/>
  <c r="AR24" i="186" s="1"/>
  <c r="AS24" i="186" s="1"/>
  <c r="FM64" i="186"/>
  <c r="FK64" i="186"/>
  <c r="ED64" i="186"/>
  <c r="DE64" i="186"/>
  <c r="CY64" i="186"/>
  <c r="CU64" i="186"/>
  <c r="EQ64" i="186" s="1"/>
  <c r="ER64" i="186" s="1"/>
  <c r="ES64" i="186" s="1"/>
  <c r="Y24" i="186" s="1"/>
  <c r="CT64" i="186"/>
  <c r="EP64" i="186" s="1"/>
  <c r="CS64" i="186"/>
  <c r="CR64" i="186"/>
  <c r="CQ64" i="186"/>
  <c r="CP64" i="186"/>
  <c r="CO64" i="186"/>
  <c r="CN64" i="186"/>
  <c r="CK64" i="186"/>
  <c r="EK64" i="186" s="1"/>
  <c r="CJ64" i="186"/>
  <c r="CI64" i="186"/>
  <c r="CH64" i="186"/>
  <c r="CG64" i="186"/>
  <c r="CF64" i="186"/>
  <c r="CE64" i="186"/>
  <c r="CB64" i="186"/>
  <c r="GI63" i="186"/>
  <c r="BE23" i="186" s="1"/>
  <c r="GF63" i="186"/>
  <c r="AR23" i="186" s="1"/>
  <c r="GE63" i="186"/>
  <c r="AQ23" i="186" s="1"/>
  <c r="FS63" i="186"/>
  <c r="FP63" i="186" s="1"/>
  <c r="FM63" i="186"/>
  <c r="FK63" i="186"/>
  <c r="FJ63" i="186"/>
  <c r="ED63" i="186"/>
  <c r="DE63" i="186"/>
  <c r="CY63" i="186"/>
  <c r="CU63" i="186"/>
  <c r="CT63" i="186"/>
  <c r="EP63" i="186" s="1"/>
  <c r="CS63" i="186"/>
  <c r="CR63" i="186"/>
  <c r="CQ63" i="186"/>
  <c r="CP63" i="186"/>
  <c r="CO63" i="186"/>
  <c r="CN63" i="186"/>
  <c r="CK63" i="186"/>
  <c r="EK63" i="186" s="1"/>
  <c r="EL63" i="186" s="1"/>
  <c r="EM63" i="186" s="1"/>
  <c r="CJ63" i="186"/>
  <c r="CI63" i="186"/>
  <c r="CH63" i="186"/>
  <c r="CG63" i="186"/>
  <c r="CF63" i="186"/>
  <c r="CE63" i="186"/>
  <c r="CB63" i="186"/>
  <c r="GI62" i="186"/>
  <c r="BE22" i="186" s="1"/>
  <c r="GH62" i="186"/>
  <c r="BA22" i="186" s="1"/>
  <c r="FS62" i="186"/>
  <c r="FO62" i="186" s="1"/>
  <c r="AF22" i="186" s="1"/>
  <c r="FM62" i="186"/>
  <c r="FK62" i="186"/>
  <c r="FJ62" i="186" s="1"/>
  <c r="ED62" i="186"/>
  <c r="DE62" i="186"/>
  <c r="CY62" i="186"/>
  <c r="CU62" i="186"/>
  <c r="CT62" i="186"/>
  <c r="EP62" i="186" s="1"/>
  <c r="CS62" i="186"/>
  <c r="CR62" i="186"/>
  <c r="CQ62" i="186"/>
  <c r="CP62" i="186"/>
  <c r="CO62" i="186"/>
  <c r="ET62" i="186" s="1"/>
  <c r="CN62" i="186"/>
  <c r="CK62" i="186"/>
  <c r="EK62" i="186" s="1"/>
  <c r="CJ62" i="186"/>
  <c r="CI62" i="186"/>
  <c r="CH62" i="186"/>
  <c r="CG62" i="186"/>
  <c r="CF62" i="186"/>
  <c r="CE62" i="186"/>
  <c r="CB62" i="186"/>
  <c r="GI61" i="186"/>
  <c r="BE21" i="186" s="1"/>
  <c r="GH61" i="186"/>
  <c r="BA21" i="186" s="1"/>
  <c r="FS61" i="186"/>
  <c r="FP61" i="186" s="1"/>
  <c r="FM61" i="186"/>
  <c r="FK61" i="186"/>
  <c r="FJ61" i="186" s="1"/>
  <c r="EK61" i="186"/>
  <c r="ED61" i="186"/>
  <c r="DE61" i="186"/>
  <c r="CY61" i="186"/>
  <c r="CU61" i="186"/>
  <c r="CT61" i="186"/>
  <c r="EP61" i="186" s="1"/>
  <c r="CS61" i="186"/>
  <c r="CR61" i="186"/>
  <c r="CQ61" i="186"/>
  <c r="CP61" i="186"/>
  <c r="CO61" i="186"/>
  <c r="CN61" i="186"/>
  <c r="CK61" i="186"/>
  <c r="CJ61" i="186"/>
  <c r="CI61" i="186"/>
  <c r="CH61" i="186"/>
  <c r="CG61" i="186"/>
  <c r="CF61" i="186"/>
  <c r="CE61" i="186"/>
  <c r="CB61" i="186"/>
  <c r="GI60" i="186"/>
  <c r="BD20" i="186" s="1"/>
  <c r="FI60" i="186" s="1"/>
  <c r="GH60" i="186"/>
  <c r="BA20" i="186" s="1"/>
  <c r="FS60" i="186"/>
  <c r="FM60" i="186"/>
  <c r="FK60" i="186"/>
  <c r="EK60" i="186"/>
  <c r="ED60" i="186"/>
  <c r="DE60" i="186"/>
  <c r="CY60" i="186"/>
  <c r="CU60" i="186"/>
  <c r="CT60" i="186"/>
  <c r="EP60" i="186" s="1"/>
  <c r="CS60" i="186"/>
  <c r="CR60" i="186"/>
  <c r="CQ60" i="186"/>
  <c r="CP60" i="186"/>
  <c r="CO60" i="186"/>
  <c r="CN60" i="186"/>
  <c r="CK60" i="186"/>
  <c r="CJ60" i="186"/>
  <c r="CI60" i="186"/>
  <c r="CH60" i="186"/>
  <c r="CG60" i="186"/>
  <c r="CF60" i="186"/>
  <c r="CE60" i="186"/>
  <c r="CB60" i="186"/>
  <c r="GI59" i="186"/>
  <c r="BD19" i="186" s="1"/>
  <c r="FI59" i="186" s="1"/>
  <c r="GH59" i="186"/>
  <c r="BA19" i="186" s="1"/>
  <c r="FS59" i="186"/>
  <c r="FP59" i="186" s="1"/>
  <c r="FM59" i="186"/>
  <c r="FK59" i="186"/>
  <c r="FJ59" i="186"/>
  <c r="ED59" i="186"/>
  <c r="DE59" i="186"/>
  <c r="CY59" i="186"/>
  <c r="CU59" i="186"/>
  <c r="EQ59" i="186" s="1"/>
  <c r="ER59" i="186" s="1"/>
  <c r="CT59" i="186"/>
  <c r="EP59" i="186" s="1"/>
  <c r="CS59" i="186"/>
  <c r="CR59" i="186"/>
  <c r="CQ59" i="186"/>
  <c r="CP59" i="186"/>
  <c r="CO59" i="186"/>
  <c r="CN59" i="186"/>
  <c r="CK59" i="186"/>
  <c r="EK59" i="186" s="1"/>
  <c r="EL59" i="186" s="1"/>
  <c r="EM59" i="186" s="1"/>
  <c r="CJ59" i="186"/>
  <c r="CI59" i="186"/>
  <c r="CH59" i="186"/>
  <c r="CG59" i="186"/>
  <c r="CF59" i="186"/>
  <c r="CE59" i="186"/>
  <c r="CB59" i="186"/>
  <c r="GI58" i="186"/>
  <c r="BE18" i="186" s="1"/>
  <c r="GH58" i="186"/>
  <c r="GG58" i="186"/>
  <c r="AW18" i="186" s="1"/>
  <c r="GE58" i="186"/>
  <c r="AQ18" i="186" s="1"/>
  <c r="FS58" i="186"/>
  <c r="FO58" i="186" s="1"/>
  <c r="AF18" i="186" s="1"/>
  <c r="FM58" i="186"/>
  <c r="FK58" i="186"/>
  <c r="FJ58" i="186" s="1"/>
  <c r="ED58" i="186"/>
  <c r="DE58" i="186"/>
  <c r="CY58" i="186"/>
  <c r="CU58" i="186"/>
  <c r="CT58" i="186"/>
  <c r="EP58" i="186" s="1"/>
  <c r="CS58" i="186"/>
  <c r="CR58" i="186"/>
  <c r="CQ58" i="186"/>
  <c r="CP58" i="186"/>
  <c r="CO58" i="186"/>
  <c r="ET58" i="186" s="1"/>
  <c r="CN58" i="186"/>
  <c r="CK58" i="186"/>
  <c r="EK58" i="186" s="1"/>
  <c r="CJ58" i="186"/>
  <c r="CI58" i="186"/>
  <c r="CH58" i="186"/>
  <c r="CG58" i="186"/>
  <c r="CF58" i="186"/>
  <c r="CE58" i="186"/>
  <c r="CB58" i="186"/>
  <c r="GI57" i="186"/>
  <c r="BD17" i="186" s="1"/>
  <c r="FI57" i="186" s="1"/>
  <c r="GH57" i="186"/>
  <c r="BA17" i="186" s="1"/>
  <c r="GG57" i="186"/>
  <c r="AV17" i="186" s="1"/>
  <c r="FG57" i="186" s="1"/>
  <c r="GE57" i="186"/>
  <c r="AQ17" i="186" s="1"/>
  <c r="FS57" i="186"/>
  <c r="FP57" i="186" s="1"/>
  <c r="FM57" i="186"/>
  <c r="FK57" i="186"/>
  <c r="EP57" i="186"/>
  <c r="EK57" i="186"/>
  <c r="ED57" i="186"/>
  <c r="DE57" i="186"/>
  <c r="CY57" i="186"/>
  <c r="CU57" i="186"/>
  <c r="EQ57" i="186" s="1"/>
  <c r="ER57" i="186" s="1"/>
  <c r="ES57" i="186" s="1"/>
  <c r="CT57" i="186"/>
  <c r="CS57" i="186"/>
  <c r="CR57" i="186"/>
  <c r="CQ57" i="186"/>
  <c r="CP57" i="186"/>
  <c r="CO57" i="186"/>
  <c r="CN57" i="186"/>
  <c r="CK57" i="186"/>
  <c r="CJ57" i="186"/>
  <c r="CI57" i="186"/>
  <c r="CH57" i="186"/>
  <c r="CG57" i="186"/>
  <c r="CF57" i="186"/>
  <c r="CE57" i="186"/>
  <c r="CB57" i="186"/>
  <c r="GI56" i="186"/>
  <c r="BE16" i="186" s="1"/>
  <c r="GH56" i="186"/>
  <c r="AZ16" i="186" s="1"/>
  <c r="FH56" i="186" s="1"/>
  <c r="FS56" i="186"/>
  <c r="FP56" i="186" s="1"/>
  <c r="FM56" i="186"/>
  <c r="FK56" i="186"/>
  <c r="EK56" i="186"/>
  <c r="ED56" i="186"/>
  <c r="DE56" i="186"/>
  <c r="CY56" i="186"/>
  <c r="CU56" i="186"/>
  <c r="EQ56" i="186" s="1"/>
  <c r="ER56" i="186" s="1"/>
  <c r="ES56" i="186" s="1"/>
  <c r="Y16" i="186" s="1"/>
  <c r="CT56" i="186"/>
  <c r="EP56" i="186" s="1"/>
  <c r="CS56" i="186"/>
  <c r="CR56" i="186"/>
  <c r="CQ56" i="186"/>
  <c r="CP56" i="186"/>
  <c r="CO56" i="186"/>
  <c r="CN56" i="186"/>
  <c r="CK56" i="186"/>
  <c r="CJ56" i="186"/>
  <c r="CI56" i="186"/>
  <c r="CH56" i="186"/>
  <c r="CG56" i="186"/>
  <c r="CF56" i="186"/>
  <c r="CE56" i="186"/>
  <c r="CB56" i="186"/>
  <c r="GG55" i="186"/>
  <c r="AV15" i="186" s="1"/>
  <c r="AW15" i="186" s="1"/>
  <c r="GF55" i="186"/>
  <c r="AR15" i="186" s="1"/>
  <c r="FS55" i="186"/>
  <c r="FP55" i="186" s="1"/>
  <c r="FM55" i="186"/>
  <c r="FK55" i="186"/>
  <c r="FJ55" i="186"/>
  <c r="EK55" i="186"/>
  <c r="ED55" i="186"/>
  <c r="DE55" i="186"/>
  <c r="CY55" i="186"/>
  <c r="CU55" i="186"/>
  <c r="CT55" i="186"/>
  <c r="EP55" i="186" s="1"/>
  <c r="CS55" i="186"/>
  <c r="CR55" i="186"/>
  <c r="CQ55" i="186"/>
  <c r="CP55" i="186"/>
  <c r="CO55" i="186"/>
  <c r="CN55" i="186"/>
  <c r="CK55" i="186"/>
  <c r="CJ55" i="186"/>
  <c r="CI55" i="186"/>
  <c r="CH55" i="186"/>
  <c r="CG55" i="186"/>
  <c r="CF55" i="186"/>
  <c r="CE55" i="186"/>
  <c r="CB55" i="186"/>
  <c r="GG54" i="186"/>
  <c r="AV14" i="186" s="1"/>
  <c r="AW14" i="186" s="1"/>
  <c r="GF54" i="186"/>
  <c r="AR14" i="186" s="1"/>
  <c r="AS14" i="186" s="1"/>
  <c r="FU54" i="186"/>
  <c r="FS54" i="186"/>
  <c r="FO54" i="186" s="1"/>
  <c r="AF14" i="186" s="1"/>
  <c r="FM54" i="186"/>
  <c r="FK54" i="186"/>
  <c r="EP54" i="186"/>
  <c r="ED54" i="186"/>
  <c r="DE54" i="186"/>
  <c r="CY54" i="186"/>
  <c r="CU54" i="186"/>
  <c r="EQ54" i="186" s="1"/>
  <c r="ER54" i="186" s="1"/>
  <c r="CT54" i="186"/>
  <c r="CS54" i="186"/>
  <c r="CR54" i="186"/>
  <c r="CQ54" i="186"/>
  <c r="CP54" i="186"/>
  <c r="CO54" i="186"/>
  <c r="CN54" i="186"/>
  <c r="CK54" i="186"/>
  <c r="EK54" i="186" s="1"/>
  <c r="CJ54" i="186"/>
  <c r="CI54" i="186"/>
  <c r="CH54" i="186"/>
  <c r="CG54" i="186"/>
  <c r="CF54" i="186"/>
  <c r="CE54" i="186"/>
  <c r="CB54" i="186"/>
  <c r="IU48" i="186"/>
  <c r="HP48" i="186" s="1"/>
  <c r="IP48" i="186" s="1"/>
  <c r="IT48" i="186"/>
  <c r="IM48" i="186"/>
  <c r="IE48" i="186"/>
  <c r="HZ48" i="186"/>
  <c r="HW48" i="186"/>
  <c r="HR48" i="186"/>
  <c r="HO48" i="186"/>
  <c r="HN48" i="186"/>
  <c r="HM48" i="186"/>
  <c r="HL48" i="186"/>
  <c r="HK48" i="186"/>
  <c r="HJ48" i="186"/>
  <c r="HI48" i="186"/>
  <c r="HH48" i="186"/>
  <c r="HG48" i="186"/>
  <c r="HF48" i="186"/>
  <c r="HE48" i="186"/>
  <c r="HD48" i="186"/>
  <c r="HC48" i="186"/>
  <c r="HB48" i="186"/>
  <c r="HA48" i="186"/>
  <c r="GZ48" i="186"/>
  <c r="GY48" i="186"/>
  <c r="GX48" i="186"/>
  <c r="GW48" i="186"/>
  <c r="GV48" i="186"/>
  <c r="GU48" i="186"/>
  <c r="GT48" i="186"/>
  <c r="GS48" i="186"/>
  <c r="GR48" i="186"/>
  <c r="GD48" i="186"/>
  <c r="GC48" i="186"/>
  <c r="GB48" i="186"/>
  <c r="GA48" i="186"/>
  <c r="EZ45" i="186"/>
  <c r="EY45" i="186"/>
  <c r="EU45" i="186"/>
  <c r="ET45" i="186"/>
  <c r="ES45" i="186"/>
  <c r="ER45" i="186"/>
  <c r="EM45" i="186"/>
  <c r="BP45" i="186"/>
  <c r="BO45" i="186"/>
  <c r="BN45" i="186"/>
  <c r="BM45" i="186"/>
  <c r="BR45" i="186" s="1"/>
  <c r="BG45" i="186"/>
  <c r="BF45" i="186"/>
  <c r="BC45" i="186"/>
  <c r="BB45" i="186"/>
  <c r="AY45" i="186"/>
  <c r="AX45" i="186"/>
  <c r="AU45" i="186"/>
  <c r="AT45" i="186"/>
  <c r="AO45" i="186"/>
  <c r="AN45" i="186"/>
  <c r="AM45" i="186"/>
  <c r="AL45" i="186"/>
  <c r="AK45" i="186"/>
  <c r="AC45" i="186"/>
  <c r="AB45" i="186"/>
  <c r="AA45" i="186"/>
  <c r="F45" i="186"/>
  <c r="BQ45" i="186"/>
  <c r="B45" i="186"/>
  <c r="A45" i="186"/>
  <c r="GC44" i="186"/>
  <c r="EZ44" i="186"/>
  <c r="EY44" i="186"/>
  <c r="EU44" i="186"/>
  <c r="ET44" i="186"/>
  <c r="ES44" i="186"/>
  <c r="ER44" i="186"/>
  <c r="EM44" i="186"/>
  <c r="BQ44" i="186"/>
  <c r="BP44" i="186"/>
  <c r="BO44" i="186"/>
  <c r="BN44" i="186"/>
  <c r="BM44" i="186"/>
  <c r="BG44" i="186"/>
  <c r="BF44" i="186"/>
  <c r="BC44" i="186"/>
  <c r="BB44" i="186"/>
  <c r="AY44" i="186"/>
  <c r="AX44" i="186"/>
  <c r="AU44" i="186"/>
  <c r="AT44" i="186"/>
  <c r="AO44" i="186"/>
  <c r="AN44" i="186"/>
  <c r="AM44" i="186"/>
  <c r="AL44" i="186"/>
  <c r="AK44" i="186"/>
  <c r="AC44" i="186"/>
  <c r="AB44" i="186"/>
  <c r="AA44" i="186"/>
  <c r="F44" i="186"/>
  <c r="B44" i="186"/>
  <c r="A44" i="186"/>
  <c r="GF44" i="186" s="1"/>
  <c r="EZ43" i="186"/>
  <c r="EU43" i="186"/>
  <c r="ET43" i="186"/>
  <c r="ES43" i="186"/>
  <c r="ER43" i="186"/>
  <c r="EM43" i="186"/>
  <c r="BO43" i="186"/>
  <c r="BG43" i="186"/>
  <c r="BF43" i="186"/>
  <c r="BC43" i="186"/>
  <c r="BB43" i="186"/>
  <c r="AY43" i="186"/>
  <c r="AX43" i="186"/>
  <c r="AU43" i="186"/>
  <c r="AT43" i="186"/>
  <c r="AO43" i="186"/>
  <c r="AN43" i="186"/>
  <c r="AM43" i="186"/>
  <c r="AL43" i="186"/>
  <c r="AK43" i="186"/>
  <c r="AC43" i="186"/>
  <c r="AB43" i="186"/>
  <c r="EY43" i="186" s="1"/>
  <c r="AA43" i="186"/>
  <c r="F43" i="186"/>
  <c r="BN43" i="186"/>
  <c r="B43" i="186"/>
  <c r="A43" i="186"/>
  <c r="EU42" i="186"/>
  <c r="ET42" i="186"/>
  <c r="ES42" i="186"/>
  <c r="ER42" i="186"/>
  <c r="EM42" i="186"/>
  <c r="BQ42" i="186"/>
  <c r="BP42" i="186"/>
  <c r="BO42" i="186"/>
  <c r="BJ42" i="186"/>
  <c r="BG42" i="186"/>
  <c r="BF42" i="186"/>
  <c r="BC42" i="186"/>
  <c r="BB42" i="186"/>
  <c r="AY42" i="186"/>
  <c r="AX42" i="186"/>
  <c r="AU42" i="186"/>
  <c r="AT42" i="186"/>
  <c r="AO42" i="186"/>
  <c r="AN42" i="186"/>
  <c r="AM42" i="186"/>
  <c r="AL42" i="186"/>
  <c r="AK42" i="186"/>
  <c r="AC42" i="186"/>
  <c r="AB42" i="186"/>
  <c r="AA42" i="186"/>
  <c r="F42" i="186"/>
  <c r="BN42" i="186"/>
  <c r="B42" i="186"/>
  <c r="A42" i="186"/>
  <c r="GF41" i="186"/>
  <c r="EU41" i="186"/>
  <c r="ET41" i="186"/>
  <c r="ES41" i="186"/>
  <c r="ER41" i="186"/>
  <c r="EM41" i="186"/>
  <c r="BP41" i="186"/>
  <c r="BG41" i="186"/>
  <c r="BF41" i="186"/>
  <c r="BC41" i="186"/>
  <c r="BB41" i="186"/>
  <c r="AY41" i="186"/>
  <c r="AX41" i="186"/>
  <c r="AU41" i="186"/>
  <c r="AT41" i="186"/>
  <c r="AO41" i="186"/>
  <c r="AN41" i="186"/>
  <c r="AM41" i="186"/>
  <c r="AL41" i="186"/>
  <c r="AK41" i="186"/>
  <c r="AC41" i="186"/>
  <c r="AB41" i="186"/>
  <c r="AA41" i="186"/>
  <c r="F41" i="186"/>
  <c r="B41" i="186"/>
  <c r="A41" i="186"/>
  <c r="GF40" i="186"/>
  <c r="GB40" i="186" s="1"/>
  <c r="GE40" i="186"/>
  <c r="GD40" i="186"/>
  <c r="GC40" i="186"/>
  <c r="EU40" i="186"/>
  <c r="ET40" i="186"/>
  <c r="ES40" i="186"/>
  <c r="ER40" i="186"/>
  <c r="EM40" i="186"/>
  <c r="BQ40" i="186"/>
  <c r="BM40" i="186"/>
  <c r="BJ40" i="186"/>
  <c r="BG40" i="186"/>
  <c r="BF40" i="186"/>
  <c r="BC40" i="186"/>
  <c r="BB40" i="186"/>
  <c r="AY40" i="186"/>
  <c r="AX40" i="186"/>
  <c r="AU40" i="186"/>
  <c r="AT40" i="186"/>
  <c r="AO40" i="186"/>
  <c r="AN40" i="186"/>
  <c r="AM40" i="186"/>
  <c r="AL40" i="186"/>
  <c r="AK40" i="186"/>
  <c r="AC40" i="186"/>
  <c r="AB40" i="186"/>
  <c r="AA40" i="186"/>
  <c r="F40" i="186"/>
  <c r="B40" i="186"/>
  <c r="A40" i="186"/>
  <c r="GF39" i="186"/>
  <c r="EU39" i="186"/>
  <c r="ET39" i="186"/>
  <c r="ES39" i="186"/>
  <c r="ER39" i="186"/>
  <c r="EM39" i="186"/>
  <c r="BZ39" i="186"/>
  <c r="BN39" i="186"/>
  <c r="BJ39" i="186"/>
  <c r="BG39" i="186"/>
  <c r="BF39" i="186"/>
  <c r="BC39" i="186"/>
  <c r="BB39" i="186"/>
  <c r="AY39" i="186"/>
  <c r="AX39" i="186"/>
  <c r="AU39" i="186"/>
  <c r="AT39" i="186"/>
  <c r="AO39" i="186"/>
  <c r="AN39" i="186"/>
  <c r="AM39" i="186"/>
  <c r="AL39" i="186"/>
  <c r="AK39" i="186"/>
  <c r="AC39" i="186"/>
  <c r="AB39" i="186"/>
  <c r="EZ39" i="186" s="1"/>
  <c r="AA39" i="186"/>
  <c r="F39" i="186"/>
  <c r="B39" i="186"/>
  <c r="A39" i="186"/>
  <c r="GF38" i="186"/>
  <c r="GE38" i="186" s="1"/>
  <c r="EU38" i="186"/>
  <c r="ET38" i="186"/>
  <c r="ES38" i="186"/>
  <c r="ER38" i="186"/>
  <c r="EM38" i="186"/>
  <c r="BQ38" i="186"/>
  <c r="BO38" i="186"/>
  <c r="BN38" i="186"/>
  <c r="BM38" i="186"/>
  <c r="BK38" i="186"/>
  <c r="BJ38" i="186"/>
  <c r="BG38" i="186"/>
  <c r="BF38" i="186"/>
  <c r="BC38" i="186"/>
  <c r="BB38" i="186"/>
  <c r="AY38" i="186"/>
  <c r="AX38" i="186"/>
  <c r="AU38" i="186"/>
  <c r="AT38" i="186"/>
  <c r="AO38" i="186"/>
  <c r="AN38" i="186"/>
  <c r="AM38" i="186"/>
  <c r="AL38" i="186"/>
  <c r="AK38" i="186"/>
  <c r="AC38" i="186"/>
  <c r="AB38" i="186"/>
  <c r="FQ38" i="186" s="1"/>
  <c r="AA38" i="186"/>
  <c r="F38" i="186"/>
  <c r="BP38" i="186"/>
  <c r="B38" i="186"/>
  <c r="A38" i="186"/>
  <c r="GF37" i="186"/>
  <c r="GB37" i="186" s="1"/>
  <c r="EZ37" i="186"/>
  <c r="EY37" i="186"/>
  <c r="EU37" i="186"/>
  <c r="ET37" i="186"/>
  <c r="ES37" i="186"/>
  <c r="ER37" i="186"/>
  <c r="EM37" i="186"/>
  <c r="BN37" i="186"/>
  <c r="BK37" i="186"/>
  <c r="BG37" i="186"/>
  <c r="BF37" i="186"/>
  <c r="BC37" i="186"/>
  <c r="BB37" i="186"/>
  <c r="AY37" i="186"/>
  <c r="AX37" i="186"/>
  <c r="AU37" i="186"/>
  <c r="AT37" i="186"/>
  <c r="AO37" i="186"/>
  <c r="AN37" i="186"/>
  <c r="AM37" i="186"/>
  <c r="AL37" i="186"/>
  <c r="AK37" i="186"/>
  <c r="AC37" i="186"/>
  <c r="AB37" i="186"/>
  <c r="AA37" i="186"/>
  <c r="F37" i="186"/>
  <c r="BQ37" i="186"/>
  <c r="B37" i="186"/>
  <c r="A37" i="186"/>
  <c r="BJ37" i="186" s="1"/>
  <c r="GC36" i="186"/>
  <c r="EU36" i="186"/>
  <c r="ET36" i="186"/>
  <c r="ES36" i="186"/>
  <c r="ER36" i="186"/>
  <c r="EM36" i="186"/>
  <c r="BQ36" i="186"/>
  <c r="BP36" i="186"/>
  <c r="BO36" i="186"/>
  <c r="BN36" i="186"/>
  <c r="BM36" i="186"/>
  <c r="BJ36" i="186"/>
  <c r="BG36" i="186"/>
  <c r="BF36" i="186"/>
  <c r="BC36" i="186"/>
  <c r="BB36" i="186"/>
  <c r="AY36" i="186"/>
  <c r="AX36" i="186"/>
  <c r="AU36" i="186"/>
  <c r="AT36" i="186"/>
  <c r="AO36" i="186"/>
  <c r="AN36" i="186"/>
  <c r="AM36" i="186"/>
  <c r="AL36" i="186"/>
  <c r="AK36" i="186"/>
  <c r="AC36" i="186"/>
  <c r="AB36" i="186"/>
  <c r="AA36" i="186"/>
  <c r="F36" i="186"/>
  <c r="B36" i="186"/>
  <c r="A36" i="186"/>
  <c r="GF36" i="186" s="1"/>
  <c r="GD36" i="186" s="1"/>
  <c r="GB35" i="186"/>
  <c r="EZ35" i="186"/>
  <c r="EU35" i="186"/>
  <c r="ET35" i="186"/>
  <c r="ES35" i="186"/>
  <c r="ER35" i="186"/>
  <c r="EM35" i="186"/>
  <c r="BZ35" i="186"/>
  <c r="BP35" i="186"/>
  <c r="BO35" i="186"/>
  <c r="BG35" i="186"/>
  <c r="BF35" i="186"/>
  <c r="BC35" i="186"/>
  <c r="BB35" i="186"/>
  <c r="AY35" i="186"/>
  <c r="AX35" i="186"/>
  <c r="AU35" i="186"/>
  <c r="AT35" i="186"/>
  <c r="AO35" i="186"/>
  <c r="AN35" i="186"/>
  <c r="AM35" i="186"/>
  <c r="AL35" i="186"/>
  <c r="AK35" i="186"/>
  <c r="AC35" i="186"/>
  <c r="AB35" i="186"/>
  <c r="EY35" i="186" s="1"/>
  <c r="AA35" i="186"/>
  <c r="F35" i="186"/>
  <c r="BM35" i="186"/>
  <c r="B35" i="186"/>
  <c r="A35" i="186"/>
  <c r="GF35" i="186" s="1"/>
  <c r="EU34" i="186"/>
  <c r="ET34" i="186"/>
  <c r="ES34" i="186"/>
  <c r="ER34" i="186"/>
  <c r="EM34" i="186"/>
  <c r="BO34" i="186"/>
  <c r="BM34" i="186"/>
  <c r="BG34" i="186"/>
  <c r="BF34" i="186"/>
  <c r="BC34" i="186"/>
  <c r="BB34" i="186"/>
  <c r="AY34" i="186"/>
  <c r="AX34" i="186"/>
  <c r="AU34" i="186"/>
  <c r="AT34" i="186"/>
  <c r="AO34" i="186"/>
  <c r="AN34" i="186"/>
  <c r="AM34" i="186"/>
  <c r="AL34" i="186"/>
  <c r="AK34" i="186"/>
  <c r="AC34" i="186"/>
  <c r="AB34" i="186"/>
  <c r="AA34" i="186"/>
  <c r="X34" i="186"/>
  <c r="F34" i="186"/>
  <c r="BQ34" i="186"/>
  <c r="B34" i="186"/>
  <c r="A34" i="186"/>
  <c r="BJ34" i="186" s="1"/>
  <c r="EZ33" i="186"/>
  <c r="EY33" i="186"/>
  <c r="EU33" i="186"/>
  <c r="ET33" i="186"/>
  <c r="ES33" i="186"/>
  <c r="ER33" i="186"/>
  <c r="EM33" i="186"/>
  <c r="BQ33" i="186"/>
  <c r="BP33" i="186"/>
  <c r="BO33" i="186"/>
  <c r="BN33" i="186"/>
  <c r="BM33" i="186"/>
  <c r="BG33" i="186"/>
  <c r="BF33" i="186"/>
  <c r="BC33" i="186"/>
  <c r="BB33" i="186"/>
  <c r="AY33" i="186"/>
  <c r="AX33" i="186"/>
  <c r="AU33" i="186"/>
  <c r="AT33" i="186"/>
  <c r="AO33" i="186"/>
  <c r="AN33" i="186"/>
  <c r="AM33" i="186"/>
  <c r="AL33" i="186"/>
  <c r="AK33" i="186"/>
  <c r="AC33" i="186"/>
  <c r="AB33" i="186"/>
  <c r="AA33" i="186"/>
  <c r="F33" i="186"/>
  <c r="B33" i="186"/>
  <c r="A33" i="186"/>
  <c r="GF32" i="186"/>
  <c r="GA32" i="186"/>
  <c r="ES32" i="186"/>
  <c r="ER32" i="186"/>
  <c r="EM32" i="186"/>
  <c r="BQ32" i="186"/>
  <c r="BN32" i="186"/>
  <c r="BM32" i="186" s="1"/>
  <c r="BG32" i="186"/>
  <c r="BF32" i="186"/>
  <c r="BC32" i="186"/>
  <c r="BB32" i="186"/>
  <c r="AY32" i="186"/>
  <c r="AX32" i="186"/>
  <c r="AU32" i="186"/>
  <c r="AT32" i="186"/>
  <c r="AO32" i="186"/>
  <c r="AN32" i="186"/>
  <c r="AM32" i="186"/>
  <c r="AL32" i="186"/>
  <c r="AK32" i="186"/>
  <c r="AC32" i="186"/>
  <c r="AB32" i="186"/>
  <c r="AA32" i="186"/>
  <c r="X32" i="186"/>
  <c r="F32" i="186"/>
  <c r="B32" i="186"/>
  <c r="A32" i="186"/>
  <c r="JL31" i="186"/>
  <c r="JL32" i="186" s="1"/>
  <c r="JL33" i="186" s="1"/>
  <c r="JL34" i="186" s="1"/>
  <c r="JL35" i="186" s="1"/>
  <c r="JL36" i="186" s="1"/>
  <c r="JL37" i="186" s="1"/>
  <c r="JL38" i="186" s="1"/>
  <c r="JL39" i="186" s="1"/>
  <c r="JL40" i="186" s="1"/>
  <c r="JL41" i="186" s="1"/>
  <c r="JL42" i="186" s="1"/>
  <c r="JL43" i="186" s="1"/>
  <c r="JL44" i="186" s="1"/>
  <c r="JL45" i="186" s="1"/>
  <c r="ES31" i="186"/>
  <c r="ER31" i="186"/>
  <c r="EM31" i="186"/>
  <c r="BZ31" i="186"/>
  <c r="BG31" i="186"/>
  <c r="BF31" i="186"/>
  <c r="BC31" i="186"/>
  <c r="BB31" i="186"/>
  <c r="AY31" i="186"/>
  <c r="AX31" i="186"/>
  <c r="AU31" i="186"/>
  <c r="AT31" i="186"/>
  <c r="AO31" i="186"/>
  <c r="AN31" i="186"/>
  <c r="AM31" i="186"/>
  <c r="AL31" i="186"/>
  <c r="AK31" i="186"/>
  <c r="AC31" i="186"/>
  <c r="AB31" i="186"/>
  <c r="AA31" i="186"/>
  <c r="F31" i="186"/>
  <c r="B31" i="186"/>
  <c r="A31" i="186"/>
  <c r="ES30" i="186"/>
  <c r="ER30" i="186"/>
  <c r="EM30" i="186"/>
  <c r="BQ30" i="186"/>
  <c r="BP30" i="186"/>
  <c r="BN30" i="186"/>
  <c r="BO30" i="186" s="1"/>
  <c r="BJ30" i="186"/>
  <c r="BG30" i="186"/>
  <c r="BF30" i="186"/>
  <c r="BC30" i="186"/>
  <c r="BB30" i="186"/>
  <c r="AY30" i="186"/>
  <c r="AX30" i="186"/>
  <c r="AU30" i="186"/>
  <c r="AT30" i="186"/>
  <c r="AO30" i="186"/>
  <c r="AN30" i="186"/>
  <c r="AM30" i="186"/>
  <c r="AL30" i="186"/>
  <c r="AK30" i="186"/>
  <c r="AC30" i="186"/>
  <c r="AB30" i="186"/>
  <c r="AA30" i="186"/>
  <c r="F30" i="186"/>
  <c r="B30" i="186"/>
  <c r="A30" i="186"/>
  <c r="GF29" i="186"/>
  <c r="ES29" i="186"/>
  <c r="ER29" i="186"/>
  <c r="EM29" i="186"/>
  <c r="BZ29" i="186"/>
  <c r="BK29" i="186"/>
  <c r="BG29" i="186"/>
  <c r="BF29" i="186"/>
  <c r="BC29" i="186"/>
  <c r="BB29" i="186"/>
  <c r="AY29" i="186"/>
  <c r="AX29" i="186"/>
  <c r="AU29" i="186"/>
  <c r="AT29" i="186"/>
  <c r="AO29" i="186"/>
  <c r="AN29" i="186"/>
  <c r="AM29" i="186"/>
  <c r="AL29" i="186"/>
  <c r="AK29" i="186"/>
  <c r="AC29" i="186"/>
  <c r="AB29" i="186"/>
  <c r="AA29" i="186"/>
  <c r="BJ29" i="186"/>
  <c r="F29" i="186"/>
  <c r="B29" i="186"/>
  <c r="A29" i="186"/>
  <c r="ES28" i="186"/>
  <c r="ER28" i="186"/>
  <c r="EM28" i="186"/>
  <c r="BJ28" i="186"/>
  <c r="BG28" i="186"/>
  <c r="BF28" i="186"/>
  <c r="BC28" i="186"/>
  <c r="BB28" i="186"/>
  <c r="AY28" i="186"/>
  <c r="AX28" i="186"/>
  <c r="AU28" i="186"/>
  <c r="AT28" i="186"/>
  <c r="AO28" i="186"/>
  <c r="AN28" i="186"/>
  <c r="AM28" i="186"/>
  <c r="AL28" i="186"/>
  <c r="AK28" i="186"/>
  <c r="AC28" i="186"/>
  <c r="AB28" i="186"/>
  <c r="AA28" i="186"/>
  <c r="F28" i="186"/>
  <c r="BQ28" i="186"/>
  <c r="B28" i="186"/>
  <c r="A28" i="186"/>
  <c r="GF28" i="186" s="1"/>
  <c r="GF27" i="186"/>
  <c r="ES27" i="186"/>
  <c r="ER27" i="186"/>
  <c r="EM27" i="186"/>
  <c r="BQ27" i="186"/>
  <c r="BN27" i="186"/>
  <c r="BK27" i="186"/>
  <c r="BJ27" i="186"/>
  <c r="BG27" i="186"/>
  <c r="BF27" i="186"/>
  <c r="BC27" i="186"/>
  <c r="BB27" i="186"/>
  <c r="AY27" i="186"/>
  <c r="AX27" i="186"/>
  <c r="AU27" i="186"/>
  <c r="AT27" i="186"/>
  <c r="AO27" i="186"/>
  <c r="AN27" i="186"/>
  <c r="AM27" i="186"/>
  <c r="AL27" i="186"/>
  <c r="AK27" i="186"/>
  <c r="AC27" i="186"/>
  <c r="AB27" i="186"/>
  <c r="AA27" i="186"/>
  <c r="F27" i="186"/>
  <c r="BP27" i="186"/>
  <c r="B27" i="186"/>
  <c r="A27" i="186"/>
  <c r="GF26" i="186"/>
  <c r="GA26" i="186"/>
  <c r="ES26" i="186"/>
  <c r="ER26" i="186"/>
  <c r="EM26" i="186"/>
  <c r="BG26" i="186"/>
  <c r="BF26" i="186"/>
  <c r="BC26" i="186"/>
  <c r="BB26" i="186"/>
  <c r="AY26" i="186"/>
  <c r="AX26" i="186"/>
  <c r="AU26" i="186"/>
  <c r="AT26" i="186"/>
  <c r="AO26" i="186"/>
  <c r="AN26" i="186"/>
  <c r="AM26" i="186"/>
  <c r="AL26" i="186"/>
  <c r="AK26" i="186"/>
  <c r="AC26" i="186"/>
  <c r="AB26" i="186"/>
  <c r="AA26" i="186"/>
  <c r="F26" i="186"/>
  <c r="BQ26" i="186"/>
  <c r="B26" i="186"/>
  <c r="A26" i="186"/>
  <c r="BJ26" i="186" s="1"/>
  <c r="FQ25" i="186"/>
  <c r="ES25" i="186"/>
  <c r="ER25" i="186"/>
  <c r="EM25" i="186"/>
  <c r="BQ25" i="186"/>
  <c r="BP25" i="186"/>
  <c r="BN25" i="186"/>
  <c r="BG25" i="186"/>
  <c r="BF25" i="186"/>
  <c r="BC25" i="186"/>
  <c r="BB25" i="186"/>
  <c r="AY25" i="186"/>
  <c r="AX25" i="186"/>
  <c r="AU25" i="186"/>
  <c r="AT25" i="186"/>
  <c r="AO25" i="186"/>
  <c r="AN25" i="186"/>
  <c r="AM25" i="186"/>
  <c r="AL25" i="186"/>
  <c r="AK25" i="186"/>
  <c r="AC25" i="186"/>
  <c r="AB25" i="186"/>
  <c r="AA25" i="186"/>
  <c r="Y25" i="186"/>
  <c r="F25" i="186"/>
  <c r="B25" i="186"/>
  <c r="A25" i="186"/>
  <c r="ES24" i="186"/>
  <c r="ER24" i="186"/>
  <c r="EM24" i="186"/>
  <c r="BG24" i="186"/>
  <c r="BF24" i="186"/>
  <c r="BC24" i="186"/>
  <c r="BB24" i="186"/>
  <c r="AY24" i="186"/>
  <c r="AX24" i="186"/>
  <c r="AU24" i="186"/>
  <c r="AT24" i="186"/>
  <c r="AO24" i="186"/>
  <c r="AN24" i="186"/>
  <c r="AM24" i="186"/>
  <c r="AL24" i="186"/>
  <c r="AK24" i="186"/>
  <c r="AC24" i="186"/>
  <c r="AB24" i="186"/>
  <c r="AA24" i="186"/>
  <c r="F24" i="186"/>
  <c r="BM24" i="186"/>
  <c r="B24" i="186"/>
  <c r="A24" i="186"/>
  <c r="GF24" i="186" s="1"/>
  <c r="GA24" i="186" s="1"/>
  <c r="ES23" i="186"/>
  <c r="ER23" i="186"/>
  <c r="EM23" i="186"/>
  <c r="BZ23" i="186"/>
  <c r="BG23" i="186"/>
  <c r="BF23" i="186"/>
  <c r="BC23" i="186"/>
  <c r="BB23" i="186"/>
  <c r="AY23" i="186"/>
  <c r="AX23" i="186"/>
  <c r="AU23" i="186"/>
  <c r="AT23" i="186"/>
  <c r="AO23" i="186"/>
  <c r="AN23" i="186"/>
  <c r="AM23" i="186"/>
  <c r="AL23" i="186"/>
  <c r="AK23" i="186"/>
  <c r="AC23" i="186"/>
  <c r="AB23" i="186"/>
  <c r="FQ23" i="186" s="1"/>
  <c r="AA23" i="186"/>
  <c r="F23" i="186"/>
  <c r="B23" i="186"/>
  <c r="A23" i="186"/>
  <c r="ES22" i="186"/>
  <c r="ER22" i="186"/>
  <c r="EM22" i="186"/>
  <c r="BQ22" i="186"/>
  <c r="BP22" i="186"/>
  <c r="BN22" i="186"/>
  <c r="BO22" i="186" s="1"/>
  <c r="BJ22" i="186"/>
  <c r="BG22" i="186"/>
  <c r="BF22" i="186"/>
  <c r="BC22" i="186"/>
  <c r="BB22" i="186"/>
  <c r="AY22" i="186"/>
  <c r="AX22" i="186"/>
  <c r="AU22" i="186"/>
  <c r="AT22" i="186"/>
  <c r="AO22" i="186"/>
  <c r="AN22" i="186"/>
  <c r="AM22" i="186"/>
  <c r="AL22" i="186"/>
  <c r="AK22" i="186"/>
  <c r="AC22" i="186"/>
  <c r="AB22" i="186"/>
  <c r="AA22" i="186"/>
  <c r="F22" i="186"/>
  <c r="B22" i="186"/>
  <c r="A22" i="186"/>
  <c r="GF21" i="186"/>
  <c r="ES21" i="186"/>
  <c r="ER21" i="186"/>
  <c r="EM21" i="186"/>
  <c r="BZ21" i="186"/>
  <c r="BK21" i="186"/>
  <c r="BG21" i="186"/>
  <c r="BF21" i="186"/>
  <c r="BC21" i="186"/>
  <c r="BB21" i="186"/>
  <c r="AY21" i="186"/>
  <c r="AX21" i="186"/>
  <c r="AU21" i="186"/>
  <c r="AT21" i="186"/>
  <c r="AO21" i="186"/>
  <c r="AN21" i="186"/>
  <c r="AM21" i="186"/>
  <c r="AL21" i="186"/>
  <c r="AK21" i="186"/>
  <c r="AC21" i="186"/>
  <c r="AB21" i="186"/>
  <c r="AA21" i="186"/>
  <c r="BJ21" i="186"/>
  <c r="F21" i="186"/>
  <c r="B21" i="186"/>
  <c r="A21" i="186"/>
  <c r="ES20" i="186"/>
  <c r="ER20" i="186"/>
  <c r="EM20" i="186"/>
  <c r="BZ20" i="186"/>
  <c r="BJ20" i="186"/>
  <c r="BG20" i="186"/>
  <c r="BF20" i="186"/>
  <c r="BC20" i="186"/>
  <c r="BB20" i="186"/>
  <c r="AY20" i="186"/>
  <c r="AX20" i="186"/>
  <c r="AU20" i="186"/>
  <c r="AT20" i="186"/>
  <c r="AO20" i="186"/>
  <c r="AN20" i="186"/>
  <c r="AM20" i="186"/>
  <c r="AL20" i="186"/>
  <c r="AK20" i="186"/>
  <c r="AC20" i="186"/>
  <c r="AB20" i="186"/>
  <c r="AA20" i="186"/>
  <c r="F20" i="186"/>
  <c r="BQ20" i="186"/>
  <c r="B20" i="186"/>
  <c r="A20" i="186"/>
  <c r="GF20" i="186" s="1"/>
  <c r="GF19" i="186"/>
  <c r="ES19" i="186"/>
  <c r="ER19" i="186"/>
  <c r="EM19" i="186"/>
  <c r="BQ19" i="186"/>
  <c r="BN19" i="186"/>
  <c r="BK19" i="186"/>
  <c r="BJ19" i="186"/>
  <c r="BG19" i="186"/>
  <c r="BF19" i="186"/>
  <c r="BC19" i="186"/>
  <c r="BB19" i="186"/>
  <c r="AY19" i="186"/>
  <c r="AX19" i="186"/>
  <c r="AU19" i="186"/>
  <c r="AT19" i="186"/>
  <c r="AO19" i="186"/>
  <c r="AN19" i="186"/>
  <c r="AM19" i="186"/>
  <c r="AL19" i="186"/>
  <c r="AK19" i="186"/>
  <c r="AC19" i="186"/>
  <c r="AB19" i="186"/>
  <c r="AA19" i="186"/>
  <c r="F19" i="186"/>
  <c r="BP19" i="186"/>
  <c r="B19" i="186"/>
  <c r="A19" i="186"/>
  <c r="GF18" i="186"/>
  <c r="GA18" i="186"/>
  <c r="FO18" i="186"/>
  <c r="ES18" i="186"/>
  <c r="ER18" i="186"/>
  <c r="EM18" i="186"/>
  <c r="BZ18" i="186"/>
  <c r="BK18" i="186"/>
  <c r="BG18" i="186"/>
  <c r="BF18" i="186"/>
  <c r="BC18" i="186"/>
  <c r="BB18" i="186"/>
  <c r="AY18" i="186"/>
  <c r="AX18" i="186"/>
  <c r="AU18" i="186"/>
  <c r="AT18" i="186"/>
  <c r="AO18" i="186"/>
  <c r="AN18" i="186"/>
  <c r="AM18" i="186"/>
  <c r="AL18" i="186"/>
  <c r="AK18" i="186"/>
  <c r="AC18" i="186"/>
  <c r="AB18" i="186"/>
  <c r="AA18" i="186"/>
  <c r="F18" i="186"/>
  <c r="BQ18" i="186"/>
  <c r="B18" i="186"/>
  <c r="A18" i="186"/>
  <c r="BJ18" i="186" s="1"/>
  <c r="JL17" i="186"/>
  <c r="JL18" i="186" s="1"/>
  <c r="JL19" i="186" s="1"/>
  <c r="JL20" i="186" s="1"/>
  <c r="JL21" i="186" s="1"/>
  <c r="JL22" i="186" s="1"/>
  <c r="JL23" i="186" s="1"/>
  <c r="JL24" i="186" s="1"/>
  <c r="JL25" i="186" s="1"/>
  <c r="JL26" i="186" s="1"/>
  <c r="JL27" i="186" s="1"/>
  <c r="JL28" i="186" s="1"/>
  <c r="JL29" i="186" s="1"/>
  <c r="JL30" i="186" s="1"/>
  <c r="ES17" i="186"/>
  <c r="ER17" i="186"/>
  <c r="EM17" i="186"/>
  <c r="BQ17" i="186"/>
  <c r="BP17" i="186"/>
  <c r="BN17" i="186"/>
  <c r="BG17" i="186"/>
  <c r="BF17" i="186"/>
  <c r="BC17" i="186"/>
  <c r="BB17" i="186"/>
  <c r="AY17" i="186"/>
  <c r="AX17" i="186"/>
  <c r="AU17" i="186"/>
  <c r="AT17" i="186"/>
  <c r="AO17" i="186"/>
  <c r="AN17" i="186"/>
  <c r="AM17" i="186"/>
  <c r="AL17" i="186"/>
  <c r="AK17" i="186"/>
  <c r="AC17" i="186"/>
  <c r="AB17" i="186"/>
  <c r="AA17" i="186"/>
  <c r="Y17" i="186"/>
  <c r="F17" i="186"/>
  <c r="B17" i="186"/>
  <c r="A17" i="186"/>
  <c r="GF16" i="186"/>
  <c r="GA16" i="186"/>
  <c r="ES16" i="186"/>
  <c r="ER16" i="186"/>
  <c r="EM16" i="186"/>
  <c r="BQ16" i="186"/>
  <c r="BN16" i="186"/>
  <c r="BM16" i="186" s="1"/>
  <c r="BK16" i="186"/>
  <c r="BG16" i="186"/>
  <c r="BF16" i="186"/>
  <c r="BC16" i="186"/>
  <c r="BB16" i="186"/>
  <c r="AY16" i="186"/>
  <c r="AX16" i="186"/>
  <c r="AU16" i="186"/>
  <c r="AT16" i="186"/>
  <c r="AO16" i="186"/>
  <c r="AN16" i="186"/>
  <c r="AM16" i="186"/>
  <c r="AL16" i="186"/>
  <c r="AK16" i="186"/>
  <c r="AC16" i="186"/>
  <c r="AB16" i="186"/>
  <c r="AA16" i="186"/>
  <c r="F16" i="186"/>
  <c r="B16" i="186"/>
  <c r="A16" i="186"/>
  <c r="FO16" i="186" s="1"/>
  <c r="JL15" i="186"/>
  <c r="JL16" i="186" s="1"/>
  <c r="ES15" i="186"/>
  <c r="ER15" i="186"/>
  <c r="EM15" i="186"/>
  <c r="BZ15" i="186"/>
  <c r="BG15" i="186"/>
  <c r="BF15" i="186"/>
  <c r="BC15" i="186"/>
  <c r="BB15" i="186"/>
  <c r="AY15" i="186"/>
  <c r="AX15" i="186"/>
  <c r="AU15" i="186"/>
  <c r="AT15" i="186"/>
  <c r="AO15" i="186"/>
  <c r="AN15" i="186"/>
  <c r="AM15" i="186"/>
  <c r="AL15" i="186"/>
  <c r="AK15" i="186"/>
  <c r="AC15" i="186"/>
  <c r="AB15" i="186"/>
  <c r="AA15" i="186"/>
  <c r="F15" i="186"/>
  <c r="B15" i="186"/>
  <c r="A15" i="186"/>
  <c r="JL14" i="186"/>
  <c r="ES14" i="186"/>
  <c r="ER14" i="186"/>
  <c r="EM14" i="186"/>
  <c r="BZ14" i="186"/>
  <c r="BG14" i="186"/>
  <c r="BF14" i="186"/>
  <c r="BC14" i="186"/>
  <c r="BB14" i="186"/>
  <c r="AY14" i="186"/>
  <c r="AX14" i="186"/>
  <c r="AU14" i="186"/>
  <c r="AT14" i="186"/>
  <c r="AO14" i="186"/>
  <c r="AN14" i="186"/>
  <c r="AM14" i="186"/>
  <c r="AL14" i="186"/>
  <c r="AK14" i="186"/>
  <c r="AC14" i="186"/>
  <c r="AB14" i="186"/>
  <c r="AA14" i="186"/>
  <c r="F14" i="186"/>
  <c r="B14" i="186"/>
  <c r="A14" i="186"/>
  <c r="JF12" i="186"/>
  <c r="JD12" i="186"/>
  <c r="IX12" i="186"/>
  <c r="IV12" i="186"/>
  <c r="IP12" i="186"/>
  <c r="IN12" i="186"/>
  <c r="IA12" i="186"/>
  <c r="HY12" i="186"/>
  <c r="HS12" i="186"/>
  <c r="HQ12" i="186"/>
  <c r="HK12" i="186"/>
  <c r="HI12" i="186"/>
  <c r="AX10" i="186"/>
  <c r="AE10" i="186"/>
  <c r="Z10" i="186"/>
  <c r="BE10" i="186" s="1"/>
  <c r="T10" i="186"/>
  <c r="C10" i="186"/>
  <c r="AX9" i="186"/>
  <c r="T9" i="186"/>
  <c r="C9" i="186"/>
  <c r="AE9" i="186" s="1"/>
  <c r="BB7" i="186"/>
  <c r="M7" i="186"/>
  <c r="M6" i="186" s="1"/>
  <c r="BB6" i="186"/>
  <c r="X6" i="186"/>
  <c r="EX5" i="186"/>
  <c r="ES5" i="186"/>
  <c r="ER5" i="186"/>
  <c r="EQ5" i="186"/>
  <c r="EP5" i="186"/>
  <c r="EO5" i="186"/>
  <c r="EN5" i="186"/>
  <c r="EM5" i="186"/>
  <c r="EL5" i="186"/>
  <c r="EK5" i="186"/>
  <c r="EJ5" i="186"/>
  <c r="EI5" i="186"/>
  <c r="EH5" i="186"/>
  <c r="EG5" i="186"/>
  <c r="EF5" i="186"/>
  <c r="EE5" i="186"/>
  <c r="ED5" i="186"/>
  <c r="EC5" i="186"/>
  <c r="EB5" i="186"/>
  <c r="EA5" i="186"/>
  <c r="DZ5" i="186"/>
  <c r="DY5" i="186"/>
  <c r="DX5" i="186"/>
  <c r="DW5" i="186"/>
  <c r="DV5" i="186"/>
  <c r="DU5" i="186"/>
  <c r="DT5" i="186"/>
  <c r="DS5" i="186"/>
  <c r="DR5" i="186"/>
  <c r="DQ5" i="186"/>
  <c r="DP5" i="186"/>
  <c r="DO5" i="186"/>
  <c r="DN5" i="186"/>
  <c r="DM5" i="186"/>
  <c r="DL5" i="186"/>
  <c r="DK5" i="186"/>
  <c r="DJ5" i="186"/>
  <c r="DI5" i="186"/>
  <c r="DH5" i="186"/>
  <c r="DE5" i="186"/>
  <c r="DD5" i="186"/>
  <c r="DC5" i="186"/>
  <c r="DB5" i="186"/>
  <c r="DA5" i="186"/>
  <c r="CZ5" i="186"/>
  <c r="CY5" i="186"/>
  <c r="CX5" i="186"/>
  <c r="CW5" i="186"/>
  <c r="CV5" i="186"/>
  <c r="CU5" i="186"/>
  <c r="CT5" i="186"/>
  <c r="CS5" i="186"/>
  <c r="CR5" i="186"/>
  <c r="CQ5" i="186"/>
  <c r="CP5" i="186"/>
  <c r="CO5" i="186"/>
  <c r="CN5" i="186"/>
  <c r="CM5" i="186"/>
  <c r="CL5" i="186"/>
  <c r="CK5" i="186"/>
  <c r="CJ5" i="186"/>
  <c r="CI5" i="186"/>
  <c r="CH5" i="186"/>
  <c r="CG5" i="186"/>
  <c r="CF5" i="186"/>
  <c r="CE5" i="186"/>
  <c r="CD5" i="186"/>
  <c r="CC5" i="186"/>
  <c r="CB5" i="186"/>
  <c r="FF4" i="186"/>
  <c r="FE4" i="186"/>
  <c r="FD4" i="186"/>
  <c r="FC4" i="186"/>
  <c r="FB4" i="186"/>
  <c r="FA4" i="186"/>
  <c r="EZ4" i="186"/>
  <c r="EY4" i="186"/>
  <c r="Q4" i="186"/>
  <c r="AU4" i="186" s="1"/>
  <c r="FG2" i="186"/>
  <c r="FE2" i="186"/>
  <c r="EU60" i="186" s="1"/>
  <c r="FC2" i="186"/>
  <c r="FA2" i="186"/>
  <c r="ES85" i="186" s="1"/>
  <c r="Y45" i="186" s="1"/>
  <c r="Q2" i="186"/>
  <c r="AU2" i="186" s="1"/>
  <c r="HA1" i="186"/>
  <c r="JK12" i="186" s="1"/>
  <c r="FG1" i="186"/>
  <c r="FB1" i="186"/>
  <c r="FA1" i="186"/>
  <c r="BK1" i="186"/>
  <c r="BZ43" i="186" s="1"/>
  <c r="BJ1" i="186"/>
  <c r="Q1" i="186" s="1"/>
  <c r="AU1" i="186" s="1"/>
  <c r="BG87" i="185"/>
  <c r="BF87" i="185"/>
  <c r="BE87" i="185"/>
  <c r="BD87" i="185"/>
  <c r="BC87" i="185"/>
  <c r="BB87" i="185"/>
  <c r="BA87" i="185"/>
  <c r="AZ87" i="185"/>
  <c r="AY87" i="185"/>
  <c r="AX87" i="185"/>
  <c r="AW87" i="185"/>
  <c r="AV87" i="185"/>
  <c r="AU87" i="185"/>
  <c r="AT87" i="185"/>
  <c r="AS87" i="185"/>
  <c r="AR87" i="185"/>
  <c r="AQ87" i="185"/>
  <c r="AP87" i="185"/>
  <c r="AO87" i="185"/>
  <c r="AN87" i="185"/>
  <c r="AM87" i="185"/>
  <c r="AL87" i="185"/>
  <c r="AK87" i="185"/>
  <c r="AJ87" i="185"/>
  <c r="AI87" i="185"/>
  <c r="AH87" i="185"/>
  <c r="AG87" i="185"/>
  <c r="AF87" i="185"/>
  <c r="AE87" i="185"/>
  <c r="AD87" i="185"/>
  <c r="AC87" i="185"/>
  <c r="AB87" i="185"/>
  <c r="AA87" i="185"/>
  <c r="Z87" i="185"/>
  <c r="Y87" i="185"/>
  <c r="X87" i="185"/>
  <c r="W87" i="185"/>
  <c r="V87" i="185"/>
  <c r="U87" i="185"/>
  <c r="T87" i="185"/>
  <c r="S87" i="185"/>
  <c r="R87" i="185"/>
  <c r="Q87" i="185"/>
  <c r="P87" i="185"/>
  <c r="O87" i="185"/>
  <c r="N87" i="185"/>
  <c r="M87" i="185"/>
  <c r="L87" i="185"/>
  <c r="K87" i="185"/>
  <c r="J87" i="185"/>
  <c r="I87" i="185"/>
  <c r="H87" i="185"/>
  <c r="G87" i="185"/>
  <c r="F87" i="185"/>
  <c r="E87" i="185"/>
  <c r="D87" i="185"/>
  <c r="C87" i="185"/>
  <c r="B87" i="185"/>
  <c r="A87" i="185"/>
  <c r="GI85" i="185"/>
  <c r="BE45" i="185" s="1"/>
  <c r="GH85" i="185"/>
  <c r="BA45" i="185" s="1"/>
  <c r="GG85" i="185"/>
  <c r="AV45" i="185" s="1"/>
  <c r="FG85" i="185" s="1"/>
  <c r="GF85" i="185"/>
  <c r="AS45" i="185" s="1"/>
  <c r="GE85" i="185"/>
  <c r="AQ45" i="185" s="1"/>
  <c r="GD85" i="185"/>
  <c r="AP45" i="185" s="1"/>
  <c r="FM85" i="185"/>
  <c r="EX85" i="185"/>
  <c r="EL85" i="185"/>
  <c r="EM85" i="185" s="1"/>
  <c r="EN85" i="185" s="1"/>
  <c r="X45" i="185" s="1"/>
  <c r="EK85" i="185"/>
  <c r="ED85" i="185"/>
  <c r="EB85" i="185"/>
  <c r="DE85" i="185"/>
  <c r="CY85" i="185"/>
  <c r="CU85" i="185"/>
  <c r="CT85" i="185"/>
  <c r="EP85" i="185" s="1"/>
  <c r="CS85" i="185"/>
  <c r="CR85" i="185"/>
  <c r="CQ85" i="185"/>
  <c r="CP85" i="185"/>
  <c r="CO85" i="185"/>
  <c r="FE85" i="185" s="1"/>
  <c r="CN85" i="185"/>
  <c r="CM85" i="185"/>
  <c r="DJ85" i="185" s="1"/>
  <c r="CL85" i="185"/>
  <c r="EH85" i="185" s="1"/>
  <c r="EJ85" i="185" s="1"/>
  <c r="CK85" i="185"/>
  <c r="CJ85" i="185"/>
  <c r="CI85" i="185"/>
  <c r="CH85" i="185"/>
  <c r="CG85" i="185"/>
  <c r="DZ85" i="185" s="1"/>
  <c r="P45" i="185" s="1"/>
  <c r="CF85" i="185"/>
  <c r="CW85" i="185" s="1"/>
  <c r="M45" i="185" s="1"/>
  <c r="CE85" i="185"/>
  <c r="CD85" i="185"/>
  <c r="DD85" i="185" s="1"/>
  <c r="H45" i="185" s="1"/>
  <c r="CC85" i="185"/>
  <c r="CB85" i="185"/>
  <c r="GI84" i="185"/>
  <c r="BE44" i="185" s="1"/>
  <c r="GH84" i="185"/>
  <c r="BA44" i="185" s="1"/>
  <c r="GG84" i="185"/>
  <c r="AW44" i="185" s="1"/>
  <c r="GF84" i="185"/>
  <c r="AS44" i="185" s="1"/>
  <c r="GE84" i="185"/>
  <c r="AQ44" i="185" s="1"/>
  <c r="GD84" i="185"/>
  <c r="AP44" i="185" s="1"/>
  <c r="FM84" i="185"/>
  <c r="EX84" i="185"/>
  <c r="EK84" i="185"/>
  <c r="ED84" i="185"/>
  <c r="EB84" i="185"/>
  <c r="DE84" i="185"/>
  <c r="CY84" i="185"/>
  <c r="CU84" i="185"/>
  <c r="EL84" i="185" s="1"/>
  <c r="EM84" i="185" s="1"/>
  <c r="EN84" i="185" s="1"/>
  <c r="X44" i="185" s="1"/>
  <c r="CT84" i="185"/>
  <c r="EP84" i="185" s="1"/>
  <c r="CS84" i="185"/>
  <c r="CR84" i="185"/>
  <c r="CQ84" i="185"/>
  <c r="CP84" i="185"/>
  <c r="FC84" i="185" s="1"/>
  <c r="CO84" i="185"/>
  <c r="ET84" i="185" s="1"/>
  <c r="CN84" i="185"/>
  <c r="CM84" i="185"/>
  <c r="DJ84" i="185" s="1"/>
  <c r="CL84" i="185"/>
  <c r="EI84" i="185" s="1"/>
  <c r="CK84" i="185"/>
  <c r="CJ84" i="185"/>
  <c r="CI84" i="185"/>
  <c r="CH84" i="185"/>
  <c r="CG84" i="185"/>
  <c r="FB84" i="185" s="1"/>
  <c r="CF84" i="185"/>
  <c r="EO84" i="185" s="1"/>
  <c r="CE84" i="185"/>
  <c r="CD84" i="185"/>
  <c r="DB84" i="185" s="1"/>
  <c r="CC84" i="185"/>
  <c r="EF84" i="185" s="1"/>
  <c r="CB84" i="185"/>
  <c r="GI83" i="185"/>
  <c r="BE43" i="185" s="1"/>
  <c r="GH83" i="185"/>
  <c r="BA43" i="185" s="1"/>
  <c r="GG83" i="185"/>
  <c r="AW43" i="185" s="1"/>
  <c r="GF83" i="185"/>
  <c r="AS43" i="185" s="1"/>
  <c r="GE83" i="185"/>
  <c r="AQ43" i="185" s="1"/>
  <c r="GD83" i="185"/>
  <c r="AP43" i="185" s="1"/>
  <c r="FM83" i="185"/>
  <c r="EX83" i="185"/>
  <c r="ED83" i="185"/>
  <c r="EB83" i="185"/>
  <c r="DE83" i="185"/>
  <c r="CY83" i="185"/>
  <c r="CU83" i="185"/>
  <c r="EL83" i="185" s="1"/>
  <c r="EM83" i="185" s="1"/>
  <c r="EN83" i="185" s="1"/>
  <c r="X43" i="185" s="1"/>
  <c r="CT83" i="185"/>
  <c r="EP83" i="185" s="1"/>
  <c r="CS83" i="185"/>
  <c r="CR83" i="185"/>
  <c r="CQ83" i="185"/>
  <c r="CP83" i="185"/>
  <c r="FC83" i="185" s="1"/>
  <c r="CO83" i="185"/>
  <c r="ET83" i="185" s="1"/>
  <c r="CN83" i="185"/>
  <c r="CM83" i="185"/>
  <c r="DH83" i="185" s="1"/>
  <c r="CL83" i="185"/>
  <c r="EI83" i="185" s="1"/>
  <c r="CK83" i="185"/>
  <c r="EK83" i="185" s="1"/>
  <c r="CJ83" i="185"/>
  <c r="CI83" i="185"/>
  <c r="CH83" i="185"/>
  <c r="CG83" i="185"/>
  <c r="FB83" i="185" s="1"/>
  <c r="CF83" i="185"/>
  <c r="CE83" i="185"/>
  <c r="CD83" i="185"/>
  <c r="DB83" i="185" s="1"/>
  <c r="CC83" i="185"/>
  <c r="EF83" i="185" s="1"/>
  <c r="CB83" i="185"/>
  <c r="GI82" i="185"/>
  <c r="BD42" i="185" s="1"/>
  <c r="FI82" i="185" s="1"/>
  <c r="GH82" i="185"/>
  <c r="BA42" i="185" s="1"/>
  <c r="GG82" i="185"/>
  <c r="AW42" i="185" s="1"/>
  <c r="GF82" i="185"/>
  <c r="AR42" i="185" s="1"/>
  <c r="FF82" i="185" s="1"/>
  <c r="GE82" i="185"/>
  <c r="AQ42" i="185" s="1"/>
  <c r="GD82" i="185"/>
  <c r="AP42" i="185" s="1"/>
  <c r="FM82" i="185"/>
  <c r="EX82" i="185"/>
  <c r="EL82" i="185"/>
  <c r="EM82" i="185" s="1"/>
  <c r="EN82" i="185" s="1"/>
  <c r="X42" i="185" s="1"/>
  <c r="ED82" i="185"/>
  <c r="EB82" i="185"/>
  <c r="DE82" i="185"/>
  <c r="CY82" i="185"/>
  <c r="CU82" i="185"/>
  <c r="EQ82" i="185" s="1"/>
  <c r="ER82" i="185" s="1"/>
  <c r="ES82" i="185" s="1"/>
  <c r="Y42" i="185" s="1"/>
  <c r="CT82" i="185"/>
  <c r="EP82" i="185" s="1"/>
  <c r="CS82" i="185"/>
  <c r="CR82" i="185"/>
  <c r="CQ82" i="185"/>
  <c r="CP82" i="185"/>
  <c r="CO82" i="185"/>
  <c r="CX82" i="185" s="1"/>
  <c r="N42" i="185" s="1"/>
  <c r="CN82" i="185"/>
  <c r="CM82" i="185"/>
  <c r="DJ82" i="185" s="1"/>
  <c r="CL82" i="185"/>
  <c r="EH82" i="185" s="1"/>
  <c r="EJ82" i="185" s="1"/>
  <c r="CK82" i="185"/>
  <c r="EK82" i="185" s="1"/>
  <c r="CJ82" i="185"/>
  <c r="CI82" i="185"/>
  <c r="CH82" i="185"/>
  <c r="CG82" i="185"/>
  <c r="DZ82" i="185" s="1"/>
  <c r="O42" i="185" s="1"/>
  <c r="CF82" i="185"/>
  <c r="CE82" i="185"/>
  <c r="CD82" i="185"/>
  <c r="DB82" i="185" s="1"/>
  <c r="CC82" i="185"/>
  <c r="EF82" i="185" s="1"/>
  <c r="CB82" i="185"/>
  <c r="GI81" i="185"/>
  <c r="BD41" i="185" s="1"/>
  <c r="FI81" i="185" s="1"/>
  <c r="GH81" i="185"/>
  <c r="BA41" i="185" s="1"/>
  <c r="GG81" i="185"/>
  <c r="AW41" i="185" s="1"/>
  <c r="GF81" i="185"/>
  <c r="AS41" i="185" s="1"/>
  <c r="GE81" i="185"/>
  <c r="AQ41" i="185" s="1"/>
  <c r="GD81" i="185"/>
  <c r="AP41" i="185" s="1"/>
  <c r="FM81" i="185"/>
  <c r="EX81" i="185"/>
  <c r="EN81" i="185"/>
  <c r="X41" i="185" s="1"/>
  <c r="EL81" i="185"/>
  <c r="EM81" i="185" s="1"/>
  <c r="EK81" i="185"/>
  <c r="ED81" i="185"/>
  <c r="EB81" i="185"/>
  <c r="DE81" i="185"/>
  <c r="CY81" i="185"/>
  <c r="CU81" i="185"/>
  <c r="EQ81" i="185" s="1"/>
  <c r="ER81" i="185" s="1"/>
  <c r="CT81" i="185"/>
  <c r="EP81" i="185" s="1"/>
  <c r="CS81" i="185"/>
  <c r="CR81" i="185"/>
  <c r="CQ81" i="185"/>
  <c r="CP81" i="185"/>
  <c r="CO81" i="185"/>
  <c r="FE81" i="185" s="1"/>
  <c r="CN81" i="185"/>
  <c r="CM81" i="185"/>
  <c r="DJ81" i="185" s="1"/>
  <c r="K41" i="185" s="1"/>
  <c r="CL81" i="185"/>
  <c r="EH81" i="185" s="1"/>
  <c r="EJ81" i="185" s="1"/>
  <c r="CK81" i="185"/>
  <c r="CJ81" i="185"/>
  <c r="CI81" i="185"/>
  <c r="CH81" i="185"/>
  <c r="CG81" i="185"/>
  <c r="DZ81" i="185" s="1"/>
  <c r="CF81" i="185"/>
  <c r="CW81" i="185" s="1"/>
  <c r="M41" i="185" s="1"/>
  <c r="CE81" i="185"/>
  <c r="CD81" i="185"/>
  <c r="DD81" i="185" s="1"/>
  <c r="I41" i="185" s="1"/>
  <c r="BS41" i="185" s="1"/>
  <c r="CC81" i="185"/>
  <c r="EF81" i="185" s="1"/>
  <c r="CB81" i="185"/>
  <c r="GI80" i="185"/>
  <c r="BE40" i="185" s="1"/>
  <c r="GH80" i="185"/>
  <c r="AZ40" i="185" s="1"/>
  <c r="FH80" i="185" s="1"/>
  <c r="GG80" i="185"/>
  <c r="AW40" i="185" s="1"/>
  <c r="GE80" i="185"/>
  <c r="AQ40" i="185" s="1"/>
  <c r="FS80" i="185"/>
  <c r="FM80" i="185"/>
  <c r="FK80" i="185"/>
  <c r="FJ80" i="185" s="1"/>
  <c r="EK80" i="185"/>
  <c r="ED80" i="185"/>
  <c r="DE80" i="185"/>
  <c r="CY80" i="185"/>
  <c r="CU80" i="185"/>
  <c r="EL80" i="185" s="1"/>
  <c r="EM80" i="185" s="1"/>
  <c r="CT80" i="185"/>
  <c r="EP80" i="185" s="1"/>
  <c r="CS80" i="185"/>
  <c r="CR80" i="185"/>
  <c r="CQ80" i="185"/>
  <c r="CP80" i="185"/>
  <c r="CO80" i="185"/>
  <c r="CN80" i="185"/>
  <c r="CK80" i="185"/>
  <c r="CJ80" i="185"/>
  <c r="CI80" i="185"/>
  <c r="CH80" i="185"/>
  <c r="CG80" i="185"/>
  <c r="CF80" i="185"/>
  <c r="CE80" i="185"/>
  <c r="CB80" i="185"/>
  <c r="GI79" i="185"/>
  <c r="BD39" i="185" s="1"/>
  <c r="FI79" i="185" s="1"/>
  <c r="GH79" i="185"/>
  <c r="BA39" i="185" s="1"/>
  <c r="GG79" i="185"/>
  <c r="AW39" i="185" s="1"/>
  <c r="GF79" i="185"/>
  <c r="AR39" i="185" s="1"/>
  <c r="AS39" i="185" s="1"/>
  <c r="GE79" i="185"/>
  <c r="AQ39" i="185" s="1"/>
  <c r="GD79" i="185"/>
  <c r="AP39" i="185" s="1"/>
  <c r="FS79" i="185"/>
  <c r="FP79" i="185" s="1"/>
  <c r="FM79" i="185"/>
  <c r="FK79" i="185"/>
  <c r="FJ79" i="185" s="1"/>
  <c r="EP79" i="185"/>
  <c r="DE79" i="185"/>
  <c r="CY79" i="185"/>
  <c r="CU79" i="185"/>
  <c r="CT79" i="185"/>
  <c r="CS79" i="185"/>
  <c r="CR79" i="185"/>
  <c r="CQ79" i="185"/>
  <c r="CP79" i="185"/>
  <c r="CO79" i="185"/>
  <c r="CN79" i="185"/>
  <c r="CK79" i="185"/>
  <c r="EK79" i="185" s="1"/>
  <c r="CJ79" i="185"/>
  <c r="CI79" i="185"/>
  <c r="CH79" i="185"/>
  <c r="CG79" i="185"/>
  <c r="CF79" i="185"/>
  <c r="CE79" i="185"/>
  <c r="CB79" i="185"/>
  <c r="GI78" i="185"/>
  <c r="BE38" i="185" s="1"/>
  <c r="GH78" i="185"/>
  <c r="BA38" i="185" s="1"/>
  <c r="GG78" i="185"/>
  <c r="AW38" i="185" s="1"/>
  <c r="GF78" i="185"/>
  <c r="AR38" i="185" s="1"/>
  <c r="AS38" i="185" s="1"/>
  <c r="GE78" i="185"/>
  <c r="AQ38" i="185" s="1"/>
  <c r="GD78" i="185"/>
  <c r="AP38" i="185" s="1"/>
  <c r="FS78" i="185"/>
  <c r="FN78" i="185" s="1"/>
  <c r="FM78" i="185"/>
  <c r="FK78" i="185"/>
  <c r="FJ78" i="185"/>
  <c r="ER78" i="185"/>
  <c r="EQ78" i="185"/>
  <c r="ED78" i="185"/>
  <c r="DE78" i="185"/>
  <c r="CY78" i="185"/>
  <c r="CU78" i="185"/>
  <c r="EL78" i="185" s="1"/>
  <c r="EM78" i="185" s="1"/>
  <c r="EN78" i="185" s="1"/>
  <c r="X38" i="185" s="1"/>
  <c r="CT78" i="185"/>
  <c r="EP78" i="185" s="1"/>
  <c r="CS78" i="185"/>
  <c r="CR78" i="185"/>
  <c r="CQ78" i="185"/>
  <c r="CP78" i="185"/>
  <c r="CO78" i="185"/>
  <c r="CN78" i="185"/>
  <c r="CK78" i="185"/>
  <c r="EK78" i="185" s="1"/>
  <c r="CJ78" i="185"/>
  <c r="CI78" i="185"/>
  <c r="CH78" i="185"/>
  <c r="CG78" i="185"/>
  <c r="CF78" i="185"/>
  <c r="CE78" i="185"/>
  <c r="CB78" i="185"/>
  <c r="GI77" i="185"/>
  <c r="BE37" i="185" s="1"/>
  <c r="GH77" i="185"/>
  <c r="GF77" i="185"/>
  <c r="AR37" i="185" s="1"/>
  <c r="AS37" i="185" s="1"/>
  <c r="GE77" i="185"/>
  <c r="AQ37" i="185" s="1"/>
  <c r="FS77" i="185"/>
  <c r="FP77" i="185" s="1"/>
  <c r="FM77" i="185"/>
  <c r="FK77" i="185"/>
  <c r="EL77" i="185"/>
  <c r="EM77" i="185" s="1"/>
  <c r="EK77" i="185"/>
  <c r="ED77" i="185"/>
  <c r="DE77" i="185"/>
  <c r="CY77" i="185"/>
  <c r="CU77" i="185"/>
  <c r="EQ77" i="185" s="1"/>
  <c r="ER77" i="185" s="1"/>
  <c r="CT77" i="185"/>
  <c r="EP77" i="185" s="1"/>
  <c r="CS77" i="185"/>
  <c r="CR77" i="185"/>
  <c r="CQ77" i="185"/>
  <c r="CP77" i="185"/>
  <c r="CO77" i="185"/>
  <c r="CN77" i="185"/>
  <c r="CK77" i="185"/>
  <c r="CJ77" i="185"/>
  <c r="CI77" i="185"/>
  <c r="CH77" i="185"/>
  <c r="CG77" i="185"/>
  <c r="CF77" i="185"/>
  <c r="CE77" i="185"/>
  <c r="CB77" i="185"/>
  <c r="GI76" i="185"/>
  <c r="BD36" i="185" s="1"/>
  <c r="FI76" i="185" s="1"/>
  <c r="GH76" i="185"/>
  <c r="BA36" i="185" s="1"/>
  <c r="FS76" i="185"/>
  <c r="FN76" i="185" s="1"/>
  <c r="FM76" i="185"/>
  <c r="FK76" i="185"/>
  <c r="EM76" i="185"/>
  <c r="EK76" i="185"/>
  <c r="ED76" i="185"/>
  <c r="DE76" i="185"/>
  <c r="CY76" i="185"/>
  <c r="CU76" i="185"/>
  <c r="EL76" i="185" s="1"/>
  <c r="CT76" i="185"/>
  <c r="EP76" i="185" s="1"/>
  <c r="CS76" i="185"/>
  <c r="CR76" i="185"/>
  <c r="CQ76" i="185"/>
  <c r="CP76" i="185"/>
  <c r="CO76" i="185"/>
  <c r="CN76" i="185"/>
  <c r="CK76" i="185"/>
  <c r="CJ76" i="185"/>
  <c r="CI76" i="185"/>
  <c r="CH76" i="185"/>
  <c r="CG76" i="185"/>
  <c r="CF76" i="185"/>
  <c r="CE76" i="185"/>
  <c r="CB76" i="185"/>
  <c r="GI75" i="185"/>
  <c r="BE35" i="185" s="1"/>
  <c r="GH75" i="185"/>
  <c r="AZ35" i="185" s="1"/>
  <c r="FH75" i="185" s="1"/>
  <c r="FS75" i="185"/>
  <c r="FP75" i="185" s="1"/>
  <c r="FM75" i="185"/>
  <c r="FK75" i="185"/>
  <c r="FJ75" i="185" s="1"/>
  <c r="EP75" i="185"/>
  <c r="ED75" i="185"/>
  <c r="DE75" i="185"/>
  <c r="CY75" i="185"/>
  <c r="CU75" i="185"/>
  <c r="EL75" i="185" s="1"/>
  <c r="EM75" i="185" s="1"/>
  <c r="EN75" i="185" s="1"/>
  <c r="X35" i="185" s="1"/>
  <c r="CT75" i="185"/>
  <c r="CS75" i="185"/>
  <c r="CR75" i="185"/>
  <c r="CQ75" i="185"/>
  <c r="CP75" i="185"/>
  <c r="CO75" i="185"/>
  <c r="CN75" i="185"/>
  <c r="CK75" i="185"/>
  <c r="EK75" i="185" s="1"/>
  <c r="CJ75" i="185"/>
  <c r="CI75" i="185"/>
  <c r="CH75" i="185"/>
  <c r="CG75" i="185"/>
  <c r="CF75" i="185"/>
  <c r="EO75" i="185" s="1"/>
  <c r="CE75" i="185"/>
  <c r="CB75" i="185"/>
  <c r="GI74" i="185"/>
  <c r="BE34" i="185" s="1"/>
  <c r="GH74" i="185"/>
  <c r="BA34" i="185" s="1"/>
  <c r="GG74" i="185"/>
  <c r="GE74" i="185"/>
  <c r="AQ34" i="185" s="1"/>
  <c r="FS74" i="185"/>
  <c r="FP74" i="185" s="1"/>
  <c r="FM74" i="185"/>
  <c r="FK74" i="185"/>
  <c r="FJ74" i="185"/>
  <c r="ED74" i="185"/>
  <c r="DE74" i="185"/>
  <c r="CY74" i="185"/>
  <c r="CU74" i="185"/>
  <c r="EQ74" i="185" s="1"/>
  <c r="ER74" i="185" s="1"/>
  <c r="CT74" i="185"/>
  <c r="EP74" i="185" s="1"/>
  <c r="CS74" i="185"/>
  <c r="CR74" i="185"/>
  <c r="CQ74" i="185"/>
  <c r="CP74" i="185"/>
  <c r="CO74" i="185"/>
  <c r="ET74" i="185" s="1"/>
  <c r="CN74" i="185"/>
  <c r="CK74" i="185"/>
  <c r="EK74" i="185" s="1"/>
  <c r="CJ74" i="185"/>
  <c r="CI74" i="185"/>
  <c r="CH74" i="185"/>
  <c r="CG74" i="185"/>
  <c r="CF74" i="185"/>
  <c r="CE74" i="185"/>
  <c r="CB74" i="185"/>
  <c r="GI73" i="185"/>
  <c r="BE33" i="185" s="1"/>
  <c r="GH73" i="185"/>
  <c r="GG73" i="185"/>
  <c r="AW33" i="185" s="1"/>
  <c r="GE73" i="185"/>
  <c r="AQ33" i="185" s="1"/>
  <c r="FS73" i="185"/>
  <c r="FP73" i="185" s="1"/>
  <c r="FM73" i="185"/>
  <c r="FK73" i="185"/>
  <c r="FJ73" i="185"/>
  <c r="EN73" i="185"/>
  <c r="X33" i="185" s="1"/>
  <c r="EL73" i="185"/>
  <c r="EM73" i="185" s="1"/>
  <c r="EK73" i="185"/>
  <c r="ED73" i="185"/>
  <c r="DE73" i="185"/>
  <c r="CY73" i="185"/>
  <c r="CU73" i="185"/>
  <c r="CT73" i="185"/>
  <c r="EP73" i="185" s="1"/>
  <c r="CS73" i="185"/>
  <c r="CR73" i="185"/>
  <c r="CQ73" i="185"/>
  <c r="CP73" i="185"/>
  <c r="CO73" i="185"/>
  <c r="CN73" i="185"/>
  <c r="CK73" i="185"/>
  <c r="CJ73" i="185"/>
  <c r="CI73" i="185"/>
  <c r="CH73" i="185"/>
  <c r="CG73" i="185"/>
  <c r="CF73" i="185"/>
  <c r="CE73" i="185"/>
  <c r="CB73" i="185"/>
  <c r="GI72" i="185"/>
  <c r="BE32" i="185" s="1"/>
  <c r="GH72" i="185"/>
  <c r="BA32" i="185" s="1"/>
  <c r="FS72" i="185"/>
  <c r="FM72" i="185"/>
  <c r="FK72" i="185"/>
  <c r="EU72" i="185"/>
  <c r="EP72" i="185"/>
  <c r="EK72" i="185"/>
  <c r="ED72" i="185"/>
  <c r="DE72" i="185"/>
  <c r="CY72" i="185"/>
  <c r="CU72" i="185"/>
  <c r="EL72" i="185" s="1"/>
  <c r="EM72" i="185" s="1"/>
  <c r="EN72" i="185" s="1"/>
  <c r="CT72" i="185"/>
  <c r="CS72" i="185"/>
  <c r="CR72" i="185"/>
  <c r="CQ72" i="185"/>
  <c r="CP72" i="185"/>
  <c r="CO72" i="185"/>
  <c r="CN72" i="185"/>
  <c r="CK72" i="185"/>
  <c r="CJ72" i="185"/>
  <c r="CI72" i="185"/>
  <c r="CH72" i="185"/>
  <c r="CG72" i="185"/>
  <c r="CF72" i="185"/>
  <c r="CE72" i="185"/>
  <c r="CB72" i="185"/>
  <c r="FS71" i="185"/>
  <c r="FP71" i="185" s="1"/>
  <c r="FM71" i="185"/>
  <c r="FK71" i="185"/>
  <c r="FJ71" i="185" s="1"/>
  <c r="EP71" i="185"/>
  <c r="ED71" i="185"/>
  <c r="DE71" i="185"/>
  <c r="CY71" i="185"/>
  <c r="CU71" i="185"/>
  <c r="CT71" i="185"/>
  <c r="CS71" i="185"/>
  <c r="CR71" i="185"/>
  <c r="CQ71" i="185"/>
  <c r="CP71" i="185"/>
  <c r="CO71" i="185"/>
  <c r="CN71" i="185"/>
  <c r="CK71" i="185"/>
  <c r="EK71" i="185" s="1"/>
  <c r="EL71" i="185" s="1"/>
  <c r="EM71" i="185" s="1"/>
  <c r="CJ71" i="185"/>
  <c r="CI71" i="185"/>
  <c r="CH71" i="185"/>
  <c r="CG71" i="185"/>
  <c r="CF71" i="185"/>
  <c r="CE71" i="185"/>
  <c r="CB71" i="185"/>
  <c r="FS70" i="185"/>
  <c r="FP70" i="185" s="1"/>
  <c r="FM70" i="185"/>
  <c r="FK70" i="185"/>
  <c r="FJ70" i="185"/>
  <c r="ED70" i="185"/>
  <c r="EB70" i="185"/>
  <c r="DE70" i="185"/>
  <c r="CY70" i="185"/>
  <c r="CU70" i="185"/>
  <c r="CT70" i="185"/>
  <c r="EP70" i="185" s="1"/>
  <c r="CS70" i="185"/>
  <c r="CR70" i="185"/>
  <c r="CQ70" i="185"/>
  <c r="CP70" i="185"/>
  <c r="CO70" i="185"/>
  <c r="CN70" i="185"/>
  <c r="CK70" i="185"/>
  <c r="EK70" i="185" s="1"/>
  <c r="CJ70" i="185"/>
  <c r="CI70" i="185"/>
  <c r="CH70" i="185"/>
  <c r="CG70" i="185"/>
  <c r="CF70" i="185"/>
  <c r="CE70" i="185"/>
  <c r="CB70" i="185"/>
  <c r="GI69" i="185"/>
  <c r="BE29" i="185" s="1"/>
  <c r="GH69" i="185"/>
  <c r="BA29" i="185" s="1"/>
  <c r="GG69" i="185"/>
  <c r="AW29" i="185" s="1"/>
  <c r="GE69" i="185"/>
  <c r="AQ29" i="185" s="1"/>
  <c r="FS69" i="185"/>
  <c r="FP69" i="185" s="1"/>
  <c r="FM69" i="185"/>
  <c r="FK69" i="185"/>
  <c r="EK69" i="185"/>
  <c r="ED69" i="185"/>
  <c r="DE69" i="185"/>
  <c r="CY69" i="185"/>
  <c r="CU69" i="185"/>
  <c r="EQ69" i="185" s="1"/>
  <c r="ER69" i="185" s="1"/>
  <c r="ES69" i="185" s="1"/>
  <c r="Y29" i="185" s="1"/>
  <c r="CT69" i="185"/>
  <c r="EP69" i="185" s="1"/>
  <c r="CS69" i="185"/>
  <c r="CR69" i="185"/>
  <c r="CQ69" i="185"/>
  <c r="CP69" i="185"/>
  <c r="CO69" i="185"/>
  <c r="ET69" i="185" s="1"/>
  <c r="CN69" i="185"/>
  <c r="CK69" i="185"/>
  <c r="CJ69" i="185"/>
  <c r="CI69" i="185"/>
  <c r="CH69" i="185"/>
  <c r="CG69" i="185"/>
  <c r="CF69" i="185"/>
  <c r="CE69" i="185"/>
  <c r="CB69" i="185"/>
  <c r="GI68" i="185"/>
  <c r="BD28" i="185" s="1"/>
  <c r="FI68" i="185" s="1"/>
  <c r="GH68" i="185"/>
  <c r="BA28" i="185" s="1"/>
  <c r="GG68" i="185"/>
  <c r="GF68" i="185"/>
  <c r="AR28" i="185" s="1"/>
  <c r="GE68" i="185"/>
  <c r="AQ28" i="185" s="1"/>
  <c r="GD68" i="185"/>
  <c r="AP28" i="185" s="1"/>
  <c r="FS68" i="185"/>
  <c r="FM68" i="185"/>
  <c r="FK68" i="185"/>
  <c r="FJ68" i="185" s="1"/>
  <c r="EP68" i="185"/>
  <c r="EK68" i="185"/>
  <c r="ED68" i="185"/>
  <c r="DE68" i="185"/>
  <c r="CY68" i="185"/>
  <c r="CU68" i="185"/>
  <c r="EL68" i="185" s="1"/>
  <c r="EM68" i="185" s="1"/>
  <c r="CT68" i="185"/>
  <c r="CS68" i="185"/>
  <c r="CR68" i="185"/>
  <c r="CQ68" i="185"/>
  <c r="CP68" i="185"/>
  <c r="CO68" i="185"/>
  <c r="CN68" i="185"/>
  <c r="CK68" i="185"/>
  <c r="CJ68" i="185"/>
  <c r="CI68" i="185"/>
  <c r="CH68" i="185"/>
  <c r="CG68" i="185"/>
  <c r="CF68" i="185"/>
  <c r="EO68" i="185" s="1"/>
  <c r="CE68" i="185"/>
  <c r="CB68" i="185"/>
  <c r="GI67" i="185"/>
  <c r="BE27" i="185" s="1"/>
  <c r="GH67" i="185"/>
  <c r="BA27" i="185" s="1"/>
  <c r="GG67" i="185"/>
  <c r="AV27" i="185" s="1"/>
  <c r="FG67" i="185" s="1"/>
  <c r="GF67" i="185"/>
  <c r="AR27" i="185" s="1"/>
  <c r="GE67" i="185"/>
  <c r="AQ27" i="185" s="1"/>
  <c r="GD67" i="185"/>
  <c r="AP27" i="185" s="1"/>
  <c r="FS67" i="185"/>
  <c r="FP67" i="185" s="1"/>
  <c r="FM67" i="185"/>
  <c r="FK67" i="185"/>
  <c r="FJ67" i="185" s="1"/>
  <c r="ED67" i="185"/>
  <c r="EB67" i="185"/>
  <c r="DE67" i="185"/>
  <c r="CY67" i="185"/>
  <c r="CU67" i="185"/>
  <c r="CT67" i="185"/>
  <c r="EP67" i="185" s="1"/>
  <c r="CS67" i="185"/>
  <c r="CR67" i="185"/>
  <c r="CQ67" i="185"/>
  <c r="CP67" i="185"/>
  <c r="CO67" i="185"/>
  <c r="CN67" i="185"/>
  <c r="CK67" i="185"/>
  <c r="EK67" i="185" s="1"/>
  <c r="EL67" i="185" s="1"/>
  <c r="EM67" i="185" s="1"/>
  <c r="EN67" i="185" s="1"/>
  <c r="X27" i="185" s="1"/>
  <c r="CJ67" i="185"/>
  <c r="CI67" i="185"/>
  <c r="CH67" i="185"/>
  <c r="CG67" i="185"/>
  <c r="CF67" i="185"/>
  <c r="CE67" i="185"/>
  <c r="CB67" i="185"/>
  <c r="GI66" i="185"/>
  <c r="BD26" i="185" s="1"/>
  <c r="FI66" i="185" s="1"/>
  <c r="GH66" i="185"/>
  <c r="BA26" i="185" s="1"/>
  <c r="GG66" i="185"/>
  <c r="AW26" i="185" s="1"/>
  <c r="GF66" i="185"/>
  <c r="AR26" i="185" s="1"/>
  <c r="AS26" i="185" s="1"/>
  <c r="GE66" i="185"/>
  <c r="AQ26" i="185" s="1"/>
  <c r="GD66" i="185"/>
  <c r="AP26" i="185" s="1"/>
  <c r="FS66" i="185"/>
  <c r="FP66" i="185" s="1"/>
  <c r="FM66" i="185"/>
  <c r="FK66" i="185"/>
  <c r="FJ66" i="185"/>
  <c r="EQ66" i="185"/>
  <c r="ER66" i="185" s="1"/>
  <c r="ED66" i="185"/>
  <c r="DE66" i="185"/>
  <c r="CY66" i="185"/>
  <c r="CU66" i="185"/>
  <c r="EL66" i="185" s="1"/>
  <c r="EM66" i="185" s="1"/>
  <c r="EN66" i="185" s="1"/>
  <c r="X26" i="185" s="1"/>
  <c r="CT66" i="185"/>
  <c r="EP66" i="185" s="1"/>
  <c r="CS66" i="185"/>
  <c r="CR66" i="185"/>
  <c r="CQ66" i="185"/>
  <c r="CP66" i="185"/>
  <c r="CO66" i="185"/>
  <c r="CN66" i="185"/>
  <c r="CK66" i="185"/>
  <c r="EK66" i="185" s="1"/>
  <c r="CJ66" i="185"/>
  <c r="CI66" i="185"/>
  <c r="CH66" i="185"/>
  <c r="CG66" i="185"/>
  <c r="CF66" i="185"/>
  <c r="CE66" i="185"/>
  <c r="CB66" i="185"/>
  <c r="GI65" i="185"/>
  <c r="BD25" i="185" s="1"/>
  <c r="FI65" i="185" s="1"/>
  <c r="GH65" i="185"/>
  <c r="GF65" i="185"/>
  <c r="AR25" i="185" s="1"/>
  <c r="AS25" i="185" s="1"/>
  <c r="GE65" i="185"/>
  <c r="AQ25" i="185" s="1"/>
  <c r="FS65" i="185"/>
  <c r="FP65" i="185" s="1"/>
  <c r="FM65" i="185"/>
  <c r="FK65" i="185"/>
  <c r="EK65" i="185"/>
  <c r="ED65" i="185"/>
  <c r="DE65" i="185"/>
  <c r="CY65" i="185"/>
  <c r="CU65" i="185"/>
  <c r="CT65" i="185"/>
  <c r="EP65" i="185" s="1"/>
  <c r="CS65" i="185"/>
  <c r="CR65" i="185"/>
  <c r="CQ65" i="185"/>
  <c r="CP65" i="185"/>
  <c r="CO65" i="185"/>
  <c r="CN65" i="185"/>
  <c r="CK65" i="185"/>
  <c r="CJ65" i="185"/>
  <c r="CI65" i="185"/>
  <c r="CH65" i="185"/>
  <c r="CG65" i="185"/>
  <c r="CF65" i="185"/>
  <c r="CE65" i="185"/>
  <c r="CB65" i="185"/>
  <c r="GI64" i="185"/>
  <c r="BE24" i="185" s="1"/>
  <c r="GH64" i="185"/>
  <c r="BA24" i="185" s="1"/>
  <c r="FS64" i="185"/>
  <c r="FN64" i="185" s="1"/>
  <c r="FM64" i="185"/>
  <c r="FK64" i="185"/>
  <c r="EU64" i="185"/>
  <c r="EK64" i="185"/>
  <c r="ED64" i="185"/>
  <c r="DE64" i="185"/>
  <c r="CY64" i="185"/>
  <c r="CU64" i="185"/>
  <c r="CT64" i="185"/>
  <c r="EP64" i="185" s="1"/>
  <c r="CS64" i="185"/>
  <c r="CR64" i="185"/>
  <c r="CQ64" i="185"/>
  <c r="CP64" i="185"/>
  <c r="CO64" i="185"/>
  <c r="CN64" i="185"/>
  <c r="CK64" i="185"/>
  <c r="CJ64" i="185"/>
  <c r="CI64" i="185"/>
  <c r="CH64" i="185"/>
  <c r="CG64" i="185"/>
  <c r="CF64" i="185"/>
  <c r="CE64" i="185"/>
  <c r="CB64" i="185"/>
  <c r="GI63" i="185"/>
  <c r="BD23" i="185" s="1"/>
  <c r="FI63" i="185" s="1"/>
  <c r="GH63" i="185"/>
  <c r="BA23" i="185" s="1"/>
  <c r="FS63" i="185"/>
  <c r="FM63" i="185"/>
  <c r="FK63" i="185"/>
  <c r="EP63" i="185"/>
  <c r="EM63" i="185"/>
  <c r="EN63" i="185" s="1"/>
  <c r="X23" i="185" s="1"/>
  <c r="ED63" i="185"/>
  <c r="DE63" i="185"/>
  <c r="CY63" i="185"/>
  <c r="CU63" i="185"/>
  <c r="EQ63" i="185" s="1"/>
  <c r="ER63" i="185" s="1"/>
  <c r="CT63" i="185"/>
  <c r="CS63" i="185"/>
  <c r="CR63" i="185"/>
  <c r="CQ63" i="185"/>
  <c r="CP63" i="185"/>
  <c r="CO63" i="185"/>
  <c r="CN63" i="185"/>
  <c r="CK63" i="185"/>
  <c r="EK63" i="185" s="1"/>
  <c r="EL63" i="185" s="1"/>
  <c r="CJ63" i="185"/>
  <c r="CI63" i="185"/>
  <c r="CH63" i="185"/>
  <c r="CG63" i="185"/>
  <c r="CF63" i="185"/>
  <c r="EO63" i="185" s="1"/>
  <c r="CE63" i="185"/>
  <c r="CB63" i="185"/>
  <c r="GI62" i="185"/>
  <c r="BD22" i="185" s="1"/>
  <c r="FI62" i="185" s="1"/>
  <c r="GH62" i="185"/>
  <c r="AZ22" i="185" s="1"/>
  <c r="FH62" i="185" s="1"/>
  <c r="FS62" i="185"/>
  <c r="FN62" i="185" s="1"/>
  <c r="FM62" i="185"/>
  <c r="FK62" i="185"/>
  <c r="FJ62" i="185"/>
  <c r="ED62" i="185"/>
  <c r="DE62" i="185"/>
  <c r="CY62" i="185"/>
  <c r="CU62" i="185"/>
  <c r="CT62" i="185"/>
  <c r="EP62" i="185" s="1"/>
  <c r="CS62" i="185"/>
  <c r="CR62" i="185"/>
  <c r="CQ62" i="185"/>
  <c r="CP62" i="185"/>
  <c r="CO62" i="185"/>
  <c r="ET62" i="185" s="1"/>
  <c r="CN62" i="185"/>
  <c r="CK62" i="185"/>
  <c r="EK62" i="185" s="1"/>
  <c r="CJ62" i="185"/>
  <c r="CI62" i="185"/>
  <c r="CH62" i="185"/>
  <c r="CG62" i="185"/>
  <c r="CF62" i="185"/>
  <c r="EO62" i="185" s="1"/>
  <c r="CE62" i="185"/>
  <c r="CB62" i="185"/>
  <c r="GI61" i="185"/>
  <c r="BE21" i="185" s="1"/>
  <c r="GH61" i="185"/>
  <c r="BA21" i="185" s="1"/>
  <c r="FS61" i="185"/>
  <c r="FP61" i="185" s="1"/>
  <c r="FM61" i="185"/>
  <c r="FK61" i="185"/>
  <c r="EP61" i="185"/>
  <c r="EQ61" i="185" s="1"/>
  <c r="ER61" i="185" s="1"/>
  <c r="ES61" i="185" s="1"/>
  <c r="Y21" i="185" s="1"/>
  <c r="EK61" i="185"/>
  <c r="ED61" i="185"/>
  <c r="DE61" i="185"/>
  <c r="CY61" i="185"/>
  <c r="CU61" i="185"/>
  <c r="CT61" i="185"/>
  <c r="CS61" i="185"/>
  <c r="CR61" i="185"/>
  <c r="CQ61" i="185"/>
  <c r="CP61" i="185"/>
  <c r="CO61" i="185"/>
  <c r="CX61" i="185" s="1"/>
  <c r="N21" i="185" s="1"/>
  <c r="CN61" i="185"/>
  <c r="CK61" i="185"/>
  <c r="CJ61" i="185"/>
  <c r="CI61" i="185"/>
  <c r="CH61" i="185"/>
  <c r="CG61" i="185"/>
  <c r="CF61" i="185"/>
  <c r="CE61" i="185"/>
  <c r="CB61" i="185"/>
  <c r="GI60" i="185"/>
  <c r="BE20" i="185" s="1"/>
  <c r="GH60" i="185"/>
  <c r="BA20" i="185" s="1"/>
  <c r="FS60" i="185"/>
  <c r="FP60" i="185" s="1"/>
  <c r="FM60" i="185"/>
  <c r="FK60" i="185"/>
  <c r="EK60" i="185"/>
  <c r="ED60" i="185"/>
  <c r="DE60" i="185"/>
  <c r="CY60" i="185"/>
  <c r="CU60" i="185"/>
  <c r="EU60" i="185" s="1"/>
  <c r="CT60" i="185"/>
  <c r="EP60" i="185" s="1"/>
  <c r="CS60" i="185"/>
  <c r="CR60" i="185"/>
  <c r="CQ60" i="185"/>
  <c r="CP60" i="185"/>
  <c r="CO60" i="185"/>
  <c r="CN60" i="185"/>
  <c r="CK60" i="185"/>
  <c r="CJ60" i="185"/>
  <c r="CI60" i="185"/>
  <c r="CH60" i="185"/>
  <c r="CG60" i="185"/>
  <c r="CF60" i="185"/>
  <c r="CE60" i="185"/>
  <c r="CB60" i="185"/>
  <c r="GI59" i="185"/>
  <c r="BE19" i="185" s="1"/>
  <c r="GH59" i="185"/>
  <c r="FS59" i="185"/>
  <c r="FP59" i="185" s="1"/>
  <c r="FM59" i="185"/>
  <c r="FK59" i="185"/>
  <c r="FJ59" i="185" s="1"/>
  <c r="EU59" i="185"/>
  <c r="EP59" i="185"/>
  <c r="EL59" i="185"/>
  <c r="EM59" i="185" s="1"/>
  <c r="EN59" i="185" s="1"/>
  <c r="X19" i="185" s="1"/>
  <c r="EK59" i="185"/>
  <c r="ED59" i="185"/>
  <c r="EB59" i="185"/>
  <c r="DE59" i="185"/>
  <c r="CY59" i="185"/>
  <c r="CU59" i="185"/>
  <c r="EQ59" i="185" s="1"/>
  <c r="ER59" i="185" s="1"/>
  <c r="CT59" i="185"/>
  <c r="CS59" i="185"/>
  <c r="CR59" i="185"/>
  <c r="CQ59" i="185"/>
  <c r="CP59" i="185"/>
  <c r="CO59" i="185"/>
  <c r="CN59" i="185"/>
  <c r="CK59" i="185"/>
  <c r="CJ59" i="185"/>
  <c r="CI59" i="185"/>
  <c r="CH59" i="185"/>
  <c r="CG59" i="185"/>
  <c r="CF59" i="185"/>
  <c r="CE59" i="185"/>
  <c r="CB59" i="185"/>
  <c r="GI58" i="185"/>
  <c r="BE18" i="185" s="1"/>
  <c r="GH58" i="185"/>
  <c r="BA18" i="185" s="1"/>
  <c r="GG58" i="185"/>
  <c r="AW18" i="185" s="1"/>
  <c r="GE58" i="185"/>
  <c r="AQ18" i="185" s="1"/>
  <c r="FS58" i="185"/>
  <c r="FP58" i="185" s="1"/>
  <c r="FM58" i="185"/>
  <c r="FK58" i="185"/>
  <c r="EQ58" i="185"/>
  <c r="ER58" i="185" s="1"/>
  <c r="ED58" i="185"/>
  <c r="DE58" i="185"/>
  <c r="CY58" i="185"/>
  <c r="CU58" i="185"/>
  <c r="EL58" i="185" s="1"/>
  <c r="EM58" i="185" s="1"/>
  <c r="EN58" i="185" s="1"/>
  <c r="X18" i="185" s="1"/>
  <c r="CT58" i="185"/>
  <c r="EP58" i="185" s="1"/>
  <c r="CS58" i="185"/>
  <c r="CR58" i="185"/>
  <c r="CQ58" i="185"/>
  <c r="CP58" i="185"/>
  <c r="CO58" i="185"/>
  <c r="CN58" i="185"/>
  <c r="CK58" i="185"/>
  <c r="EK58" i="185" s="1"/>
  <c r="CJ58" i="185"/>
  <c r="CI58" i="185"/>
  <c r="CH58" i="185"/>
  <c r="CG58" i="185"/>
  <c r="CF58" i="185"/>
  <c r="EO58" i="185" s="1"/>
  <c r="CE58" i="185"/>
  <c r="CB58" i="185"/>
  <c r="GI57" i="185"/>
  <c r="BD17" i="185" s="1"/>
  <c r="FI57" i="185" s="1"/>
  <c r="GH57" i="185"/>
  <c r="BA17" i="185" s="1"/>
  <c r="GG57" i="185"/>
  <c r="AW17" i="185" s="1"/>
  <c r="GE57" i="185"/>
  <c r="AQ17" i="185" s="1"/>
  <c r="FS57" i="185"/>
  <c r="FP57" i="185" s="1"/>
  <c r="FM57" i="185"/>
  <c r="FK57" i="185"/>
  <c r="FJ57" i="185"/>
  <c r="EQ57" i="185"/>
  <c r="ER57" i="185" s="1"/>
  <c r="ES57" i="185" s="1"/>
  <c r="Y17" i="185" s="1"/>
  <c r="EP57" i="185"/>
  <c r="ED57" i="185"/>
  <c r="DE57" i="185"/>
  <c r="CY57" i="185"/>
  <c r="CU57" i="185"/>
  <c r="CT57" i="185"/>
  <c r="CS57" i="185"/>
  <c r="CR57" i="185"/>
  <c r="CQ57" i="185"/>
  <c r="CP57" i="185"/>
  <c r="CO57" i="185"/>
  <c r="CN57" i="185"/>
  <c r="CK57" i="185"/>
  <c r="EK57" i="185" s="1"/>
  <c r="CJ57" i="185"/>
  <c r="CI57" i="185"/>
  <c r="CH57" i="185"/>
  <c r="CG57" i="185"/>
  <c r="CF57" i="185"/>
  <c r="CE57" i="185"/>
  <c r="CB57" i="185"/>
  <c r="GI56" i="185"/>
  <c r="BE16" i="185" s="1"/>
  <c r="GH56" i="185"/>
  <c r="BA16" i="185" s="1"/>
  <c r="FS56" i="185"/>
  <c r="FP56" i="185" s="1"/>
  <c r="FM56" i="185"/>
  <c r="FK56" i="185"/>
  <c r="EK56" i="185"/>
  <c r="ED56" i="185"/>
  <c r="DE56" i="185"/>
  <c r="CY56" i="185"/>
  <c r="CU56" i="185"/>
  <c r="CT56" i="185"/>
  <c r="EP56" i="185" s="1"/>
  <c r="CS56" i="185"/>
  <c r="CR56" i="185"/>
  <c r="CQ56" i="185"/>
  <c r="CP56" i="185"/>
  <c r="CO56" i="185"/>
  <c r="CN56" i="185"/>
  <c r="CK56" i="185"/>
  <c r="CJ56" i="185"/>
  <c r="CI56" i="185"/>
  <c r="CH56" i="185"/>
  <c r="CG56" i="185"/>
  <c r="CF56" i="185"/>
  <c r="EO56" i="185" s="1"/>
  <c r="CE56" i="185"/>
  <c r="CB56" i="185"/>
  <c r="GI55" i="185"/>
  <c r="BE15" i="185" s="1"/>
  <c r="GH55" i="185"/>
  <c r="AZ15" i="185" s="1"/>
  <c r="FH55" i="185" s="1"/>
  <c r="FS55" i="185"/>
  <c r="FP55" i="185" s="1"/>
  <c r="FM55" i="185"/>
  <c r="FK55" i="185"/>
  <c r="FJ55" i="185" s="1"/>
  <c r="EU55" i="185"/>
  <c r="EP55" i="185"/>
  <c r="EK55" i="185"/>
  <c r="EL55" i="185" s="1"/>
  <c r="EM55" i="185" s="1"/>
  <c r="EN55" i="185" s="1"/>
  <c r="X15" i="185" s="1"/>
  <c r="ED55" i="185"/>
  <c r="EB55" i="185"/>
  <c r="DE55" i="185"/>
  <c r="CY55" i="185"/>
  <c r="CU55" i="185"/>
  <c r="EQ55" i="185" s="1"/>
  <c r="ER55" i="185" s="1"/>
  <c r="ES55" i="185" s="1"/>
  <c r="Y15" i="185" s="1"/>
  <c r="CT55" i="185"/>
  <c r="CS55" i="185"/>
  <c r="CR55" i="185"/>
  <c r="CQ55" i="185"/>
  <c r="CP55" i="185"/>
  <c r="CO55" i="185"/>
  <c r="CN55" i="185"/>
  <c r="CK55" i="185"/>
  <c r="CJ55" i="185"/>
  <c r="CI55" i="185"/>
  <c r="CH55" i="185"/>
  <c r="CG55" i="185"/>
  <c r="CF55" i="185"/>
  <c r="CE55" i="185"/>
  <c r="CB55" i="185"/>
  <c r="GI54" i="185"/>
  <c r="BE14" i="185" s="1"/>
  <c r="GH54" i="185"/>
  <c r="BA14" i="185" s="1"/>
  <c r="FU54" i="185"/>
  <c r="FS54" i="185"/>
  <c r="FP54" i="185" s="1"/>
  <c r="FM54" i="185"/>
  <c r="FK54" i="185"/>
  <c r="EP54" i="185"/>
  <c r="EQ54" i="185" s="1"/>
  <c r="ER54" i="185" s="1"/>
  <c r="EN54" i="185"/>
  <c r="EK54" i="185"/>
  <c r="ED54" i="185"/>
  <c r="DE54" i="185"/>
  <c r="CY54" i="185"/>
  <c r="CU54" i="185"/>
  <c r="EL54" i="185" s="1"/>
  <c r="EM54" i="185" s="1"/>
  <c r="CT54" i="185"/>
  <c r="CS54" i="185"/>
  <c r="CR54" i="185"/>
  <c r="CQ54" i="185"/>
  <c r="CP54" i="185"/>
  <c r="CO54" i="185"/>
  <c r="CN54" i="185"/>
  <c r="CK54" i="185"/>
  <c r="CJ54" i="185"/>
  <c r="CI54" i="185"/>
  <c r="CH54" i="185"/>
  <c r="CG54" i="185"/>
  <c r="CF54" i="185"/>
  <c r="CE54" i="185"/>
  <c r="CB54" i="185"/>
  <c r="IU48" i="185"/>
  <c r="II48" i="185"/>
  <c r="IH48" i="185"/>
  <c r="HZ48" i="185"/>
  <c r="HP48" i="185"/>
  <c r="IS48" i="185" s="1"/>
  <c r="HO48" i="185"/>
  <c r="HN48" i="185"/>
  <c r="HM48" i="185"/>
  <c r="HL48" i="185"/>
  <c r="HK48" i="185"/>
  <c r="HJ48" i="185"/>
  <c r="HI48" i="185"/>
  <c r="HH48" i="185"/>
  <c r="HG48" i="185"/>
  <c r="HF48" i="185"/>
  <c r="HE48" i="185"/>
  <c r="HD48" i="185"/>
  <c r="HC48" i="185"/>
  <c r="HB48" i="185"/>
  <c r="HA48" i="185"/>
  <c r="GZ48" i="185"/>
  <c r="GY48" i="185"/>
  <c r="GX48" i="185"/>
  <c r="GW48" i="185"/>
  <c r="GV48" i="185"/>
  <c r="GU48" i="185"/>
  <c r="GT48" i="185"/>
  <c r="GS48" i="185"/>
  <c r="GR48" i="185"/>
  <c r="GD48" i="185"/>
  <c r="GC48" i="185"/>
  <c r="GB48" i="185"/>
  <c r="GA48" i="185"/>
  <c r="GF45" i="185"/>
  <c r="EZ45" i="185"/>
  <c r="EY45" i="185"/>
  <c r="EU45" i="185"/>
  <c r="ET45" i="185"/>
  <c r="ES45" i="185"/>
  <c r="ER45" i="185"/>
  <c r="EM45" i="185"/>
  <c r="BZ45" i="185"/>
  <c r="BQ45" i="185"/>
  <c r="BP45" i="185"/>
  <c r="BJ45" i="185"/>
  <c r="BG45" i="185"/>
  <c r="BF45" i="185"/>
  <c r="BC45" i="185"/>
  <c r="BB45" i="185"/>
  <c r="AY45" i="185"/>
  <c r="AX45" i="185"/>
  <c r="AU45" i="185"/>
  <c r="AT45" i="185"/>
  <c r="AO45" i="185"/>
  <c r="AN45" i="185"/>
  <c r="AM45" i="185"/>
  <c r="AL45" i="185"/>
  <c r="AK45" i="185"/>
  <c r="AC45" i="185"/>
  <c r="AB45" i="185"/>
  <c r="AA45" i="185"/>
  <c r="F45" i="185"/>
  <c r="BO45" i="185"/>
  <c r="B45" i="185"/>
  <c r="A45" i="185"/>
  <c r="GF44" i="185"/>
  <c r="GE44" i="185"/>
  <c r="EU44" i="185"/>
  <c r="ET44" i="185"/>
  <c r="ES44" i="185"/>
  <c r="ER44" i="185"/>
  <c r="EM44" i="185"/>
  <c r="BZ44" i="185"/>
  <c r="BJ44" i="185"/>
  <c r="BG44" i="185"/>
  <c r="BF44" i="185"/>
  <c r="BC44" i="185"/>
  <c r="BB44" i="185"/>
  <c r="AY44" i="185"/>
  <c r="AX44" i="185"/>
  <c r="AU44" i="185"/>
  <c r="AT44" i="185"/>
  <c r="AO44" i="185"/>
  <c r="AN44" i="185"/>
  <c r="AM44" i="185"/>
  <c r="AL44" i="185"/>
  <c r="AK44" i="185"/>
  <c r="AC44" i="185"/>
  <c r="AB44" i="185"/>
  <c r="AA44" i="185"/>
  <c r="F44" i="185"/>
  <c r="B44" i="185"/>
  <c r="A44" i="185"/>
  <c r="GF43" i="185"/>
  <c r="GE43" i="185"/>
  <c r="EU43" i="185"/>
  <c r="ET43" i="185"/>
  <c r="ES43" i="185"/>
  <c r="ER43" i="185"/>
  <c r="EM43" i="185"/>
  <c r="BP43" i="185"/>
  <c r="BO43" i="185"/>
  <c r="BN43" i="185"/>
  <c r="BM43" i="185"/>
  <c r="BK43" i="185"/>
  <c r="BJ43" i="185"/>
  <c r="BG43" i="185"/>
  <c r="BF43" i="185"/>
  <c r="BC43" i="185"/>
  <c r="BB43" i="185"/>
  <c r="AY43" i="185"/>
  <c r="AX43" i="185"/>
  <c r="AU43" i="185"/>
  <c r="AT43" i="185"/>
  <c r="AO43" i="185"/>
  <c r="AN43" i="185"/>
  <c r="AM43" i="185"/>
  <c r="AL43" i="185"/>
  <c r="AK43" i="185"/>
  <c r="AC43" i="185"/>
  <c r="AB43" i="185"/>
  <c r="AA43" i="185"/>
  <c r="F43" i="185"/>
  <c r="BQ43" i="185"/>
  <c r="B43" i="185"/>
  <c r="A43" i="185"/>
  <c r="GF42" i="185"/>
  <c r="EZ42" i="185"/>
  <c r="EY42" i="185"/>
  <c r="EU42" i="185"/>
  <c r="ET42" i="185"/>
  <c r="ES42" i="185"/>
  <c r="ER42" i="185"/>
  <c r="EM42" i="185"/>
  <c r="BQ42" i="185"/>
  <c r="BP42" i="185"/>
  <c r="BO42" i="185"/>
  <c r="BN42" i="185"/>
  <c r="BM42" i="185"/>
  <c r="BK42" i="185"/>
  <c r="BG42" i="185"/>
  <c r="BF42" i="185"/>
  <c r="BC42" i="185"/>
  <c r="BB42" i="185"/>
  <c r="AY42" i="185"/>
  <c r="AX42" i="185"/>
  <c r="AU42" i="185"/>
  <c r="AT42" i="185"/>
  <c r="AO42" i="185"/>
  <c r="AN42" i="185"/>
  <c r="AM42" i="185"/>
  <c r="AL42" i="185"/>
  <c r="AK42" i="185"/>
  <c r="AC42" i="185"/>
  <c r="AB42" i="185"/>
  <c r="AA42" i="185"/>
  <c r="F42" i="185"/>
  <c r="B42" i="185"/>
  <c r="A42" i="185"/>
  <c r="BJ42" i="185" s="1"/>
  <c r="EZ41" i="185"/>
  <c r="EY41" i="185"/>
  <c r="EU41" i="185"/>
  <c r="ET41" i="185"/>
  <c r="ES41" i="185"/>
  <c r="ER41" i="185"/>
  <c r="EM41" i="185"/>
  <c r="BQ41" i="185"/>
  <c r="BP41" i="185"/>
  <c r="BN41" i="185"/>
  <c r="BM41" i="185"/>
  <c r="BG41" i="185"/>
  <c r="BF41" i="185"/>
  <c r="BC41" i="185"/>
  <c r="BB41" i="185"/>
  <c r="AY41" i="185"/>
  <c r="AX41" i="185"/>
  <c r="AU41" i="185"/>
  <c r="AT41" i="185"/>
  <c r="AO41" i="185"/>
  <c r="AN41" i="185"/>
  <c r="AM41" i="185"/>
  <c r="AL41" i="185"/>
  <c r="AK41" i="185"/>
  <c r="AC41" i="185"/>
  <c r="AB41" i="185"/>
  <c r="AA41" i="185"/>
  <c r="P41" i="185"/>
  <c r="O41" i="185"/>
  <c r="F41" i="185"/>
  <c r="BO41" i="185"/>
  <c r="B41" i="185"/>
  <c r="A41" i="185"/>
  <c r="BJ41" i="185" s="1"/>
  <c r="GA40" i="185"/>
  <c r="ES40" i="185"/>
  <c r="ER40" i="185"/>
  <c r="EM40" i="185"/>
  <c r="BN40" i="185"/>
  <c r="BO40" i="185" s="1"/>
  <c r="BG40" i="185"/>
  <c r="BF40" i="185"/>
  <c r="BC40" i="185"/>
  <c r="BB40" i="185"/>
  <c r="AY40" i="185"/>
  <c r="AX40" i="185"/>
  <c r="AU40" i="185"/>
  <c r="AT40" i="185"/>
  <c r="AO40" i="185"/>
  <c r="AN40" i="185"/>
  <c r="AM40" i="185"/>
  <c r="AL40" i="185"/>
  <c r="AK40" i="185"/>
  <c r="AC40" i="185"/>
  <c r="AB40" i="185"/>
  <c r="AA40" i="185"/>
  <c r="F40" i="185"/>
  <c r="BQ40" i="185"/>
  <c r="B40" i="185"/>
  <c r="A40" i="185"/>
  <c r="GF40" i="185" s="1"/>
  <c r="ES39" i="185"/>
  <c r="ER39" i="185"/>
  <c r="EM39" i="185"/>
  <c r="BP39" i="185"/>
  <c r="BG39" i="185"/>
  <c r="BF39" i="185"/>
  <c r="BC39" i="185"/>
  <c r="BB39" i="185"/>
  <c r="AY39" i="185"/>
  <c r="AX39" i="185"/>
  <c r="AU39" i="185"/>
  <c r="AT39" i="185"/>
  <c r="AO39" i="185"/>
  <c r="AN39" i="185"/>
  <c r="AM39" i="185"/>
  <c r="AL39" i="185"/>
  <c r="AK39" i="185"/>
  <c r="AC39" i="185"/>
  <c r="AB39" i="185"/>
  <c r="AA39" i="185"/>
  <c r="F39" i="185"/>
  <c r="B39" i="185"/>
  <c r="A39" i="185"/>
  <c r="ES38" i="185"/>
  <c r="ER38" i="185"/>
  <c r="EM38" i="185"/>
  <c r="BQ38" i="185"/>
  <c r="BP38" i="185"/>
  <c r="BG38" i="185"/>
  <c r="BF38" i="185"/>
  <c r="BC38" i="185"/>
  <c r="BB38" i="185"/>
  <c r="AY38" i="185"/>
  <c r="AX38" i="185"/>
  <c r="AU38" i="185"/>
  <c r="AT38" i="185"/>
  <c r="AO38" i="185"/>
  <c r="AN38" i="185"/>
  <c r="AM38" i="185"/>
  <c r="AL38" i="185"/>
  <c r="AK38" i="185"/>
  <c r="AC38" i="185"/>
  <c r="AB38" i="185"/>
  <c r="AA38" i="185"/>
  <c r="F38" i="185"/>
  <c r="BN38" i="185"/>
  <c r="B38" i="185"/>
  <c r="A38" i="185"/>
  <c r="GF37" i="185"/>
  <c r="GA37" i="185" s="1"/>
  <c r="ES37" i="185"/>
  <c r="ER37" i="185"/>
  <c r="EM37" i="185"/>
  <c r="BZ37" i="185"/>
  <c r="BG37" i="185"/>
  <c r="BF37" i="185"/>
  <c r="BC37" i="185"/>
  <c r="BB37" i="185"/>
  <c r="AY37" i="185"/>
  <c r="AX37" i="185"/>
  <c r="AU37" i="185"/>
  <c r="AT37" i="185"/>
  <c r="AO37" i="185"/>
  <c r="AN37" i="185"/>
  <c r="AM37" i="185"/>
  <c r="AL37" i="185"/>
  <c r="AK37" i="185"/>
  <c r="AC37" i="185"/>
  <c r="AB37" i="185"/>
  <c r="AA37" i="185"/>
  <c r="BJ37" i="185"/>
  <c r="F37" i="185"/>
  <c r="B37" i="185"/>
  <c r="A37" i="185"/>
  <c r="GF36" i="185"/>
  <c r="GB36" i="185" s="1"/>
  <c r="ES36" i="185"/>
  <c r="ER36" i="185"/>
  <c r="EM36" i="185"/>
  <c r="BZ36" i="185"/>
  <c r="BJ36" i="185"/>
  <c r="BG36" i="185"/>
  <c r="BF36" i="185"/>
  <c r="BC36" i="185"/>
  <c r="BB36" i="185"/>
  <c r="AY36" i="185"/>
  <c r="AX36" i="185"/>
  <c r="AU36" i="185"/>
  <c r="AT36" i="185"/>
  <c r="AO36" i="185"/>
  <c r="AN36" i="185"/>
  <c r="AM36" i="185"/>
  <c r="AL36" i="185"/>
  <c r="AK36" i="185"/>
  <c r="AC36" i="185"/>
  <c r="AB36" i="185"/>
  <c r="AA36" i="185"/>
  <c r="F36" i="185"/>
  <c r="B36" i="185"/>
  <c r="A36" i="185"/>
  <c r="GF35" i="185"/>
  <c r="ES35" i="185"/>
  <c r="ER35" i="185"/>
  <c r="EM35" i="185"/>
  <c r="BP35" i="185"/>
  <c r="BN35" i="185"/>
  <c r="BM35" i="185" s="1"/>
  <c r="BK35" i="185"/>
  <c r="BJ35" i="185"/>
  <c r="BG35" i="185"/>
  <c r="BF35" i="185"/>
  <c r="BC35" i="185"/>
  <c r="BB35" i="185"/>
  <c r="AY35" i="185"/>
  <c r="AX35" i="185"/>
  <c r="AU35" i="185"/>
  <c r="AT35" i="185"/>
  <c r="AO35" i="185"/>
  <c r="AN35" i="185"/>
  <c r="AM35" i="185"/>
  <c r="AL35" i="185"/>
  <c r="AK35" i="185"/>
  <c r="AC35" i="185"/>
  <c r="AB35" i="185"/>
  <c r="AA35" i="185"/>
  <c r="F35" i="185"/>
  <c r="BQ35" i="185"/>
  <c r="B35" i="185"/>
  <c r="A35" i="185"/>
  <c r="FO35" i="185" s="1"/>
  <c r="GF34" i="185"/>
  <c r="ES34" i="185"/>
  <c r="ER34" i="185"/>
  <c r="EM34" i="185"/>
  <c r="BQ34" i="185"/>
  <c r="BP34" i="185"/>
  <c r="BO34" i="185"/>
  <c r="BN34" i="185"/>
  <c r="BM34" i="185" s="1"/>
  <c r="BK34" i="185"/>
  <c r="BG34" i="185"/>
  <c r="BF34" i="185"/>
  <c r="BC34" i="185"/>
  <c r="BB34" i="185"/>
  <c r="AY34" i="185"/>
  <c r="AX34" i="185"/>
  <c r="AV34" i="185"/>
  <c r="AW34" i="185" s="1"/>
  <c r="AU34" i="185"/>
  <c r="AT34" i="185"/>
  <c r="AO34" i="185"/>
  <c r="AN34" i="185"/>
  <c r="AM34" i="185"/>
  <c r="AL34" i="185"/>
  <c r="AK34" i="185"/>
  <c r="AC34" i="185"/>
  <c r="AB34" i="185"/>
  <c r="AA34" i="185"/>
  <c r="F34" i="185"/>
  <c r="B34" i="185"/>
  <c r="A34" i="185"/>
  <c r="BJ34" i="185" s="1"/>
  <c r="ES33" i="185"/>
  <c r="ER33" i="185"/>
  <c r="EM33" i="185"/>
  <c r="BQ33" i="185"/>
  <c r="BN33" i="185"/>
  <c r="BM33" i="185"/>
  <c r="BG33" i="185"/>
  <c r="BF33" i="185"/>
  <c r="BC33" i="185"/>
  <c r="BB33" i="185"/>
  <c r="AY33" i="185"/>
  <c r="AX33" i="185"/>
  <c r="AU33" i="185"/>
  <c r="AT33" i="185"/>
  <c r="AO33" i="185"/>
  <c r="AN33" i="185"/>
  <c r="AM33" i="185"/>
  <c r="AL33" i="185"/>
  <c r="AK33" i="185"/>
  <c r="AC33" i="185"/>
  <c r="AB33" i="185"/>
  <c r="AA33" i="185"/>
  <c r="F33" i="185"/>
  <c r="BP33" i="185"/>
  <c r="B33" i="185"/>
  <c r="A33" i="185"/>
  <c r="BJ33" i="185" s="1"/>
  <c r="ES32" i="185"/>
  <c r="ER32" i="185"/>
  <c r="EM32" i="185"/>
  <c r="BN32" i="185"/>
  <c r="BO32" i="185" s="1"/>
  <c r="BJ32" i="185"/>
  <c r="BG32" i="185"/>
  <c r="BF32" i="185"/>
  <c r="BC32" i="185"/>
  <c r="BB32" i="185"/>
  <c r="AY32" i="185"/>
  <c r="AX32" i="185"/>
  <c r="AU32" i="185"/>
  <c r="AT32" i="185"/>
  <c r="AO32" i="185"/>
  <c r="AN32" i="185"/>
  <c r="AM32" i="185"/>
  <c r="AL32" i="185"/>
  <c r="AK32" i="185"/>
  <c r="AC32" i="185"/>
  <c r="AB32" i="185"/>
  <c r="AA32" i="185"/>
  <c r="X32" i="185"/>
  <c r="F32" i="185"/>
  <c r="BQ32" i="185"/>
  <c r="B32" i="185"/>
  <c r="A32" i="185"/>
  <c r="GF32" i="185" s="1"/>
  <c r="ES31" i="185"/>
  <c r="ER31" i="185"/>
  <c r="EM31" i="185"/>
  <c r="BP31" i="185"/>
  <c r="BG31" i="185"/>
  <c r="BF31" i="185"/>
  <c r="BC31" i="185"/>
  <c r="BB31" i="185"/>
  <c r="AY31" i="185"/>
  <c r="AX31" i="185"/>
  <c r="AU31" i="185"/>
  <c r="AT31" i="185"/>
  <c r="AO31" i="185"/>
  <c r="AN31" i="185"/>
  <c r="AM31" i="185"/>
  <c r="AL31" i="185"/>
  <c r="AK31" i="185"/>
  <c r="AC31" i="185"/>
  <c r="AB31" i="185"/>
  <c r="AA31" i="185"/>
  <c r="F31" i="185"/>
  <c r="B31" i="185"/>
  <c r="A31" i="185"/>
  <c r="ES30" i="185"/>
  <c r="ER30" i="185"/>
  <c r="EM30" i="185"/>
  <c r="BQ30" i="185"/>
  <c r="BP30" i="185"/>
  <c r="BG30" i="185"/>
  <c r="BF30" i="185"/>
  <c r="BC30" i="185"/>
  <c r="BB30" i="185"/>
  <c r="AY30" i="185"/>
  <c r="AX30" i="185"/>
  <c r="AU30" i="185"/>
  <c r="AT30" i="185"/>
  <c r="AO30" i="185"/>
  <c r="AN30" i="185"/>
  <c r="AM30" i="185"/>
  <c r="AL30" i="185"/>
  <c r="AK30" i="185"/>
  <c r="AC30" i="185"/>
  <c r="AB30" i="185"/>
  <c r="AA30" i="185"/>
  <c r="F30" i="185"/>
  <c r="BN30" i="185"/>
  <c r="BM30" i="185" s="1"/>
  <c r="B30" i="185"/>
  <c r="A30" i="185"/>
  <c r="GF29" i="185"/>
  <c r="GA29" i="185" s="1"/>
  <c r="ES29" i="185"/>
  <c r="ER29" i="185"/>
  <c r="EM29" i="185"/>
  <c r="BZ29" i="185"/>
  <c r="BQ29" i="185"/>
  <c r="BG29" i="185"/>
  <c r="BF29" i="185"/>
  <c r="BC29" i="185"/>
  <c r="BB29" i="185"/>
  <c r="AY29" i="185"/>
  <c r="AX29" i="185"/>
  <c r="AU29" i="185"/>
  <c r="AT29" i="185"/>
  <c r="AO29" i="185"/>
  <c r="AN29" i="185"/>
  <c r="AM29" i="185"/>
  <c r="AL29" i="185"/>
  <c r="AK29" i="185"/>
  <c r="AC29" i="185"/>
  <c r="AB29" i="185"/>
  <c r="AA29" i="185"/>
  <c r="BJ29" i="185"/>
  <c r="F29" i="185"/>
  <c r="B29" i="185"/>
  <c r="A29" i="185"/>
  <c r="GF28" i="185"/>
  <c r="GB28" i="185" s="1"/>
  <c r="GA28" i="185"/>
  <c r="ES28" i="185"/>
  <c r="ER28" i="185"/>
  <c r="EM28" i="185"/>
  <c r="BZ28" i="185"/>
  <c r="BJ28" i="185"/>
  <c r="BG28" i="185"/>
  <c r="BF28" i="185"/>
  <c r="BC28" i="185"/>
  <c r="BB28" i="185"/>
  <c r="AY28" i="185"/>
  <c r="AX28" i="185"/>
  <c r="AU28" i="185"/>
  <c r="AT28" i="185"/>
  <c r="AO28" i="185"/>
  <c r="AN28" i="185"/>
  <c r="AM28" i="185"/>
  <c r="AL28" i="185"/>
  <c r="AK28" i="185"/>
  <c r="AC28" i="185"/>
  <c r="AB28" i="185"/>
  <c r="AA28" i="185"/>
  <c r="F28" i="185"/>
  <c r="B28" i="185"/>
  <c r="A28" i="185"/>
  <c r="GF27" i="185"/>
  <c r="ES27" i="185"/>
  <c r="ER27" i="185"/>
  <c r="EM27" i="185"/>
  <c r="BP27" i="185"/>
  <c r="BO27" i="185"/>
  <c r="BN27" i="185"/>
  <c r="BM27" i="185" s="1"/>
  <c r="BK27" i="185"/>
  <c r="BJ27" i="185"/>
  <c r="BG27" i="185"/>
  <c r="BF27" i="185"/>
  <c r="BC27" i="185"/>
  <c r="BB27" i="185"/>
  <c r="AY27" i="185"/>
  <c r="AX27" i="185"/>
  <c r="AU27" i="185"/>
  <c r="AT27" i="185"/>
  <c r="AO27" i="185"/>
  <c r="AN27" i="185"/>
  <c r="AM27" i="185"/>
  <c r="AL27" i="185"/>
  <c r="AK27" i="185"/>
  <c r="AC27" i="185"/>
  <c r="AB27" i="185"/>
  <c r="AA27" i="185"/>
  <c r="F27" i="185"/>
  <c r="BQ27" i="185"/>
  <c r="B27" i="185"/>
  <c r="A27" i="185"/>
  <c r="GF26" i="185"/>
  <c r="ES26" i="185"/>
  <c r="ER26" i="185"/>
  <c r="EM26" i="185"/>
  <c r="BQ26" i="185"/>
  <c r="BP26" i="185"/>
  <c r="BN26" i="185"/>
  <c r="BO26" i="185" s="1"/>
  <c r="BM26" i="185"/>
  <c r="BK26" i="185"/>
  <c r="BG26" i="185"/>
  <c r="BF26" i="185"/>
  <c r="BC26" i="185"/>
  <c r="BB26" i="185"/>
  <c r="AY26" i="185"/>
  <c r="AX26" i="185"/>
  <c r="AU26" i="185"/>
  <c r="AT26" i="185"/>
  <c r="AO26" i="185"/>
  <c r="AN26" i="185"/>
  <c r="AM26" i="185"/>
  <c r="AL26" i="185"/>
  <c r="AK26" i="185"/>
  <c r="AC26" i="185"/>
  <c r="AB26" i="185"/>
  <c r="AA26" i="185"/>
  <c r="F26" i="185"/>
  <c r="B26" i="185"/>
  <c r="A26" i="185"/>
  <c r="BJ26" i="185" s="1"/>
  <c r="ES25" i="185"/>
  <c r="ER25" i="185"/>
  <c r="EM25" i="185"/>
  <c r="BN25" i="185"/>
  <c r="BM25" i="185"/>
  <c r="BG25" i="185"/>
  <c r="BF25" i="185"/>
  <c r="BC25" i="185"/>
  <c r="BB25" i="185"/>
  <c r="AY25" i="185"/>
  <c r="AX25" i="185"/>
  <c r="AU25" i="185"/>
  <c r="AT25" i="185"/>
  <c r="AO25" i="185"/>
  <c r="AN25" i="185"/>
  <c r="AM25" i="185"/>
  <c r="AL25" i="185"/>
  <c r="AK25" i="185"/>
  <c r="AC25" i="185"/>
  <c r="AB25" i="185"/>
  <c r="AA25" i="185"/>
  <c r="F25" i="185"/>
  <c r="BQ25" i="185"/>
  <c r="B25" i="185"/>
  <c r="A25" i="185"/>
  <c r="BJ25" i="185" s="1"/>
  <c r="GA24" i="185"/>
  <c r="ES24" i="185"/>
  <c r="ER24" i="185"/>
  <c r="EM24" i="185"/>
  <c r="BN24" i="185"/>
  <c r="BO24" i="185" s="1"/>
  <c r="BJ24" i="185"/>
  <c r="BG24" i="185"/>
  <c r="BF24" i="185"/>
  <c r="BC24" i="185"/>
  <c r="BB24" i="185"/>
  <c r="AY24" i="185"/>
  <c r="AX24" i="185"/>
  <c r="AU24" i="185"/>
  <c r="AT24" i="185"/>
  <c r="AO24" i="185"/>
  <c r="AN24" i="185"/>
  <c r="AM24" i="185"/>
  <c r="AL24" i="185"/>
  <c r="AK24" i="185"/>
  <c r="AC24" i="185"/>
  <c r="AB24" i="185"/>
  <c r="AA24" i="185"/>
  <c r="F24" i="185"/>
  <c r="BQ24" i="185"/>
  <c r="B24" i="185"/>
  <c r="A24" i="185"/>
  <c r="GF24" i="185" s="1"/>
  <c r="ES23" i="185"/>
  <c r="ER23" i="185"/>
  <c r="EM23" i="185"/>
  <c r="BP23" i="185"/>
  <c r="BG23" i="185"/>
  <c r="BF23" i="185"/>
  <c r="BC23" i="185"/>
  <c r="BB23" i="185"/>
  <c r="AY23" i="185"/>
  <c r="AX23" i="185"/>
  <c r="AU23" i="185"/>
  <c r="AT23" i="185"/>
  <c r="AO23" i="185"/>
  <c r="AN23" i="185"/>
  <c r="AM23" i="185"/>
  <c r="AL23" i="185"/>
  <c r="AK23" i="185"/>
  <c r="AC23" i="185"/>
  <c r="AB23" i="185"/>
  <c r="AA23" i="185"/>
  <c r="F23" i="185"/>
  <c r="B23" i="185"/>
  <c r="A23" i="185"/>
  <c r="ES22" i="185"/>
  <c r="ER22" i="185"/>
  <c r="EM22" i="185"/>
  <c r="BQ22" i="185"/>
  <c r="BP22" i="185"/>
  <c r="BG22" i="185"/>
  <c r="BF22" i="185"/>
  <c r="BC22" i="185"/>
  <c r="BB22" i="185"/>
  <c r="AY22" i="185"/>
  <c r="AX22" i="185"/>
  <c r="AU22" i="185"/>
  <c r="AT22" i="185"/>
  <c r="AO22" i="185"/>
  <c r="AN22" i="185"/>
  <c r="AM22" i="185"/>
  <c r="AL22" i="185"/>
  <c r="AK22" i="185"/>
  <c r="AC22" i="185"/>
  <c r="AB22" i="185"/>
  <c r="AA22" i="185"/>
  <c r="F22" i="185"/>
  <c r="BN22" i="185"/>
  <c r="BM22" i="185" s="1"/>
  <c r="B22" i="185"/>
  <c r="A22" i="185"/>
  <c r="FQ32" i="185" s="1"/>
  <c r="GF21" i="185"/>
  <c r="GA21" i="185" s="1"/>
  <c r="ES21" i="185"/>
  <c r="ER21" i="185"/>
  <c r="EM21" i="185"/>
  <c r="BZ21" i="185"/>
  <c r="BQ21" i="185"/>
  <c r="BG21" i="185"/>
  <c r="BF21" i="185"/>
  <c r="BC21" i="185"/>
  <c r="BB21" i="185"/>
  <c r="AY21" i="185"/>
  <c r="AX21" i="185"/>
  <c r="AU21" i="185"/>
  <c r="AT21" i="185"/>
  <c r="AO21" i="185"/>
  <c r="AN21" i="185"/>
  <c r="AM21" i="185"/>
  <c r="AL21" i="185"/>
  <c r="AK21" i="185"/>
  <c r="AC21" i="185"/>
  <c r="AB21" i="185"/>
  <c r="AA21" i="185"/>
  <c r="BJ21" i="185"/>
  <c r="F21" i="185"/>
  <c r="B21" i="185"/>
  <c r="A21" i="185"/>
  <c r="GF20" i="185"/>
  <c r="GB20" i="185" s="1"/>
  <c r="GA20" i="185"/>
  <c r="ES20" i="185"/>
  <c r="ER20" i="185"/>
  <c r="EM20" i="185"/>
  <c r="BZ20" i="185"/>
  <c r="BJ20" i="185"/>
  <c r="BG20" i="185"/>
  <c r="BF20" i="185"/>
  <c r="BC20" i="185"/>
  <c r="BB20" i="185"/>
  <c r="AY20" i="185"/>
  <c r="AX20" i="185"/>
  <c r="AU20" i="185"/>
  <c r="AT20" i="185"/>
  <c r="AO20" i="185"/>
  <c r="AN20" i="185"/>
  <c r="AM20" i="185"/>
  <c r="AL20" i="185"/>
  <c r="AK20" i="185"/>
  <c r="AC20" i="185"/>
  <c r="AB20" i="185"/>
  <c r="AA20" i="185"/>
  <c r="F20" i="185"/>
  <c r="B20" i="185"/>
  <c r="A20" i="185"/>
  <c r="GF19" i="185"/>
  <c r="ES19" i="185"/>
  <c r="ER19" i="185"/>
  <c r="EM19" i="185"/>
  <c r="BP19" i="185"/>
  <c r="BN19" i="185"/>
  <c r="BM19" i="185" s="1"/>
  <c r="BK19" i="185"/>
  <c r="BJ19" i="185"/>
  <c r="BG19" i="185"/>
  <c r="BF19" i="185"/>
  <c r="BC19" i="185"/>
  <c r="BB19" i="185"/>
  <c r="AY19" i="185"/>
  <c r="AX19" i="185"/>
  <c r="AU19" i="185"/>
  <c r="AT19" i="185"/>
  <c r="AO19" i="185"/>
  <c r="AN19" i="185"/>
  <c r="AM19" i="185"/>
  <c r="AL19" i="185"/>
  <c r="AK19" i="185"/>
  <c r="AC19" i="185"/>
  <c r="AB19" i="185"/>
  <c r="AA19" i="185"/>
  <c r="F19" i="185"/>
  <c r="BQ19" i="185"/>
  <c r="B19" i="185"/>
  <c r="A19" i="185"/>
  <c r="GF18" i="185"/>
  <c r="FO18" i="185"/>
  <c r="ES18" i="185"/>
  <c r="ER18" i="185"/>
  <c r="EM18" i="185"/>
  <c r="BQ18" i="185"/>
  <c r="BP18" i="185"/>
  <c r="BN18" i="185"/>
  <c r="BM18" i="185" s="1"/>
  <c r="BK18" i="185"/>
  <c r="BG18" i="185"/>
  <c r="BF18" i="185"/>
  <c r="BC18" i="185"/>
  <c r="BB18" i="185"/>
  <c r="AY18" i="185"/>
  <c r="AX18" i="185"/>
  <c r="AU18" i="185"/>
  <c r="AT18" i="185"/>
  <c r="AO18" i="185"/>
  <c r="AN18" i="185"/>
  <c r="AM18" i="185"/>
  <c r="AL18" i="185"/>
  <c r="AK18" i="185"/>
  <c r="AC18" i="185"/>
  <c r="AB18" i="185"/>
  <c r="AA18" i="185"/>
  <c r="F18" i="185"/>
  <c r="B18" i="185"/>
  <c r="A18" i="185"/>
  <c r="BJ18" i="185" s="1"/>
  <c r="FO17" i="185"/>
  <c r="ES17" i="185"/>
  <c r="ER17" i="185"/>
  <c r="EM17" i="185"/>
  <c r="BN17" i="185"/>
  <c r="BM17" i="185"/>
  <c r="BG17" i="185"/>
  <c r="BF17" i="185"/>
  <c r="BC17" i="185"/>
  <c r="BB17" i="185"/>
  <c r="AY17" i="185"/>
  <c r="AX17" i="185"/>
  <c r="AU17" i="185"/>
  <c r="AT17" i="185"/>
  <c r="AO17" i="185"/>
  <c r="AN17" i="185"/>
  <c r="AM17" i="185"/>
  <c r="AL17" i="185"/>
  <c r="AK17" i="185"/>
  <c r="AC17" i="185"/>
  <c r="AB17" i="185"/>
  <c r="AA17" i="185"/>
  <c r="F17" i="185"/>
  <c r="BQ17" i="185"/>
  <c r="B17" i="185"/>
  <c r="A17" i="185"/>
  <c r="BJ17" i="185" s="1"/>
  <c r="GA16" i="185"/>
  <c r="ES16" i="185"/>
  <c r="ER16" i="185"/>
  <c r="EM16" i="185"/>
  <c r="BO16" i="185"/>
  <c r="BN16" i="185"/>
  <c r="BJ16" i="185"/>
  <c r="BG16" i="185"/>
  <c r="BF16" i="185"/>
  <c r="BC16" i="185"/>
  <c r="BB16" i="185"/>
  <c r="AY16" i="185"/>
  <c r="AX16" i="185"/>
  <c r="AU16" i="185"/>
  <c r="AT16" i="185"/>
  <c r="AO16" i="185"/>
  <c r="AN16" i="185"/>
  <c r="AM16" i="185"/>
  <c r="AL16" i="185"/>
  <c r="AK16" i="185"/>
  <c r="AC16" i="185"/>
  <c r="AB16" i="185"/>
  <c r="AA16" i="185"/>
  <c r="F16" i="185"/>
  <c r="BQ16" i="185"/>
  <c r="B16" i="185"/>
  <c r="A16" i="185"/>
  <c r="GF16" i="185" s="1"/>
  <c r="ES15" i="185"/>
  <c r="ER15" i="185"/>
  <c r="EM15" i="185"/>
  <c r="BP15" i="185"/>
  <c r="BK15" i="185"/>
  <c r="BG15" i="185"/>
  <c r="BF15" i="185"/>
  <c r="BC15" i="185"/>
  <c r="BB15" i="185"/>
  <c r="AY15" i="185"/>
  <c r="AX15" i="185"/>
  <c r="AU15" i="185"/>
  <c r="AT15" i="185"/>
  <c r="AO15" i="185"/>
  <c r="AN15" i="185"/>
  <c r="AM15" i="185"/>
  <c r="AL15" i="185"/>
  <c r="AK15" i="185"/>
  <c r="AC15" i="185"/>
  <c r="AB15" i="185"/>
  <c r="AA15" i="185"/>
  <c r="F15" i="185"/>
  <c r="B15" i="185"/>
  <c r="A15" i="185"/>
  <c r="JL14" i="185"/>
  <c r="JL15" i="185" s="1"/>
  <c r="JL16" i="185" s="1"/>
  <c r="JL17" i="185" s="1"/>
  <c r="JL18" i="185" s="1"/>
  <c r="JL19" i="185" s="1"/>
  <c r="JL20" i="185" s="1"/>
  <c r="JL21" i="185" s="1"/>
  <c r="JL22" i="185" s="1"/>
  <c r="JL23" i="185" s="1"/>
  <c r="JL24" i="185" s="1"/>
  <c r="JL25" i="185" s="1"/>
  <c r="JL26" i="185" s="1"/>
  <c r="JL27" i="185" s="1"/>
  <c r="JL28" i="185" s="1"/>
  <c r="JL29" i="185" s="1"/>
  <c r="JL30" i="185" s="1"/>
  <c r="JL31" i="185" s="1"/>
  <c r="JL32" i="185" s="1"/>
  <c r="JL33" i="185" s="1"/>
  <c r="JL34" i="185" s="1"/>
  <c r="JL35" i="185" s="1"/>
  <c r="JL36" i="185" s="1"/>
  <c r="JL37" i="185" s="1"/>
  <c r="JL38" i="185" s="1"/>
  <c r="JL39" i="185" s="1"/>
  <c r="JL40" i="185" s="1"/>
  <c r="JL41" i="185" s="1"/>
  <c r="JL42" i="185" s="1"/>
  <c r="JL43" i="185" s="1"/>
  <c r="JL44" i="185" s="1"/>
  <c r="JL45" i="185" s="1"/>
  <c r="ES14" i="185"/>
  <c r="ER14" i="185"/>
  <c r="EM14" i="185"/>
  <c r="BP14" i="185"/>
  <c r="BK14" i="185"/>
  <c r="BG14" i="185"/>
  <c r="BF14" i="185"/>
  <c r="BC14" i="185"/>
  <c r="BB14" i="185"/>
  <c r="AY14" i="185"/>
  <c r="AX14" i="185"/>
  <c r="AU14" i="185"/>
  <c r="AT14" i="185"/>
  <c r="AO14" i="185"/>
  <c r="AN14" i="185"/>
  <c r="AM14" i="185"/>
  <c r="AL14" i="185"/>
  <c r="AK14" i="185"/>
  <c r="AC14" i="185"/>
  <c r="AB14" i="185"/>
  <c r="AA14" i="185"/>
  <c r="X14" i="185"/>
  <c r="F14" i="185"/>
  <c r="B14" i="185"/>
  <c r="A14" i="185"/>
  <c r="JK12" i="185"/>
  <c r="JD12" i="185"/>
  <c r="IV12" i="185"/>
  <c r="IN12" i="185"/>
  <c r="HY12" i="185"/>
  <c r="HX12" i="185"/>
  <c r="HQ12" i="185"/>
  <c r="HI12" i="185"/>
  <c r="AE10" i="185"/>
  <c r="Z10" i="185"/>
  <c r="BE10" i="185" s="1"/>
  <c r="T10" i="185"/>
  <c r="AX10" i="185" s="1"/>
  <c r="C10" i="185"/>
  <c r="AE9" i="185"/>
  <c r="T9" i="185"/>
  <c r="AX9" i="185" s="1"/>
  <c r="C9" i="185"/>
  <c r="BB7" i="185"/>
  <c r="M7" i="185"/>
  <c r="M6" i="185" s="1"/>
  <c r="BB6" i="185"/>
  <c r="X6" i="185"/>
  <c r="EX5" i="185"/>
  <c r="ES5" i="185"/>
  <c r="ER5" i="185"/>
  <c r="EQ5" i="185"/>
  <c r="EP5" i="185"/>
  <c r="EO5" i="185"/>
  <c r="EN5" i="185"/>
  <c r="EM5" i="185"/>
  <c r="EL5" i="185"/>
  <c r="EK5" i="185"/>
  <c r="EJ5" i="185"/>
  <c r="EI5" i="185"/>
  <c r="EH5" i="185"/>
  <c r="EG5" i="185"/>
  <c r="EF5" i="185"/>
  <c r="EE5" i="185"/>
  <c r="ED5" i="185"/>
  <c r="EC5" i="185"/>
  <c r="EB5" i="185"/>
  <c r="EA5" i="185"/>
  <c r="DZ5" i="185"/>
  <c r="DY5" i="185"/>
  <c r="DX5" i="185"/>
  <c r="DW5" i="185"/>
  <c r="DV5" i="185"/>
  <c r="DU5" i="185"/>
  <c r="DT5" i="185"/>
  <c r="DS5" i="185"/>
  <c r="DR5" i="185"/>
  <c r="DQ5" i="185"/>
  <c r="DP5" i="185"/>
  <c r="DO5" i="185"/>
  <c r="DN5" i="185"/>
  <c r="DM5" i="185"/>
  <c r="DL5" i="185"/>
  <c r="DK5" i="185"/>
  <c r="DJ5" i="185"/>
  <c r="DI5" i="185"/>
  <c r="DH5" i="185"/>
  <c r="DE5" i="185"/>
  <c r="DD5" i="185"/>
  <c r="DC5" i="185"/>
  <c r="DB5" i="185"/>
  <c r="DA5" i="185"/>
  <c r="CZ5" i="185"/>
  <c r="CY5" i="185"/>
  <c r="CX5" i="185"/>
  <c r="CW5" i="185"/>
  <c r="CV5" i="185"/>
  <c r="CU5" i="185"/>
  <c r="CT5" i="185"/>
  <c r="CS5" i="185"/>
  <c r="CR5" i="185"/>
  <c r="CQ5" i="185"/>
  <c r="CP5" i="185"/>
  <c r="CO5" i="185"/>
  <c r="CN5" i="185"/>
  <c r="CM5" i="185"/>
  <c r="CL5" i="185"/>
  <c r="CK5" i="185"/>
  <c r="CJ5" i="185"/>
  <c r="CI5" i="185"/>
  <c r="CH5" i="185"/>
  <c r="CG5" i="185"/>
  <c r="CF5" i="185"/>
  <c r="CE5" i="185"/>
  <c r="CD5" i="185"/>
  <c r="CC5" i="185"/>
  <c r="CB5" i="185"/>
  <c r="FF4" i="185"/>
  <c r="FE4" i="185"/>
  <c r="FD4" i="185"/>
  <c r="FC4" i="185"/>
  <c r="EB74" i="185" s="1"/>
  <c r="FB4" i="185"/>
  <c r="FA4" i="185"/>
  <c r="EZ4" i="185"/>
  <c r="EY4" i="185"/>
  <c r="FG2" i="185"/>
  <c r="FE2" i="185"/>
  <c r="FC2" i="185"/>
  <c r="FA2" i="185"/>
  <c r="EN80" i="185" s="1"/>
  <c r="X40" i="185" s="1"/>
  <c r="Q2" i="185"/>
  <c r="AU2" i="185" s="1"/>
  <c r="HA1" i="185"/>
  <c r="IM12" i="185" s="1"/>
  <c r="FG1" i="185"/>
  <c r="FA1" i="185"/>
  <c r="FB1" i="185" s="1"/>
  <c r="BK1" i="185"/>
  <c r="BZ42" i="185" s="1"/>
  <c r="BJ1" i="185"/>
  <c r="Q4" i="185" s="1"/>
  <c r="AU4" i="185" s="1"/>
  <c r="AU1" i="185"/>
  <c r="Q1" i="185"/>
  <c r="BG87" i="184"/>
  <c r="BF87" i="184"/>
  <c r="BE87" i="184"/>
  <c r="BD87" i="184"/>
  <c r="BC87" i="184"/>
  <c r="BB87" i="184"/>
  <c r="BA87" i="184"/>
  <c r="AZ87" i="184"/>
  <c r="AY87" i="184"/>
  <c r="AX87" i="184"/>
  <c r="AW87" i="184"/>
  <c r="AV87" i="184"/>
  <c r="AU87" i="184"/>
  <c r="AT87" i="184"/>
  <c r="AS87" i="184"/>
  <c r="AR87" i="184"/>
  <c r="AQ87" i="184"/>
  <c r="AP87" i="184"/>
  <c r="AO87" i="184"/>
  <c r="AN87" i="184"/>
  <c r="AM87" i="184"/>
  <c r="AL87" i="184"/>
  <c r="AK87" i="184"/>
  <c r="AJ87" i="184"/>
  <c r="AI87" i="184"/>
  <c r="AH87" i="184"/>
  <c r="AG87" i="184"/>
  <c r="AF87" i="184"/>
  <c r="AE87" i="184"/>
  <c r="AD87" i="184"/>
  <c r="AC87" i="184"/>
  <c r="AB87" i="184"/>
  <c r="AA87" i="184"/>
  <c r="Z87" i="184"/>
  <c r="Y87" i="184"/>
  <c r="X87" i="184"/>
  <c r="W87" i="184"/>
  <c r="V87" i="184"/>
  <c r="U87" i="184"/>
  <c r="T87" i="184"/>
  <c r="S87" i="184"/>
  <c r="R87" i="184"/>
  <c r="Q87" i="184"/>
  <c r="P87" i="184"/>
  <c r="O87" i="184"/>
  <c r="N87" i="184"/>
  <c r="M87" i="184"/>
  <c r="L87" i="184"/>
  <c r="K87" i="184"/>
  <c r="J87" i="184"/>
  <c r="I87" i="184"/>
  <c r="H87" i="184"/>
  <c r="G87" i="184"/>
  <c r="F87" i="184"/>
  <c r="E87" i="184"/>
  <c r="D87" i="184"/>
  <c r="C87" i="184"/>
  <c r="B87" i="184"/>
  <c r="A87" i="184"/>
  <c r="GI85" i="184"/>
  <c r="BE45" i="184" s="1"/>
  <c r="GH85" i="184"/>
  <c r="GG85" i="184"/>
  <c r="AV45" i="184" s="1"/>
  <c r="FG85" i="184" s="1"/>
  <c r="GF85" i="184"/>
  <c r="AS45" i="184" s="1"/>
  <c r="GE85" i="184"/>
  <c r="AQ45" i="184" s="1"/>
  <c r="GD85" i="184"/>
  <c r="AP45" i="184" s="1"/>
  <c r="FM85" i="184"/>
  <c r="EX85" i="184"/>
  <c r="EK85" i="184"/>
  <c r="EL85" i="184" s="1"/>
  <c r="EM85" i="184" s="1"/>
  <c r="ED85" i="184"/>
  <c r="EB85" i="184"/>
  <c r="DE85" i="184"/>
  <c r="CY85" i="184"/>
  <c r="CU85" i="184"/>
  <c r="CT85" i="184"/>
  <c r="EP85" i="184" s="1"/>
  <c r="CS85" i="184"/>
  <c r="CR85" i="184"/>
  <c r="CQ85" i="184"/>
  <c r="CP85" i="184"/>
  <c r="CO85" i="184"/>
  <c r="FE85" i="184" s="1"/>
  <c r="CN85" i="184"/>
  <c r="CM85" i="184"/>
  <c r="CL85" i="184"/>
  <c r="EI85" i="184" s="1"/>
  <c r="CK85" i="184"/>
  <c r="CJ85" i="184"/>
  <c r="CI85" i="184"/>
  <c r="CH85" i="184"/>
  <c r="CG85" i="184"/>
  <c r="DZ85" i="184" s="1"/>
  <c r="P45" i="184" s="1"/>
  <c r="CF85" i="184"/>
  <c r="EO85" i="184" s="1"/>
  <c r="CE85" i="184"/>
  <c r="CD85" i="184"/>
  <c r="DC85" i="184" s="1"/>
  <c r="CC85" i="184"/>
  <c r="EF85" i="184" s="1"/>
  <c r="CB85" i="184"/>
  <c r="GI84" i="184"/>
  <c r="GH84" i="184"/>
  <c r="BA44" i="184" s="1"/>
  <c r="GG84" i="184"/>
  <c r="AW44" i="184" s="1"/>
  <c r="GF84" i="184"/>
  <c r="AR44" i="184" s="1"/>
  <c r="FF84" i="184" s="1"/>
  <c r="GE84" i="184"/>
  <c r="AQ44" i="184" s="1"/>
  <c r="GD84" i="184"/>
  <c r="AP44" i="184" s="1"/>
  <c r="FM84" i="184"/>
  <c r="EX84" i="184"/>
  <c r="ED84" i="184"/>
  <c r="EB84" i="184"/>
  <c r="DE84" i="184"/>
  <c r="CY84" i="184"/>
  <c r="CU84" i="184"/>
  <c r="CT84" i="184"/>
  <c r="EP84" i="184" s="1"/>
  <c r="CS84" i="184"/>
  <c r="CR84" i="184"/>
  <c r="CQ84" i="184"/>
  <c r="CP84" i="184"/>
  <c r="EA84" i="184" s="1"/>
  <c r="CO84" i="184"/>
  <c r="ET84" i="184" s="1"/>
  <c r="CN84" i="184"/>
  <c r="CM84" i="184"/>
  <c r="DJ84" i="184" s="1"/>
  <c r="L44" i="184" s="1"/>
  <c r="BU44" i="184" s="1"/>
  <c r="CL84" i="184"/>
  <c r="EH84" i="184" s="1"/>
  <c r="EJ84" i="184" s="1"/>
  <c r="CK84" i="184"/>
  <c r="EK84" i="184" s="1"/>
  <c r="CJ84" i="184"/>
  <c r="CI84" i="184"/>
  <c r="CH84" i="184"/>
  <c r="CG84" i="184"/>
  <c r="FB84" i="184" s="1"/>
  <c r="CF84" i="184"/>
  <c r="CW84" i="184" s="1"/>
  <c r="M44" i="184" s="1"/>
  <c r="CE84" i="184"/>
  <c r="CD84" i="184"/>
  <c r="DB84" i="184" s="1"/>
  <c r="CC84" i="184"/>
  <c r="CB84" i="184"/>
  <c r="GI83" i="184"/>
  <c r="BD43" i="184" s="1"/>
  <c r="FI83" i="184" s="1"/>
  <c r="GH83" i="184"/>
  <c r="BA43" i="184" s="1"/>
  <c r="GG83" i="184"/>
  <c r="AW43" i="184" s="1"/>
  <c r="GF83" i="184"/>
  <c r="AR43" i="184" s="1"/>
  <c r="FF83" i="184" s="1"/>
  <c r="GE83" i="184"/>
  <c r="AQ43" i="184" s="1"/>
  <c r="GD83" i="184"/>
  <c r="AP43" i="184" s="1"/>
  <c r="FM83" i="184"/>
  <c r="EX83" i="184"/>
  <c r="EP83" i="184"/>
  <c r="ED83" i="184"/>
  <c r="EB83" i="184"/>
  <c r="DE83" i="184"/>
  <c r="CY83" i="184"/>
  <c r="CU83" i="184"/>
  <c r="CT83" i="184"/>
  <c r="CS83" i="184"/>
  <c r="CR83" i="184"/>
  <c r="CQ83" i="184"/>
  <c r="CP83" i="184"/>
  <c r="FC83" i="184" s="1"/>
  <c r="CO83" i="184"/>
  <c r="ET83" i="184" s="1"/>
  <c r="CN83" i="184"/>
  <c r="CM83" i="184"/>
  <c r="DG83" i="184" s="1"/>
  <c r="CL83" i="184"/>
  <c r="EI83" i="184" s="1"/>
  <c r="CK83" i="184"/>
  <c r="EK83" i="184" s="1"/>
  <c r="EL83" i="184" s="1"/>
  <c r="EM83" i="184" s="1"/>
  <c r="CJ83" i="184"/>
  <c r="CI83" i="184"/>
  <c r="CH83" i="184"/>
  <c r="CG83" i="184"/>
  <c r="FB83" i="184" s="1"/>
  <c r="CF83" i="184"/>
  <c r="FD83" i="184" s="1"/>
  <c r="CE83" i="184"/>
  <c r="CD83" i="184"/>
  <c r="DB83" i="184" s="1"/>
  <c r="CC83" i="184"/>
  <c r="CB83" i="184"/>
  <c r="GI82" i="184"/>
  <c r="BE42" i="184" s="1"/>
  <c r="GH82" i="184"/>
  <c r="BA42" i="184" s="1"/>
  <c r="GG82" i="184"/>
  <c r="AW42" i="184" s="1"/>
  <c r="GF82" i="184"/>
  <c r="AS42" i="184" s="1"/>
  <c r="GE82" i="184"/>
  <c r="AQ42" i="184" s="1"/>
  <c r="GD82" i="184"/>
  <c r="AP42" i="184" s="1"/>
  <c r="FM82" i="184"/>
  <c r="EX82" i="184"/>
  <c r="EQ82" i="184"/>
  <c r="ER82" i="184" s="1"/>
  <c r="EK82" i="184"/>
  <c r="ED82" i="184"/>
  <c r="EB82" i="184"/>
  <c r="DE82" i="184"/>
  <c r="CY82" i="184"/>
  <c r="CU82" i="184"/>
  <c r="CT82" i="184"/>
  <c r="EP82" i="184" s="1"/>
  <c r="CS82" i="184"/>
  <c r="CR82" i="184"/>
  <c r="CQ82" i="184"/>
  <c r="CP82" i="184"/>
  <c r="FC82" i="184" s="1"/>
  <c r="CO82" i="184"/>
  <c r="FE82" i="184" s="1"/>
  <c r="CN82" i="184"/>
  <c r="CM82" i="184"/>
  <c r="CL82" i="184"/>
  <c r="EH82" i="184" s="1"/>
  <c r="EJ82" i="184" s="1"/>
  <c r="CK82" i="184"/>
  <c r="CJ82" i="184"/>
  <c r="CI82" i="184"/>
  <c r="CH82" i="184"/>
  <c r="CG82" i="184"/>
  <c r="FB82" i="184" s="1"/>
  <c r="CF82" i="184"/>
  <c r="CE82" i="184"/>
  <c r="CD82" i="184"/>
  <c r="DA82" i="184" s="1"/>
  <c r="CC82" i="184"/>
  <c r="EE82" i="184" s="1"/>
  <c r="EG82" i="184" s="1"/>
  <c r="CB82" i="184"/>
  <c r="GI81" i="184"/>
  <c r="BE41" i="184" s="1"/>
  <c r="GH81" i="184"/>
  <c r="AZ41" i="184" s="1"/>
  <c r="FH81" i="184" s="1"/>
  <c r="GG81" i="184"/>
  <c r="GF81" i="184"/>
  <c r="AR41" i="184" s="1"/>
  <c r="FF81" i="184" s="1"/>
  <c r="GE81" i="184"/>
  <c r="AQ41" i="184" s="1"/>
  <c r="GD81" i="184"/>
  <c r="AP41" i="184" s="1"/>
  <c r="FM81" i="184"/>
  <c r="EX81" i="184"/>
  <c r="EK81" i="184"/>
  <c r="EL81" i="184" s="1"/>
  <c r="EM81" i="184" s="1"/>
  <c r="ED81" i="184"/>
  <c r="EB81" i="184"/>
  <c r="DE81" i="184"/>
  <c r="CY81" i="184"/>
  <c r="CU81" i="184"/>
  <c r="CT81" i="184"/>
  <c r="EP81" i="184" s="1"/>
  <c r="CS81" i="184"/>
  <c r="CR81" i="184"/>
  <c r="CQ81" i="184"/>
  <c r="CP81" i="184"/>
  <c r="CO81" i="184"/>
  <c r="FE81" i="184" s="1"/>
  <c r="CN81" i="184"/>
  <c r="CM81" i="184"/>
  <c r="DJ81" i="184" s="1"/>
  <c r="CL81" i="184"/>
  <c r="EI81" i="184" s="1"/>
  <c r="CK81" i="184"/>
  <c r="CJ81" i="184"/>
  <c r="CI81" i="184"/>
  <c r="CH81" i="184"/>
  <c r="CG81" i="184"/>
  <c r="DZ81" i="184" s="1"/>
  <c r="O41" i="184" s="1"/>
  <c r="CF81" i="184"/>
  <c r="CW81" i="184" s="1"/>
  <c r="M41" i="184" s="1"/>
  <c r="CE81" i="184"/>
  <c r="CD81" i="184"/>
  <c r="DC81" i="184" s="1"/>
  <c r="CC81" i="184"/>
  <c r="EF81" i="184" s="1"/>
  <c r="CB81" i="184"/>
  <c r="GI80" i="184"/>
  <c r="BE40" i="184" s="1"/>
  <c r="GH80" i="184"/>
  <c r="BA40" i="184" s="1"/>
  <c r="GE80" i="184"/>
  <c r="AQ40" i="184" s="1"/>
  <c r="FS80" i="184"/>
  <c r="FM80" i="184"/>
  <c r="FK80" i="184"/>
  <c r="ED80" i="184"/>
  <c r="DE80" i="184"/>
  <c r="CY80" i="184"/>
  <c r="CU80" i="184"/>
  <c r="EQ80" i="184" s="1"/>
  <c r="ER80" i="184" s="1"/>
  <c r="CT80" i="184"/>
  <c r="EP80" i="184" s="1"/>
  <c r="CS80" i="184"/>
  <c r="CR80" i="184"/>
  <c r="CQ80" i="184"/>
  <c r="CP80" i="184"/>
  <c r="CO80" i="184"/>
  <c r="CN80" i="184"/>
  <c r="CK80" i="184"/>
  <c r="EK80" i="184" s="1"/>
  <c r="CJ80" i="184"/>
  <c r="CI80" i="184"/>
  <c r="CH80" i="184"/>
  <c r="CG80" i="184"/>
  <c r="CF80" i="184"/>
  <c r="CE80" i="184"/>
  <c r="CB80" i="184"/>
  <c r="GI79" i="184"/>
  <c r="BE39" i="184" s="1"/>
  <c r="GH79" i="184"/>
  <c r="AZ39" i="184" s="1"/>
  <c r="FH79" i="184" s="1"/>
  <c r="GG79" i="184"/>
  <c r="AV39" i="184" s="1"/>
  <c r="FG79" i="184" s="1"/>
  <c r="GF79" i="184"/>
  <c r="GE79" i="184"/>
  <c r="AQ39" i="184" s="1"/>
  <c r="GD79" i="184"/>
  <c r="AP39" i="184" s="1"/>
  <c r="FS79" i="184"/>
  <c r="FP79" i="184" s="1"/>
  <c r="FM79" i="184"/>
  <c r="FK79" i="184"/>
  <c r="FJ79" i="184"/>
  <c r="ED79" i="184"/>
  <c r="DE79" i="184"/>
  <c r="CY79" i="184"/>
  <c r="CU79" i="184"/>
  <c r="CT79" i="184"/>
  <c r="EP79" i="184" s="1"/>
  <c r="CS79" i="184"/>
  <c r="CR79" i="184"/>
  <c r="CQ79" i="184"/>
  <c r="CP79" i="184"/>
  <c r="CO79" i="184"/>
  <c r="CN79" i="184"/>
  <c r="CK79" i="184"/>
  <c r="EK79" i="184" s="1"/>
  <c r="CJ79" i="184"/>
  <c r="CI79" i="184"/>
  <c r="CH79" i="184"/>
  <c r="CG79" i="184"/>
  <c r="CF79" i="184"/>
  <c r="CE79" i="184"/>
  <c r="CB79" i="184"/>
  <c r="GI78" i="184"/>
  <c r="BE38" i="184" s="1"/>
  <c r="GH78" i="184"/>
  <c r="BA38" i="184" s="1"/>
  <c r="GG78" i="184"/>
  <c r="AW38" i="184" s="1"/>
  <c r="GF78" i="184"/>
  <c r="AR38" i="184" s="1"/>
  <c r="GE78" i="184"/>
  <c r="AQ38" i="184" s="1"/>
  <c r="GD78" i="184"/>
  <c r="AP38" i="184" s="1"/>
  <c r="FS78" i="184"/>
  <c r="FP78" i="184" s="1"/>
  <c r="FM78" i="184"/>
  <c r="FK78" i="184"/>
  <c r="FJ78" i="184" s="1"/>
  <c r="EQ78" i="184"/>
  <c r="ER78" i="184" s="1"/>
  <c r="EK78" i="184"/>
  <c r="ED78" i="184"/>
  <c r="DE78" i="184"/>
  <c r="CY78" i="184"/>
  <c r="CU78" i="184"/>
  <c r="CT78" i="184"/>
  <c r="EP78" i="184" s="1"/>
  <c r="CS78" i="184"/>
  <c r="CR78" i="184"/>
  <c r="CQ78" i="184"/>
  <c r="CP78" i="184"/>
  <c r="CO78" i="184"/>
  <c r="CN78" i="184"/>
  <c r="CK78" i="184"/>
  <c r="CJ78" i="184"/>
  <c r="CI78" i="184"/>
  <c r="CH78" i="184"/>
  <c r="CG78" i="184"/>
  <c r="CF78" i="184"/>
  <c r="CE78" i="184"/>
  <c r="CB78" i="184"/>
  <c r="GI77" i="184"/>
  <c r="BD37" i="184" s="1"/>
  <c r="FI77" i="184" s="1"/>
  <c r="GH77" i="184"/>
  <c r="GG77" i="184"/>
  <c r="AW37" i="184" s="1"/>
  <c r="GF77" i="184"/>
  <c r="AR37" i="184" s="1"/>
  <c r="GE77" i="184"/>
  <c r="AQ37" i="184" s="1"/>
  <c r="GD77" i="184"/>
  <c r="AP37" i="184" s="1"/>
  <c r="FS77" i="184"/>
  <c r="FO77" i="184" s="1"/>
  <c r="FM77" i="184"/>
  <c r="FK77" i="184"/>
  <c r="FJ77" i="184"/>
  <c r="EP77" i="184"/>
  <c r="EL77" i="184"/>
  <c r="EM77" i="184" s="1"/>
  <c r="EK77" i="184"/>
  <c r="ED77" i="184"/>
  <c r="DE77" i="184"/>
  <c r="CY77" i="184"/>
  <c r="CU77" i="184"/>
  <c r="CT77" i="184"/>
  <c r="CS77" i="184"/>
  <c r="CR77" i="184"/>
  <c r="CQ77" i="184"/>
  <c r="CP77" i="184"/>
  <c r="CO77" i="184"/>
  <c r="CN77" i="184"/>
  <c r="CK77" i="184"/>
  <c r="CJ77" i="184"/>
  <c r="CI77" i="184"/>
  <c r="CH77" i="184"/>
  <c r="CG77" i="184"/>
  <c r="CF77" i="184"/>
  <c r="CE77" i="184"/>
  <c r="CB77" i="184"/>
  <c r="GI76" i="184"/>
  <c r="BD36" i="184" s="1"/>
  <c r="FI76" i="184" s="1"/>
  <c r="GH76" i="184"/>
  <c r="BA36" i="184" s="1"/>
  <c r="GF76" i="184"/>
  <c r="AR36" i="184" s="1"/>
  <c r="GD76" i="184"/>
  <c r="AP36" i="184" s="1"/>
  <c r="FS76" i="184"/>
  <c r="FP76" i="184" s="1"/>
  <c r="FM76" i="184"/>
  <c r="FK76" i="184"/>
  <c r="ED76" i="184"/>
  <c r="DE76" i="184"/>
  <c r="CY76" i="184"/>
  <c r="CU76" i="184"/>
  <c r="CT76" i="184"/>
  <c r="EP76" i="184" s="1"/>
  <c r="CS76" i="184"/>
  <c r="CR76" i="184"/>
  <c r="CQ76" i="184"/>
  <c r="CP76" i="184"/>
  <c r="CO76" i="184"/>
  <c r="CN76" i="184"/>
  <c r="CK76" i="184"/>
  <c r="EK76" i="184" s="1"/>
  <c r="CJ76" i="184"/>
  <c r="CI76" i="184"/>
  <c r="CH76" i="184"/>
  <c r="CG76" i="184"/>
  <c r="CF76" i="184"/>
  <c r="CE76" i="184"/>
  <c r="CB76" i="184"/>
  <c r="GI75" i="184"/>
  <c r="BD35" i="184" s="1"/>
  <c r="FI75" i="184" s="1"/>
  <c r="GH75" i="184"/>
  <c r="GF75" i="184"/>
  <c r="AR35" i="184" s="1"/>
  <c r="AS35" i="184" s="1"/>
  <c r="GE75" i="184"/>
  <c r="AQ35" i="184" s="1"/>
  <c r="FS75" i="184"/>
  <c r="FP75" i="184" s="1"/>
  <c r="FM75" i="184"/>
  <c r="FK75" i="184"/>
  <c r="EP75" i="184"/>
  <c r="EK75" i="184"/>
  <c r="EL75" i="184" s="1"/>
  <c r="EM75" i="184" s="1"/>
  <c r="ED75" i="184"/>
  <c r="DE75" i="184"/>
  <c r="CY75" i="184"/>
  <c r="CU75" i="184"/>
  <c r="CT75" i="184"/>
  <c r="CS75" i="184"/>
  <c r="CR75" i="184"/>
  <c r="CQ75" i="184"/>
  <c r="CP75" i="184"/>
  <c r="CO75" i="184"/>
  <c r="ET75" i="184" s="1"/>
  <c r="CN75" i="184"/>
  <c r="CK75" i="184"/>
  <c r="CJ75" i="184"/>
  <c r="CI75" i="184"/>
  <c r="CH75" i="184"/>
  <c r="CG75" i="184"/>
  <c r="CF75" i="184"/>
  <c r="EO75" i="184" s="1"/>
  <c r="CE75" i="184"/>
  <c r="CB75" i="184"/>
  <c r="GI74" i="184"/>
  <c r="GH74" i="184"/>
  <c r="BA34" i="184" s="1"/>
  <c r="GF74" i="184"/>
  <c r="AR34" i="184" s="1"/>
  <c r="GD74" i="184"/>
  <c r="AP34" i="184" s="1"/>
  <c r="FS74" i="184"/>
  <c r="FO74" i="184" s="1"/>
  <c r="AF34" i="184" s="1"/>
  <c r="FM74" i="184"/>
  <c r="FK74" i="184"/>
  <c r="ER74" i="184"/>
  <c r="EQ74" i="184"/>
  <c r="EM74" i="184"/>
  <c r="EK74" i="184"/>
  <c r="ED74" i="184"/>
  <c r="DE74" i="184"/>
  <c r="CY74" i="184"/>
  <c r="CU74" i="184"/>
  <c r="EL74" i="184" s="1"/>
  <c r="CT74" i="184"/>
  <c r="EP74" i="184" s="1"/>
  <c r="CS74" i="184"/>
  <c r="CR74" i="184"/>
  <c r="CQ74" i="184"/>
  <c r="CP74" i="184"/>
  <c r="CO74" i="184"/>
  <c r="CN74" i="184"/>
  <c r="CK74" i="184"/>
  <c r="CJ74" i="184"/>
  <c r="CI74" i="184"/>
  <c r="CH74" i="184"/>
  <c r="CG74" i="184"/>
  <c r="CF74" i="184"/>
  <c r="CE74" i="184"/>
  <c r="CB74" i="184"/>
  <c r="GI73" i="184"/>
  <c r="BE33" i="184" s="1"/>
  <c r="GH73" i="184"/>
  <c r="AZ33" i="184" s="1"/>
  <c r="FH73" i="184" s="1"/>
  <c r="GF73" i="184"/>
  <c r="AR33" i="184" s="1"/>
  <c r="AS33" i="184" s="1"/>
  <c r="GE73" i="184"/>
  <c r="AQ33" i="184" s="1"/>
  <c r="FS73" i="184"/>
  <c r="FM73" i="184"/>
  <c r="FK73" i="184"/>
  <c r="FJ73" i="184"/>
  <c r="EK73" i="184"/>
  <c r="ED73" i="184"/>
  <c r="DE73" i="184"/>
  <c r="CY73" i="184"/>
  <c r="CU73" i="184"/>
  <c r="CT73" i="184"/>
  <c r="EP73" i="184" s="1"/>
  <c r="CS73" i="184"/>
  <c r="CR73" i="184"/>
  <c r="CQ73" i="184"/>
  <c r="CP73" i="184"/>
  <c r="CO73" i="184"/>
  <c r="CN73" i="184"/>
  <c r="CK73" i="184"/>
  <c r="CJ73" i="184"/>
  <c r="CI73" i="184"/>
  <c r="CH73" i="184"/>
  <c r="CG73" i="184"/>
  <c r="CF73" i="184"/>
  <c r="CE73" i="184"/>
  <c r="CB73" i="184"/>
  <c r="GI72" i="184"/>
  <c r="BE32" i="184" s="1"/>
  <c r="GH72" i="184"/>
  <c r="BA32" i="184" s="1"/>
  <c r="GF72" i="184"/>
  <c r="AR32" i="184" s="1"/>
  <c r="GD72" i="184"/>
  <c r="AP32" i="184" s="1"/>
  <c r="FS72" i="184"/>
  <c r="FP72" i="184" s="1"/>
  <c r="FM72" i="184"/>
  <c r="FK72" i="184"/>
  <c r="EM72" i="184"/>
  <c r="ED72" i="184"/>
  <c r="DE72" i="184"/>
  <c r="CY72" i="184"/>
  <c r="CU72" i="184"/>
  <c r="EL72" i="184" s="1"/>
  <c r="CT72" i="184"/>
  <c r="EP72" i="184" s="1"/>
  <c r="CS72" i="184"/>
  <c r="CR72" i="184"/>
  <c r="CQ72" i="184"/>
  <c r="CP72" i="184"/>
  <c r="CO72" i="184"/>
  <c r="ET72" i="184" s="1"/>
  <c r="CN72" i="184"/>
  <c r="CK72" i="184"/>
  <c r="EK72" i="184" s="1"/>
  <c r="CJ72" i="184"/>
  <c r="CI72" i="184"/>
  <c r="CH72" i="184"/>
  <c r="CG72" i="184"/>
  <c r="CF72" i="184"/>
  <c r="CE72" i="184"/>
  <c r="CB72" i="184"/>
  <c r="GI71" i="184"/>
  <c r="BE31" i="184" s="1"/>
  <c r="GH71" i="184"/>
  <c r="AZ31" i="184" s="1"/>
  <c r="FH71" i="184" s="1"/>
  <c r="GE71" i="184"/>
  <c r="AQ31" i="184" s="1"/>
  <c r="FS71" i="184"/>
  <c r="FP71" i="184" s="1"/>
  <c r="FM71" i="184"/>
  <c r="FK71" i="184"/>
  <c r="FJ71" i="184" s="1"/>
  <c r="ED71" i="184"/>
  <c r="DE71" i="184"/>
  <c r="CY71" i="184"/>
  <c r="CU71" i="184"/>
  <c r="CT71" i="184"/>
  <c r="EP71" i="184" s="1"/>
  <c r="CS71" i="184"/>
  <c r="CR71" i="184"/>
  <c r="CQ71" i="184"/>
  <c r="CP71" i="184"/>
  <c r="CO71" i="184"/>
  <c r="CN71" i="184"/>
  <c r="CK71" i="184"/>
  <c r="EK71" i="184" s="1"/>
  <c r="CJ71" i="184"/>
  <c r="CI71" i="184"/>
  <c r="CH71" i="184"/>
  <c r="CG71" i="184"/>
  <c r="CF71" i="184"/>
  <c r="CE71" i="184"/>
  <c r="CB71" i="184"/>
  <c r="GI70" i="184"/>
  <c r="BE30" i="184" s="1"/>
  <c r="GH70" i="184"/>
  <c r="BA30" i="184" s="1"/>
  <c r="GE70" i="184"/>
  <c r="AQ30" i="184" s="1"/>
  <c r="FS70" i="184"/>
  <c r="FP70" i="184" s="1"/>
  <c r="FM70" i="184"/>
  <c r="FK70" i="184"/>
  <c r="EK70" i="184"/>
  <c r="ED70" i="184"/>
  <c r="DE70" i="184"/>
  <c r="CY70" i="184"/>
  <c r="CU70" i="184"/>
  <c r="EQ70" i="184" s="1"/>
  <c r="ER70" i="184" s="1"/>
  <c r="CT70" i="184"/>
  <c r="EP70" i="184" s="1"/>
  <c r="CS70" i="184"/>
  <c r="CR70" i="184"/>
  <c r="CQ70" i="184"/>
  <c r="CP70" i="184"/>
  <c r="CO70" i="184"/>
  <c r="CN70" i="184"/>
  <c r="CK70" i="184"/>
  <c r="CJ70" i="184"/>
  <c r="CI70" i="184"/>
  <c r="CH70" i="184"/>
  <c r="CG70" i="184"/>
  <c r="CF70" i="184"/>
  <c r="CE70" i="184"/>
  <c r="CB70" i="184"/>
  <c r="GI69" i="184"/>
  <c r="BD29" i="184" s="1"/>
  <c r="FI69" i="184" s="1"/>
  <c r="GH69" i="184"/>
  <c r="GF69" i="184"/>
  <c r="AR29" i="184" s="1"/>
  <c r="GE69" i="184"/>
  <c r="AQ29" i="184" s="1"/>
  <c r="FS69" i="184"/>
  <c r="FM69" i="184"/>
  <c r="FK69" i="184"/>
  <c r="FJ69" i="184"/>
  <c r="EL69" i="184"/>
  <c r="EM69" i="184" s="1"/>
  <c r="EK69" i="184"/>
  <c r="ED69" i="184"/>
  <c r="DE69" i="184"/>
  <c r="CY69" i="184"/>
  <c r="CU69" i="184"/>
  <c r="EQ69" i="184" s="1"/>
  <c r="ER69" i="184" s="1"/>
  <c r="CT69" i="184"/>
  <c r="EP69" i="184" s="1"/>
  <c r="CS69" i="184"/>
  <c r="CR69" i="184"/>
  <c r="CQ69" i="184"/>
  <c r="CP69" i="184"/>
  <c r="CO69" i="184"/>
  <c r="CN69" i="184"/>
  <c r="CK69" i="184"/>
  <c r="CJ69" i="184"/>
  <c r="CI69" i="184"/>
  <c r="CH69" i="184"/>
  <c r="CG69" i="184"/>
  <c r="CF69" i="184"/>
  <c r="CE69" i="184"/>
  <c r="CB69" i="184"/>
  <c r="GI68" i="184"/>
  <c r="BE28" i="184" s="1"/>
  <c r="GH68" i="184"/>
  <c r="AZ28" i="184" s="1"/>
  <c r="FH68" i="184" s="1"/>
  <c r="GF68" i="184"/>
  <c r="AR28" i="184" s="1"/>
  <c r="GD68" i="184"/>
  <c r="AP28" i="184" s="1"/>
  <c r="FS68" i="184"/>
  <c r="FM68" i="184"/>
  <c r="FK68" i="184"/>
  <c r="ED68" i="184"/>
  <c r="DE68" i="184"/>
  <c r="CY68" i="184"/>
  <c r="CU68" i="184"/>
  <c r="CT68" i="184"/>
  <c r="EP68" i="184" s="1"/>
  <c r="CS68" i="184"/>
  <c r="CR68" i="184"/>
  <c r="CQ68" i="184"/>
  <c r="CP68" i="184"/>
  <c r="CO68" i="184"/>
  <c r="ET68" i="184" s="1"/>
  <c r="CN68" i="184"/>
  <c r="CK68" i="184"/>
  <c r="EK68" i="184" s="1"/>
  <c r="CJ68" i="184"/>
  <c r="CI68" i="184"/>
  <c r="CH68" i="184"/>
  <c r="CG68" i="184"/>
  <c r="CF68" i="184"/>
  <c r="EO68" i="184" s="1"/>
  <c r="CE68" i="184"/>
  <c r="CB68" i="184"/>
  <c r="GI67" i="184"/>
  <c r="BE27" i="184" s="1"/>
  <c r="GH67" i="184"/>
  <c r="AZ27" i="184" s="1"/>
  <c r="FH67" i="184" s="1"/>
  <c r="GF67" i="184"/>
  <c r="AR27" i="184" s="1"/>
  <c r="AS27" i="184" s="1"/>
  <c r="GE67" i="184"/>
  <c r="AQ27" i="184" s="1"/>
  <c r="FS67" i="184"/>
  <c r="FM67" i="184"/>
  <c r="FK67" i="184"/>
  <c r="FJ67" i="184" s="1"/>
  <c r="ED67" i="184"/>
  <c r="DE67" i="184"/>
  <c r="CY67" i="184"/>
  <c r="CU67" i="184"/>
  <c r="CT67" i="184"/>
  <c r="EP67" i="184" s="1"/>
  <c r="CS67" i="184"/>
  <c r="CR67" i="184"/>
  <c r="CQ67" i="184"/>
  <c r="CP67" i="184"/>
  <c r="CO67" i="184"/>
  <c r="CN67" i="184"/>
  <c r="CK67" i="184"/>
  <c r="EK67" i="184" s="1"/>
  <c r="CJ67" i="184"/>
  <c r="CI67" i="184"/>
  <c r="CH67" i="184"/>
  <c r="CG67" i="184"/>
  <c r="CF67" i="184"/>
  <c r="CE67" i="184"/>
  <c r="CB67" i="184"/>
  <c r="GI66" i="184"/>
  <c r="BE26" i="184" s="1"/>
  <c r="GH66" i="184"/>
  <c r="BA26" i="184" s="1"/>
  <c r="GF66" i="184"/>
  <c r="AR26" i="184" s="1"/>
  <c r="GD66" i="184"/>
  <c r="AP26" i="184" s="1"/>
  <c r="FS66" i="184"/>
  <c r="FP66" i="184" s="1"/>
  <c r="FM66" i="184"/>
  <c r="FK66" i="184"/>
  <c r="FJ66" i="184" s="1"/>
  <c r="EK66" i="184"/>
  <c r="ED66" i="184"/>
  <c r="DE66" i="184"/>
  <c r="CY66" i="184"/>
  <c r="CU66" i="184"/>
  <c r="CT66" i="184"/>
  <c r="EP66" i="184" s="1"/>
  <c r="CS66" i="184"/>
  <c r="CR66" i="184"/>
  <c r="CQ66" i="184"/>
  <c r="CP66" i="184"/>
  <c r="CO66" i="184"/>
  <c r="CN66" i="184"/>
  <c r="CK66" i="184"/>
  <c r="CJ66" i="184"/>
  <c r="CI66" i="184"/>
  <c r="CH66" i="184"/>
  <c r="CG66" i="184"/>
  <c r="CF66" i="184"/>
  <c r="CE66" i="184"/>
  <c r="CB66" i="184"/>
  <c r="GI65" i="184"/>
  <c r="GH65" i="184"/>
  <c r="AZ25" i="184" s="1"/>
  <c r="FH65" i="184" s="1"/>
  <c r="GG65" i="184"/>
  <c r="AV25" i="184" s="1"/>
  <c r="FG65" i="184" s="1"/>
  <c r="GF65" i="184"/>
  <c r="AR25" i="184" s="1"/>
  <c r="AS25" i="184" s="1"/>
  <c r="GE65" i="184"/>
  <c r="AQ25" i="184" s="1"/>
  <c r="GD65" i="184"/>
  <c r="AP25" i="184" s="1"/>
  <c r="FS65" i="184"/>
  <c r="FM65" i="184"/>
  <c r="FK65" i="184"/>
  <c r="FJ65" i="184" s="1"/>
  <c r="EK65" i="184"/>
  <c r="ED65" i="184"/>
  <c r="DE65" i="184"/>
  <c r="CY65" i="184"/>
  <c r="CU65" i="184"/>
  <c r="EQ65" i="184" s="1"/>
  <c r="ER65" i="184" s="1"/>
  <c r="ES65" i="184" s="1"/>
  <c r="Y25" i="184" s="1"/>
  <c r="CT65" i="184"/>
  <c r="EP65" i="184" s="1"/>
  <c r="CS65" i="184"/>
  <c r="CR65" i="184"/>
  <c r="CQ65" i="184"/>
  <c r="CP65" i="184"/>
  <c r="CO65" i="184"/>
  <c r="CN65" i="184"/>
  <c r="CK65" i="184"/>
  <c r="CJ65" i="184"/>
  <c r="CI65" i="184"/>
  <c r="CH65" i="184"/>
  <c r="CG65" i="184"/>
  <c r="CF65" i="184"/>
  <c r="CE65" i="184"/>
  <c r="CB65" i="184"/>
  <c r="GI64" i="184"/>
  <c r="BE24" i="184" s="1"/>
  <c r="GH64" i="184"/>
  <c r="BA24" i="184" s="1"/>
  <c r="GG64" i="184"/>
  <c r="AV24" i="184" s="1"/>
  <c r="FG64" i="184" s="1"/>
  <c r="GF64" i="184"/>
  <c r="AR24" i="184" s="1"/>
  <c r="GE64" i="184"/>
  <c r="AQ24" i="184" s="1"/>
  <c r="GD64" i="184"/>
  <c r="AP24" i="184" s="1"/>
  <c r="FS64" i="184"/>
  <c r="FM64" i="184"/>
  <c r="FK64" i="184"/>
  <c r="FJ64" i="184" s="1"/>
  <c r="ED64" i="184"/>
  <c r="DE64" i="184"/>
  <c r="CY64" i="184"/>
  <c r="CU64" i="184"/>
  <c r="CT64" i="184"/>
  <c r="EP64" i="184" s="1"/>
  <c r="CS64" i="184"/>
  <c r="CR64" i="184"/>
  <c r="CQ64" i="184"/>
  <c r="CP64" i="184"/>
  <c r="CO64" i="184"/>
  <c r="ET64" i="184" s="1"/>
  <c r="CN64" i="184"/>
  <c r="CK64" i="184"/>
  <c r="EK64" i="184" s="1"/>
  <c r="CJ64" i="184"/>
  <c r="CI64" i="184"/>
  <c r="CH64" i="184"/>
  <c r="CG64" i="184"/>
  <c r="CF64" i="184"/>
  <c r="EO64" i="184" s="1"/>
  <c r="CE64" i="184"/>
  <c r="CB64" i="184"/>
  <c r="GI63" i="184"/>
  <c r="BD23" i="184" s="1"/>
  <c r="FI63" i="184" s="1"/>
  <c r="GH63" i="184"/>
  <c r="BA23" i="184" s="1"/>
  <c r="GF63" i="184"/>
  <c r="AR23" i="184" s="1"/>
  <c r="AS23" i="184" s="1"/>
  <c r="FF63" i="184" s="1"/>
  <c r="GD63" i="184"/>
  <c r="AP23" i="184" s="1"/>
  <c r="FS63" i="184"/>
  <c r="FO63" i="184" s="1"/>
  <c r="FM63" i="184"/>
  <c r="FK63" i="184"/>
  <c r="FJ63" i="184" s="1"/>
  <c r="ED63" i="184"/>
  <c r="DE63" i="184"/>
  <c r="CY63" i="184"/>
  <c r="CU63" i="184"/>
  <c r="CT63" i="184"/>
  <c r="EP63" i="184" s="1"/>
  <c r="EQ63" i="184" s="1"/>
  <c r="ER63" i="184" s="1"/>
  <c r="CS63" i="184"/>
  <c r="CR63" i="184"/>
  <c r="CQ63" i="184"/>
  <c r="CP63" i="184"/>
  <c r="CO63" i="184"/>
  <c r="CN63" i="184"/>
  <c r="CK63" i="184"/>
  <c r="EK63" i="184" s="1"/>
  <c r="CJ63" i="184"/>
  <c r="CI63" i="184"/>
  <c r="CH63" i="184"/>
  <c r="CG63" i="184"/>
  <c r="CF63" i="184"/>
  <c r="CE63" i="184"/>
  <c r="CB63" i="184"/>
  <c r="GI62" i="184"/>
  <c r="BE22" i="184" s="1"/>
  <c r="GH62" i="184"/>
  <c r="BA22" i="184" s="1"/>
  <c r="GF62" i="184"/>
  <c r="AR22" i="184" s="1"/>
  <c r="GE62" i="184"/>
  <c r="AQ22" i="184" s="1"/>
  <c r="FS62" i="184"/>
  <c r="FN62" i="184" s="1"/>
  <c r="FM62" i="184"/>
  <c r="FK62" i="184"/>
  <c r="EQ62" i="184"/>
  <c r="ER62" i="184" s="1"/>
  <c r="ES62" i="184" s="1"/>
  <c r="Y22" i="184" s="1"/>
  <c r="EK62" i="184"/>
  <c r="ED62" i="184"/>
  <c r="DE62" i="184"/>
  <c r="CY62" i="184"/>
  <c r="CU62" i="184"/>
  <c r="CT62" i="184"/>
  <c r="EP62" i="184" s="1"/>
  <c r="CS62" i="184"/>
  <c r="CR62" i="184"/>
  <c r="CQ62" i="184"/>
  <c r="CP62" i="184"/>
  <c r="CO62" i="184"/>
  <c r="CN62" i="184"/>
  <c r="CK62" i="184"/>
  <c r="CJ62" i="184"/>
  <c r="CI62" i="184"/>
  <c r="CH62" i="184"/>
  <c r="CG62" i="184"/>
  <c r="CF62" i="184"/>
  <c r="CE62" i="184"/>
  <c r="CB62" i="184"/>
  <c r="GI61" i="184"/>
  <c r="BD21" i="184" s="1"/>
  <c r="FI61" i="184" s="1"/>
  <c r="GH61" i="184"/>
  <c r="AZ21" i="184" s="1"/>
  <c r="FH61" i="184" s="1"/>
  <c r="GF61" i="184"/>
  <c r="AR21" i="184" s="1"/>
  <c r="AS21" i="184" s="1"/>
  <c r="GD61" i="184"/>
  <c r="AP21" i="184" s="1"/>
  <c r="FS61" i="184"/>
  <c r="FM61" i="184"/>
  <c r="FK61" i="184"/>
  <c r="FJ61" i="184" s="1"/>
  <c r="EU61" i="184"/>
  <c r="EK61" i="184"/>
  <c r="ED61" i="184"/>
  <c r="DE61" i="184"/>
  <c r="CY61" i="184"/>
  <c r="CU61" i="184"/>
  <c r="EQ61" i="184" s="1"/>
  <c r="ER61" i="184" s="1"/>
  <c r="CT61" i="184"/>
  <c r="EP61" i="184" s="1"/>
  <c r="CS61" i="184"/>
  <c r="CR61" i="184"/>
  <c r="CQ61" i="184"/>
  <c r="CP61" i="184"/>
  <c r="CO61" i="184"/>
  <c r="ET61" i="184" s="1"/>
  <c r="CN61" i="184"/>
  <c r="CK61" i="184"/>
  <c r="CJ61" i="184"/>
  <c r="CI61" i="184"/>
  <c r="CH61" i="184"/>
  <c r="CG61" i="184"/>
  <c r="CF61" i="184"/>
  <c r="CE61" i="184"/>
  <c r="CB61" i="184"/>
  <c r="GI60" i="184"/>
  <c r="BE20" i="184" s="1"/>
  <c r="GH60" i="184"/>
  <c r="BA20" i="184" s="1"/>
  <c r="GE60" i="184"/>
  <c r="AQ20" i="184" s="1"/>
  <c r="FS60" i="184"/>
  <c r="FM60" i="184"/>
  <c r="FK60" i="184"/>
  <c r="EU60" i="184"/>
  <c r="ED60" i="184"/>
  <c r="DE60" i="184"/>
  <c r="CY60" i="184"/>
  <c r="CU60" i="184"/>
  <c r="CT60" i="184"/>
  <c r="EP60" i="184" s="1"/>
  <c r="CS60" i="184"/>
  <c r="CR60" i="184"/>
  <c r="CQ60" i="184"/>
  <c r="CP60" i="184"/>
  <c r="CO60" i="184"/>
  <c r="CN60" i="184"/>
  <c r="CK60" i="184"/>
  <c r="EK60" i="184" s="1"/>
  <c r="CJ60" i="184"/>
  <c r="CI60" i="184"/>
  <c r="CH60" i="184"/>
  <c r="CG60" i="184"/>
  <c r="CF60" i="184"/>
  <c r="CE60" i="184"/>
  <c r="CB60" i="184"/>
  <c r="GI59" i="184"/>
  <c r="BD19" i="184" s="1"/>
  <c r="FI59" i="184" s="1"/>
  <c r="GH59" i="184"/>
  <c r="AZ19" i="184" s="1"/>
  <c r="FH59" i="184" s="1"/>
  <c r="GE59" i="184"/>
  <c r="AQ19" i="184" s="1"/>
  <c r="FS59" i="184"/>
  <c r="FM59" i="184"/>
  <c r="FK59" i="184"/>
  <c r="FJ59" i="184" s="1"/>
  <c r="EP59" i="184"/>
  <c r="EQ59" i="184" s="1"/>
  <c r="ER59" i="184" s="1"/>
  <c r="ES59" i="184" s="1"/>
  <c r="Y19" i="184" s="1"/>
  <c r="ED59" i="184"/>
  <c r="DE59" i="184"/>
  <c r="CY59" i="184"/>
  <c r="CU59" i="184"/>
  <c r="CT59" i="184"/>
  <c r="CS59" i="184"/>
  <c r="CR59" i="184"/>
  <c r="CQ59" i="184"/>
  <c r="CP59" i="184"/>
  <c r="CO59" i="184"/>
  <c r="ET59" i="184" s="1"/>
  <c r="CN59" i="184"/>
  <c r="CK59" i="184"/>
  <c r="EK59" i="184" s="1"/>
  <c r="CJ59" i="184"/>
  <c r="CI59" i="184"/>
  <c r="CH59" i="184"/>
  <c r="CG59" i="184"/>
  <c r="CF59" i="184"/>
  <c r="EO59" i="184" s="1"/>
  <c r="CE59" i="184"/>
  <c r="CB59" i="184"/>
  <c r="GI58" i="184"/>
  <c r="BE18" i="184" s="1"/>
  <c r="GH58" i="184"/>
  <c r="BA18" i="184" s="1"/>
  <c r="GF58" i="184"/>
  <c r="GE58" i="184"/>
  <c r="AQ18" i="184" s="1"/>
  <c r="FS58" i="184"/>
  <c r="FP58" i="184" s="1"/>
  <c r="FM58" i="184"/>
  <c r="FK58" i="184"/>
  <c r="EK58" i="184"/>
  <c r="ED58" i="184"/>
  <c r="DE58" i="184"/>
  <c r="CY58" i="184"/>
  <c r="CU58" i="184"/>
  <c r="CT58" i="184"/>
  <c r="EP58" i="184" s="1"/>
  <c r="CS58" i="184"/>
  <c r="CR58" i="184"/>
  <c r="CQ58" i="184"/>
  <c r="CP58" i="184"/>
  <c r="CO58" i="184"/>
  <c r="CN58" i="184"/>
  <c r="CK58" i="184"/>
  <c r="CJ58" i="184"/>
  <c r="CI58" i="184"/>
  <c r="CH58" i="184"/>
  <c r="CG58" i="184"/>
  <c r="CF58" i="184"/>
  <c r="CE58" i="184"/>
  <c r="CB58" i="184"/>
  <c r="GI57" i="184"/>
  <c r="BD17" i="184" s="1"/>
  <c r="FI57" i="184" s="1"/>
  <c r="GH57" i="184"/>
  <c r="BA17" i="184" s="1"/>
  <c r="GF57" i="184"/>
  <c r="AR17" i="184" s="1"/>
  <c r="GD57" i="184"/>
  <c r="AP17" i="184" s="1"/>
  <c r="FS57" i="184"/>
  <c r="FM57" i="184"/>
  <c r="FK57" i="184"/>
  <c r="EK57" i="184"/>
  <c r="ED57" i="184"/>
  <c r="DE57" i="184"/>
  <c r="CY57" i="184"/>
  <c r="CU57" i="184"/>
  <c r="EQ57" i="184" s="1"/>
  <c r="ER57" i="184" s="1"/>
  <c r="CT57" i="184"/>
  <c r="EP57" i="184" s="1"/>
  <c r="CS57" i="184"/>
  <c r="CR57" i="184"/>
  <c r="CQ57" i="184"/>
  <c r="CP57" i="184"/>
  <c r="CO57" i="184"/>
  <c r="CN57" i="184"/>
  <c r="CK57" i="184"/>
  <c r="CJ57" i="184"/>
  <c r="CI57" i="184"/>
  <c r="CH57" i="184"/>
  <c r="CG57" i="184"/>
  <c r="CF57" i="184"/>
  <c r="CE57" i="184"/>
  <c r="CB57" i="184"/>
  <c r="GI56" i="184"/>
  <c r="BE16" i="184" s="1"/>
  <c r="GH56" i="184"/>
  <c r="BA16" i="184" s="1"/>
  <c r="GF56" i="184"/>
  <c r="AR16" i="184" s="1"/>
  <c r="AS16" i="184" s="1"/>
  <c r="GE56" i="184"/>
  <c r="AQ16" i="184" s="1"/>
  <c r="FS56" i="184"/>
  <c r="FM56" i="184"/>
  <c r="FK56" i="184"/>
  <c r="ED56" i="184"/>
  <c r="DE56" i="184"/>
  <c r="CY56" i="184"/>
  <c r="CU56" i="184"/>
  <c r="CT56" i="184"/>
  <c r="EP56" i="184" s="1"/>
  <c r="CS56" i="184"/>
  <c r="CR56" i="184"/>
  <c r="CQ56" i="184"/>
  <c r="CP56" i="184"/>
  <c r="CO56" i="184"/>
  <c r="ET56" i="184" s="1"/>
  <c r="CN56" i="184"/>
  <c r="CK56" i="184"/>
  <c r="EK56" i="184" s="1"/>
  <c r="CJ56" i="184"/>
  <c r="CI56" i="184"/>
  <c r="CH56" i="184"/>
  <c r="CG56" i="184"/>
  <c r="CF56" i="184"/>
  <c r="EO56" i="184" s="1"/>
  <c r="CE56" i="184"/>
  <c r="CB56" i="184"/>
  <c r="GI55" i="184"/>
  <c r="BE15" i="184" s="1"/>
  <c r="GH55" i="184"/>
  <c r="BA15" i="184" s="1"/>
  <c r="GF55" i="184"/>
  <c r="AR15" i="184" s="1"/>
  <c r="GD55" i="184"/>
  <c r="AP15" i="184" s="1"/>
  <c r="FS55" i="184"/>
  <c r="FN55" i="184" s="1"/>
  <c r="FM55" i="184"/>
  <c r="FK55" i="184"/>
  <c r="FJ55" i="184" s="1"/>
  <c r="ED55" i="184"/>
  <c r="DE55" i="184"/>
  <c r="CY55" i="184"/>
  <c r="CU55" i="184"/>
  <c r="CT55" i="184"/>
  <c r="EP55" i="184" s="1"/>
  <c r="EQ55" i="184" s="1"/>
  <c r="ER55" i="184" s="1"/>
  <c r="CS55" i="184"/>
  <c r="CR55" i="184"/>
  <c r="CQ55" i="184"/>
  <c r="CP55" i="184"/>
  <c r="CO55" i="184"/>
  <c r="CN55" i="184"/>
  <c r="CK55" i="184"/>
  <c r="EK55" i="184" s="1"/>
  <c r="CJ55" i="184"/>
  <c r="CI55" i="184"/>
  <c r="CH55" i="184"/>
  <c r="CG55" i="184"/>
  <c r="CF55" i="184"/>
  <c r="CE55" i="184"/>
  <c r="CB55" i="184"/>
  <c r="GI54" i="184"/>
  <c r="BE14" i="184" s="1"/>
  <c r="GH54" i="184"/>
  <c r="BA14" i="184" s="1"/>
  <c r="GG54" i="184"/>
  <c r="AW14" i="184" s="1"/>
  <c r="GF54" i="184"/>
  <c r="AR14" i="184" s="1"/>
  <c r="GE54" i="184"/>
  <c r="AQ14" i="184" s="1"/>
  <c r="GD54" i="184"/>
  <c r="AP14" i="184" s="1"/>
  <c r="FU54" i="184"/>
  <c r="FS54" i="184"/>
  <c r="FN54" i="184" s="1"/>
  <c r="FM54" i="184"/>
  <c r="FK54" i="184"/>
  <c r="ED54" i="184"/>
  <c r="DE54" i="184"/>
  <c r="CY54" i="184"/>
  <c r="CU54" i="184"/>
  <c r="CT54" i="184"/>
  <c r="EP54" i="184" s="1"/>
  <c r="CS54" i="184"/>
  <c r="CR54" i="184"/>
  <c r="CQ54" i="184"/>
  <c r="CP54" i="184"/>
  <c r="CO54" i="184"/>
  <c r="CN54" i="184"/>
  <c r="CK54" i="184"/>
  <c r="EK54" i="184" s="1"/>
  <c r="CJ54" i="184"/>
  <c r="CI54" i="184"/>
  <c r="CH54" i="184"/>
  <c r="CG54" i="184"/>
  <c r="CF54" i="184"/>
  <c r="CE54" i="184"/>
  <c r="CB54" i="184"/>
  <c r="IU48" i="184"/>
  <c r="IR48" i="184"/>
  <c r="IQ48" i="184"/>
  <c r="IP48" i="184"/>
  <c r="IJ48" i="184"/>
  <c r="II48" i="184"/>
  <c r="IH48" i="184"/>
  <c r="IB48" i="184"/>
  <c r="IA48" i="184"/>
  <c r="HZ48" i="184"/>
  <c r="HT48" i="184"/>
  <c r="HS48" i="184"/>
  <c r="HR48" i="184"/>
  <c r="HP48" i="184"/>
  <c r="IO48" i="184" s="1"/>
  <c r="HO48" i="184"/>
  <c r="HN48" i="184"/>
  <c r="HM48" i="184"/>
  <c r="HL48" i="184"/>
  <c r="HK48" i="184"/>
  <c r="HJ48" i="184"/>
  <c r="HI48" i="184"/>
  <c r="HH48" i="184"/>
  <c r="HG48" i="184"/>
  <c r="HF48" i="184"/>
  <c r="HE48" i="184"/>
  <c r="HD48" i="184"/>
  <c r="HC48" i="184"/>
  <c r="HB48" i="184"/>
  <c r="HA48" i="184"/>
  <c r="GZ48" i="184"/>
  <c r="GY48" i="184"/>
  <c r="GX48" i="184"/>
  <c r="GW48" i="184"/>
  <c r="GV48" i="184"/>
  <c r="GU48" i="184"/>
  <c r="GT48" i="184"/>
  <c r="GS48" i="184"/>
  <c r="GR48" i="184"/>
  <c r="GD48" i="184"/>
  <c r="GC48" i="184"/>
  <c r="GB48" i="184"/>
  <c r="GA48" i="184"/>
  <c r="EZ45" i="184"/>
  <c r="EU45" i="184"/>
  <c r="ET45" i="184"/>
  <c r="ES45" i="184"/>
  <c r="ER45" i="184"/>
  <c r="EM45" i="184"/>
  <c r="BG45" i="184"/>
  <c r="BF45" i="184"/>
  <c r="BC45" i="184"/>
  <c r="BB45" i="184"/>
  <c r="AY45" i="184"/>
  <c r="AX45" i="184"/>
  <c r="AU45" i="184"/>
  <c r="AT45" i="184"/>
  <c r="AO45" i="184"/>
  <c r="AN45" i="184"/>
  <c r="AM45" i="184"/>
  <c r="AL45" i="184"/>
  <c r="AK45" i="184"/>
  <c r="AC45" i="184"/>
  <c r="AB45" i="184"/>
  <c r="AA45" i="184"/>
  <c r="F45" i="184"/>
  <c r="B45" i="184"/>
  <c r="A45" i="184"/>
  <c r="EU44" i="184"/>
  <c r="ET44" i="184"/>
  <c r="ES44" i="184"/>
  <c r="ER44" i="184"/>
  <c r="EM44" i="184"/>
  <c r="BQ44" i="184"/>
  <c r="BJ44" i="184"/>
  <c r="BG44" i="184"/>
  <c r="BF44" i="184"/>
  <c r="BC44" i="184"/>
  <c r="BB44" i="184"/>
  <c r="AY44" i="184"/>
  <c r="AX44" i="184"/>
  <c r="AU44" i="184"/>
  <c r="AT44" i="184"/>
  <c r="AO44" i="184"/>
  <c r="AN44" i="184"/>
  <c r="AM44" i="184"/>
  <c r="AL44" i="184"/>
  <c r="AK44" i="184"/>
  <c r="AC44" i="184"/>
  <c r="AB44" i="184"/>
  <c r="AA44" i="184"/>
  <c r="F44" i="184"/>
  <c r="B44" i="184"/>
  <c r="A44" i="184"/>
  <c r="GF44" i="184" s="1"/>
  <c r="GF43" i="184"/>
  <c r="EU43" i="184"/>
  <c r="ET43" i="184"/>
  <c r="ES43" i="184"/>
  <c r="ER43" i="184"/>
  <c r="EM43" i="184"/>
  <c r="BJ43" i="184"/>
  <c r="BG43" i="184"/>
  <c r="BF43" i="184"/>
  <c r="BC43" i="184"/>
  <c r="BB43" i="184"/>
  <c r="AY43" i="184"/>
  <c r="AX43" i="184"/>
  <c r="AU43" i="184"/>
  <c r="AT43" i="184"/>
  <c r="AO43" i="184"/>
  <c r="AN43" i="184"/>
  <c r="AM43" i="184"/>
  <c r="AL43" i="184"/>
  <c r="AK43" i="184"/>
  <c r="AC43" i="184"/>
  <c r="AB43" i="184"/>
  <c r="AA43" i="184"/>
  <c r="F43" i="184"/>
  <c r="B43" i="184"/>
  <c r="A43" i="184"/>
  <c r="GF42" i="184"/>
  <c r="GE42" i="184" s="1"/>
  <c r="EU42" i="184"/>
  <c r="ET42" i="184"/>
  <c r="ES42" i="184"/>
  <c r="ER42" i="184"/>
  <c r="EM42" i="184"/>
  <c r="BQ42" i="184"/>
  <c r="BO42" i="184"/>
  <c r="BM42" i="184"/>
  <c r="BJ42" i="184"/>
  <c r="BG42" i="184"/>
  <c r="BF42" i="184"/>
  <c r="BC42" i="184"/>
  <c r="BB42" i="184"/>
  <c r="AY42" i="184"/>
  <c r="AX42" i="184"/>
  <c r="AU42" i="184"/>
  <c r="AT42" i="184"/>
  <c r="AO42" i="184"/>
  <c r="AN42" i="184"/>
  <c r="AM42" i="184"/>
  <c r="AL42" i="184"/>
  <c r="AK42" i="184"/>
  <c r="AC42" i="184"/>
  <c r="AB42" i="184"/>
  <c r="EY42" i="184" s="1"/>
  <c r="AA42" i="184"/>
  <c r="F42" i="184"/>
  <c r="BP42" i="184"/>
  <c r="B42" i="184"/>
  <c r="A42" i="184"/>
  <c r="GF41" i="184"/>
  <c r="EZ41" i="184"/>
  <c r="EY41" i="184"/>
  <c r="EU41" i="184"/>
  <c r="ET41" i="184"/>
  <c r="ES41" i="184"/>
  <c r="ER41" i="184"/>
  <c r="EM41" i="184"/>
  <c r="BN41" i="184"/>
  <c r="BM41" i="184"/>
  <c r="BG41" i="184"/>
  <c r="BF41" i="184"/>
  <c r="BC41" i="184"/>
  <c r="BB41" i="184"/>
  <c r="AY41" i="184"/>
  <c r="AX41" i="184"/>
  <c r="AU41" i="184"/>
  <c r="AT41" i="184"/>
  <c r="AO41" i="184"/>
  <c r="AN41" i="184"/>
  <c r="AM41" i="184"/>
  <c r="AL41" i="184"/>
  <c r="AK41" i="184"/>
  <c r="AC41" i="184"/>
  <c r="AB41" i="184"/>
  <c r="AA41" i="184"/>
  <c r="F41" i="184"/>
  <c r="BQ41" i="184"/>
  <c r="B41" i="184"/>
  <c r="A41" i="184"/>
  <c r="BJ41" i="184" s="1"/>
  <c r="GF40" i="184"/>
  <c r="GA40" i="184"/>
  <c r="ES40" i="184"/>
  <c r="ER40" i="184"/>
  <c r="EM40" i="184"/>
  <c r="BQ40" i="184"/>
  <c r="BN40" i="184"/>
  <c r="BO40" i="184" s="1"/>
  <c r="BJ40" i="184"/>
  <c r="BG40" i="184"/>
  <c r="BF40" i="184"/>
  <c r="BC40" i="184"/>
  <c r="BB40" i="184"/>
  <c r="AY40" i="184"/>
  <c r="AX40" i="184"/>
  <c r="AU40" i="184"/>
  <c r="AT40" i="184"/>
  <c r="AO40" i="184"/>
  <c r="AN40" i="184"/>
  <c r="AM40" i="184"/>
  <c r="AL40" i="184"/>
  <c r="AK40" i="184"/>
  <c r="AC40" i="184"/>
  <c r="AB40" i="184"/>
  <c r="AA40" i="184"/>
  <c r="F40" i="184"/>
  <c r="BP40" i="184"/>
  <c r="B40" i="184"/>
  <c r="A40" i="184"/>
  <c r="GF39" i="184"/>
  <c r="GB39" i="184"/>
  <c r="ES39" i="184"/>
  <c r="ER39" i="184"/>
  <c r="EM39" i="184"/>
  <c r="BP39" i="184"/>
  <c r="BN39" i="184"/>
  <c r="BO39" i="184" s="1"/>
  <c r="BG39" i="184"/>
  <c r="BF39" i="184"/>
  <c r="BC39" i="184"/>
  <c r="BB39" i="184"/>
  <c r="AY39" i="184"/>
  <c r="AX39" i="184"/>
  <c r="AU39" i="184"/>
  <c r="AT39" i="184"/>
  <c r="AO39" i="184"/>
  <c r="AN39" i="184"/>
  <c r="AM39" i="184"/>
  <c r="AL39" i="184"/>
  <c r="AK39" i="184"/>
  <c r="AC39" i="184"/>
  <c r="AB39" i="184"/>
  <c r="AA39" i="184"/>
  <c r="F39" i="184"/>
  <c r="B39" i="184"/>
  <c r="A39" i="184"/>
  <c r="ES38" i="184"/>
  <c r="ER38" i="184"/>
  <c r="EM38" i="184"/>
  <c r="BQ38" i="184"/>
  <c r="BP38" i="184"/>
  <c r="BG38" i="184"/>
  <c r="BF38" i="184"/>
  <c r="BC38" i="184"/>
  <c r="BB38" i="184"/>
  <c r="AY38" i="184"/>
  <c r="AX38" i="184"/>
  <c r="AU38" i="184"/>
  <c r="AT38" i="184"/>
  <c r="AO38" i="184"/>
  <c r="AN38" i="184"/>
  <c r="AM38" i="184"/>
  <c r="AL38" i="184"/>
  <c r="AK38" i="184"/>
  <c r="AC38" i="184"/>
  <c r="AB38" i="184"/>
  <c r="AA38" i="184"/>
  <c r="F38" i="184"/>
  <c r="BN38" i="184"/>
  <c r="BO38" i="184" s="1"/>
  <c r="B38" i="184"/>
  <c r="A38" i="184"/>
  <c r="ES37" i="184"/>
  <c r="ER37" i="184"/>
  <c r="EM37" i="184"/>
  <c r="BG37" i="184"/>
  <c r="BF37" i="184"/>
  <c r="BC37" i="184"/>
  <c r="BB37" i="184"/>
  <c r="AY37" i="184"/>
  <c r="AX37" i="184"/>
  <c r="AU37" i="184"/>
  <c r="AT37" i="184"/>
  <c r="AO37" i="184"/>
  <c r="AN37" i="184"/>
  <c r="AM37" i="184"/>
  <c r="AL37" i="184"/>
  <c r="AK37" i="184"/>
  <c r="AC37" i="184"/>
  <c r="AB37" i="184"/>
  <c r="AA37" i="184"/>
  <c r="F37" i="184"/>
  <c r="B37" i="184"/>
  <c r="A37" i="184"/>
  <c r="ES36" i="184"/>
  <c r="ER36" i="184"/>
  <c r="EM36" i="184"/>
  <c r="BQ36" i="184"/>
  <c r="BJ36" i="184"/>
  <c r="BG36" i="184"/>
  <c r="BF36" i="184"/>
  <c r="BC36" i="184"/>
  <c r="BB36" i="184"/>
  <c r="AY36" i="184"/>
  <c r="AX36" i="184"/>
  <c r="AU36" i="184"/>
  <c r="AT36" i="184"/>
  <c r="AO36" i="184"/>
  <c r="AN36" i="184"/>
  <c r="AM36" i="184"/>
  <c r="AL36" i="184"/>
  <c r="AK36" i="184"/>
  <c r="AC36" i="184"/>
  <c r="AB36" i="184"/>
  <c r="AA36" i="184"/>
  <c r="F36" i="184"/>
  <c r="B36" i="184"/>
  <c r="A36" i="184"/>
  <c r="GF36" i="184" s="1"/>
  <c r="GB36" i="184" s="1"/>
  <c r="ES35" i="184"/>
  <c r="ER35" i="184"/>
  <c r="EM35" i="184"/>
  <c r="BG35" i="184"/>
  <c r="BF35" i="184"/>
  <c r="BC35" i="184"/>
  <c r="BB35" i="184"/>
  <c r="AY35" i="184"/>
  <c r="AX35" i="184"/>
  <c r="AU35" i="184"/>
  <c r="AT35" i="184"/>
  <c r="AO35" i="184"/>
  <c r="AN35" i="184"/>
  <c r="AM35" i="184"/>
  <c r="AL35" i="184"/>
  <c r="AK35" i="184"/>
  <c r="AC35" i="184"/>
  <c r="AB35" i="184"/>
  <c r="AA35" i="184"/>
  <c r="F35" i="184"/>
  <c r="B35" i="184"/>
  <c r="A35" i="184"/>
  <c r="GF34" i="184"/>
  <c r="ES34" i="184"/>
  <c r="ER34" i="184"/>
  <c r="EM34" i="184"/>
  <c r="BQ34" i="184"/>
  <c r="BJ34" i="184"/>
  <c r="BG34" i="184"/>
  <c r="BF34" i="184"/>
  <c r="BC34" i="184"/>
  <c r="BB34" i="184"/>
  <c r="AY34" i="184"/>
  <c r="AX34" i="184"/>
  <c r="AU34" i="184"/>
  <c r="AT34" i="184"/>
  <c r="AO34" i="184"/>
  <c r="AN34" i="184"/>
  <c r="AM34" i="184"/>
  <c r="AL34" i="184"/>
  <c r="AK34" i="184"/>
  <c r="AC34" i="184"/>
  <c r="AB34" i="184"/>
  <c r="AA34" i="184"/>
  <c r="F34" i="184"/>
  <c r="BP34" i="184"/>
  <c r="B34" i="184"/>
  <c r="A34" i="184"/>
  <c r="GF33" i="184"/>
  <c r="ES33" i="184"/>
  <c r="ER33" i="184"/>
  <c r="EM33" i="184"/>
  <c r="BG33" i="184"/>
  <c r="BF33" i="184"/>
  <c r="BC33" i="184"/>
  <c r="BB33" i="184"/>
  <c r="AY33" i="184"/>
  <c r="AX33" i="184"/>
  <c r="AU33" i="184"/>
  <c r="AT33" i="184"/>
  <c r="AO33" i="184"/>
  <c r="AN33" i="184"/>
  <c r="AM33" i="184"/>
  <c r="AL33" i="184"/>
  <c r="AK33" i="184"/>
  <c r="AC33" i="184"/>
  <c r="AB33" i="184"/>
  <c r="AA33" i="184"/>
  <c r="F33" i="184"/>
  <c r="B33" i="184"/>
  <c r="A33" i="184"/>
  <c r="BJ33" i="184" s="1"/>
  <c r="GF32" i="184"/>
  <c r="GA32" i="184"/>
  <c r="ES32" i="184"/>
  <c r="ER32" i="184"/>
  <c r="EM32" i="184"/>
  <c r="BQ32" i="184"/>
  <c r="BO32" i="184"/>
  <c r="BN32" i="184"/>
  <c r="BM32" i="184" s="1"/>
  <c r="BJ32" i="184"/>
  <c r="BG32" i="184"/>
  <c r="BF32" i="184"/>
  <c r="BC32" i="184"/>
  <c r="BB32" i="184"/>
  <c r="AY32" i="184"/>
  <c r="AX32" i="184"/>
  <c r="AU32" i="184"/>
  <c r="AT32" i="184"/>
  <c r="AO32" i="184"/>
  <c r="AN32" i="184"/>
  <c r="AM32" i="184"/>
  <c r="AL32" i="184"/>
  <c r="AK32" i="184"/>
  <c r="AC32" i="184"/>
  <c r="AB32" i="184"/>
  <c r="AA32" i="184"/>
  <c r="F32" i="184"/>
  <c r="BP32" i="184"/>
  <c r="B32" i="184"/>
  <c r="A32" i="184"/>
  <c r="FQ31" i="184"/>
  <c r="ES31" i="184"/>
  <c r="ER31" i="184"/>
  <c r="EM31" i="184"/>
  <c r="BP31" i="184"/>
  <c r="BN31" i="184"/>
  <c r="BO31" i="184" s="1"/>
  <c r="BG31" i="184"/>
  <c r="BF31" i="184"/>
  <c r="BC31" i="184"/>
  <c r="BB31" i="184"/>
  <c r="AY31" i="184"/>
  <c r="AX31" i="184"/>
  <c r="AU31" i="184"/>
  <c r="AT31" i="184"/>
  <c r="AO31" i="184"/>
  <c r="AN31" i="184"/>
  <c r="AM31" i="184"/>
  <c r="AL31" i="184"/>
  <c r="AK31" i="184"/>
  <c r="AC31" i="184"/>
  <c r="AB31" i="184"/>
  <c r="AA31" i="184"/>
  <c r="F31" i="184"/>
  <c r="B31" i="184"/>
  <c r="A31" i="184"/>
  <c r="ES30" i="184"/>
  <c r="ER30" i="184"/>
  <c r="EM30" i="184"/>
  <c r="BQ30" i="184"/>
  <c r="BP30" i="184"/>
  <c r="BG30" i="184"/>
  <c r="BF30" i="184"/>
  <c r="BC30" i="184"/>
  <c r="BB30" i="184"/>
  <c r="AY30" i="184"/>
  <c r="AX30" i="184"/>
  <c r="AU30" i="184"/>
  <c r="AT30" i="184"/>
  <c r="AO30" i="184"/>
  <c r="AN30" i="184"/>
  <c r="AM30" i="184"/>
  <c r="AL30" i="184"/>
  <c r="AK30" i="184"/>
  <c r="AC30" i="184"/>
  <c r="AB30" i="184"/>
  <c r="AA30" i="184"/>
  <c r="F30" i="184"/>
  <c r="BN30" i="184"/>
  <c r="BO30" i="184" s="1"/>
  <c r="B30" i="184"/>
  <c r="A30" i="184"/>
  <c r="FQ29" i="184"/>
  <c r="ES29" i="184"/>
  <c r="ER29" i="184"/>
  <c r="EM29" i="184"/>
  <c r="BP29" i="184"/>
  <c r="BN29" i="184"/>
  <c r="BG29" i="184"/>
  <c r="BF29" i="184"/>
  <c r="BC29" i="184"/>
  <c r="BB29" i="184"/>
  <c r="AY29" i="184"/>
  <c r="AX29" i="184"/>
  <c r="AU29" i="184"/>
  <c r="AT29" i="184"/>
  <c r="AO29" i="184"/>
  <c r="AN29" i="184"/>
  <c r="AM29" i="184"/>
  <c r="AL29" i="184"/>
  <c r="AK29" i="184"/>
  <c r="AC29" i="184"/>
  <c r="AB29" i="184"/>
  <c r="AA29" i="184"/>
  <c r="F29" i="184"/>
  <c r="B29" i="184"/>
  <c r="A29" i="184"/>
  <c r="GA28" i="184"/>
  <c r="ES28" i="184"/>
  <c r="ER28" i="184"/>
  <c r="EM28" i="184"/>
  <c r="BQ28" i="184"/>
  <c r="BJ28" i="184"/>
  <c r="BG28" i="184"/>
  <c r="BF28" i="184"/>
  <c r="BC28" i="184"/>
  <c r="BB28" i="184"/>
  <c r="AY28" i="184"/>
  <c r="AX28" i="184"/>
  <c r="AU28" i="184"/>
  <c r="AT28" i="184"/>
  <c r="AO28" i="184"/>
  <c r="AN28" i="184"/>
  <c r="AM28" i="184"/>
  <c r="AL28" i="184"/>
  <c r="AK28" i="184"/>
  <c r="AC28" i="184"/>
  <c r="AB28" i="184"/>
  <c r="AA28" i="184"/>
  <c r="F28" i="184"/>
  <c r="B28" i="184"/>
  <c r="A28" i="184"/>
  <c r="GF28" i="184" s="1"/>
  <c r="GB28" i="184" s="1"/>
  <c r="ES27" i="184"/>
  <c r="ER27" i="184"/>
  <c r="EM27" i="184"/>
  <c r="BG27" i="184"/>
  <c r="BF27" i="184"/>
  <c r="BC27" i="184"/>
  <c r="BB27" i="184"/>
  <c r="AY27" i="184"/>
  <c r="AX27" i="184"/>
  <c r="AU27" i="184"/>
  <c r="AT27" i="184"/>
  <c r="AO27" i="184"/>
  <c r="AN27" i="184"/>
  <c r="AM27" i="184"/>
  <c r="AL27" i="184"/>
  <c r="AK27" i="184"/>
  <c r="AC27" i="184"/>
  <c r="AB27" i="184"/>
  <c r="AA27" i="184"/>
  <c r="F27" i="184"/>
  <c r="B27" i="184"/>
  <c r="A27" i="184"/>
  <c r="GF26" i="184"/>
  <c r="GA26" i="184"/>
  <c r="ES26" i="184"/>
  <c r="ER26" i="184"/>
  <c r="EM26" i="184"/>
  <c r="BQ26" i="184"/>
  <c r="BJ26" i="184"/>
  <c r="BG26" i="184"/>
  <c r="BF26" i="184"/>
  <c r="BC26" i="184"/>
  <c r="BB26" i="184"/>
  <c r="AY26" i="184"/>
  <c r="AX26" i="184"/>
  <c r="AU26" i="184"/>
  <c r="AT26" i="184"/>
  <c r="AO26" i="184"/>
  <c r="AN26" i="184"/>
  <c r="AM26" i="184"/>
  <c r="AL26" i="184"/>
  <c r="AK26" i="184"/>
  <c r="AC26" i="184"/>
  <c r="AB26" i="184"/>
  <c r="FO33" i="184" s="1"/>
  <c r="AA26" i="184"/>
  <c r="F26" i="184"/>
  <c r="BP26" i="184"/>
  <c r="B26" i="184"/>
  <c r="A26" i="184"/>
  <c r="GF25" i="184"/>
  <c r="ES25" i="184"/>
  <c r="ER25" i="184"/>
  <c r="EM25" i="184"/>
  <c r="BP25" i="184"/>
  <c r="BN25" i="184"/>
  <c r="BG25" i="184"/>
  <c r="BF25" i="184"/>
  <c r="BC25" i="184"/>
  <c r="BB25" i="184"/>
  <c r="AY25" i="184"/>
  <c r="AX25" i="184"/>
  <c r="AU25" i="184"/>
  <c r="AT25" i="184"/>
  <c r="AO25" i="184"/>
  <c r="AN25" i="184"/>
  <c r="AM25" i="184"/>
  <c r="AL25" i="184"/>
  <c r="AK25" i="184"/>
  <c r="AC25" i="184"/>
  <c r="AB25" i="184"/>
  <c r="AA25" i="184"/>
  <c r="F25" i="184"/>
  <c r="B25" i="184"/>
  <c r="A25" i="184"/>
  <c r="GF24" i="184"/>
  <c r="GA24" i="184"/>
  <c r="ES24" i="184"/>
  <c r="ER24" i="184"/>
  <c r="EM24" i="184"/>
  <c r="BQ24" i="184"/>
  <c r="BN24" i="184"/>
  <c r="BO24" i="184" s="1"/>
  <c r="BM24" i="184"/>
  <c r="BJ24" i="184"/>
  <c r="BG24" i="184"/>
  <c r="BF24" i="184"/>
  <c r="BC24" i="184"/>
  <c r="BB24" i="184"/>
  <c r="AY24" i="184"/>
  <c r="AX24" i="184"/>
  <c r="AU24" i="184"/>
  <c r="AT24" i="184"/>
  <c r="AO24" i="184"/>
  <c r="AN24" i="184"/>
  <c r="AM24" i="184"/>
  <c r="AL24" i="184"/>
  <c r="AK24" i="184"/>
  <c r="AC24" i="184"/>
  <c r="AB24" i="184"/>
  <c r="AA24" i="184"/>
  <c r="F24" i="184"/>
  <c r="BP24" i="184"/>
  <c r="B24" i="184"/>
  <c r="A24" i="184"/>
  <c r="ES23" i="184"/>
  <c r="ER23" i="184"/>
  <c r="EM23" i="184"/>
  <c r="BP23" i="184"/>
  <c r="BN23" i="184"/>
  <c r="BG23" i="184"/>
  <c r="BF23" i="184"/>
  <c r="BC23" i="184"/>
  <c r="BB23" i="184"/>
  <c r="AY23" i="184"/>
  <c r="AX23" i="184"/>
  <c r="AU23" i="184"/>
  <c r="AT23" i="184"/>
  <c r="AO23" i="184"/>
  <c r="AN23" i="184"/>
  <c r="AM23" i="184"/>
  <c r="AL23" i="184"/>
  <c r="AK23" i="184"/>
  <c r="AC23" i="184"/>
  <c r="AB23" i="184"/>
  <c r="AA23" i="184"/>
  <c r="F23" i="184"/>
  <c r="B23" i="184"/>
  <c r="A23" i="184"/>
  <c r="GA22" i="184"/>
  <c r="ES22" i="184"/>
  <c r="ER22" i="184"/>
  <c r="EM22" i="184"/>
  <c r="BQ22" i="184"/>
  <c r="BP22" i="184"/>
  <c r="BO22" i="184"/>
  <c r="BN22" i="184"/>
  <c r="BM22" i="184" s="1"/>
  <c r="BG22" i="184"/>
  <c r="BF22" i="184"/>
  <c r="BC22" i="184"/>
  <c r="BB22" i="184"/>
  <c r="AY22" i="184"/>
  <c r="AX22" i="184"/>
  <c r="AU22" i="184"/>
  <c r="AT22" i="184"/>
  <c r="AO22" i="184"/>
  <c r="AN22" i="184"/>
  <c r="AM22" i="184"/>
  <c r="AL22" i="184"/>
  <c r="AK22" i="184"/>
  <c r="AC22" i="184"/>
  <c r="AB22" i="184"/>
  <c r="AA22" i="184"/>
  <c r="F22" i="184"/>
  <c r="B22" i="184"/>
  <c r="A22" i="184"/>
  <c r="GF22" i="184" s="1"/>
  <c r="GB22" i="184" s="1"/>
  <c r="GB21" i="184"/>
  <c r="ES21" i="184"/>
  <c r="ER21" i="184"/>
  <c r="EM21" i="184"/>
  <c r="BQ21" i="184"/>
  <c r="BP21" i="184"/>
  <c r="BN21" i="184"/>
  <c r="BK21" i="184"/>
  <c r="BG21" i="184"/>
  <c r="BF21" i="184"/>
  <c r="BC21" i="184"/>
  <c r="BB21" i="184"/>
  <c r="AY21" i="184"/>
  <c r="AX21" i="184"/>
  <c r="AU21" i="184"/>
  <c r="AT21" i="184"/>
  <c r="AO21" i="184"/>
  <c r="AN21" i="184"/>
  <c r="AM21" i="184"/>
  <c r="AL21" i="184"/>
  <c r="AK21" i="184"/>
  <c r="AC21" i="184"/>
  <c r="AB21" i="184"/>
  <c r="AA21" i="184"/>
  <c r="F21" i="184"/>
  <c r="B21" i="184"/>
  <c r="A21" i="184"/>
  <c r="GF21" i="184" s="1"/>
  <c r="ES20" i="184"/>
  <c r="ER20" i="184"/>
  <c r="EM20" i="184"/>
  <c r="BZ20" i="184"/>
  <c r="BJ20" i="184"/>
  <c r="BG20" i="184"/>
  <c r="BF20" i="184"/>
  <c r="BC20" i="184"/>
  <c r="BB20" i="184"/>
  <c r="AY20" i="184"/>
  <c r="AX20" i="184"/>
  <c r="AU20" i="184"/>
  <c r="AT20" i="184"/>
  <c r="AO20" i="184"/>
  <c r="AN20" i="184"/>
  <c r="AM20" i="184"/>
  <c r="AL20" i="184"/>
  <c r="AK20" i="184"/>
  <c r="AC20" i="184"/>
  <c r="AB20" i="184"/>
  <c r="AA20" i="184"/>
  <c r="F20" i="184"/>
  <c r="B20" i="184"/>
  <c r="A20" i="184"/>
  <c r="GF20" i="184" s="1"/>
  <c r="ES19" i="184"/>
  <c r="ER19" i="184"/>
  <c r="EM19" i="184"/>
  <c r="BG19" i="184"/>
  <c r="BF19" i="184"/>
  <c r="BC19" i="184"/>
  <c r="BB19" i="184"/>
  <c r="AY19" i="184"/>
  <c r="AX19" i="184"/>
  <c r="AU19" i="184"/>
  <c r="AT19" i="184"/>
  <c r="AO19" i="184"/>
  <c r="AN19" i="184"/>
  <c r="AM19" i="184"/>
  <c r="AL19" i="184"/>
  <c r="AK19" i="184"/>
  <c r="AC19" i="184"/>
  <c r="AB19" i="184"/>
  <c r="AA19" i="184"/>
  <c r="F19" i="184"/>
  <c r="B19" i="184"/>
  <c r="A19" i="184"/>
  <c r="GF18" i="184"/>
  <c r="ES18" i="184"/>
  <c r="ER18" i="184"/>
  <c r="EM18" i="184"/>
  <c r="BQ18" i="184"/>
  <c r="BG18" i="184"/>
  <c r="BF18" i="184"/>
  <c r="BC18" i="184"/>
  <c r="BB18" i="184"/>
  <c r="AY18" i="184"/>
  <c r="AX18" i="184"/>
  <c r="AU18" i="184"/>
  <c r="AT18" i="184"/>
  <c r="AO18" i="184"/>
  <c r="AN18" i="184"/>
  <c r="AM18" i="184"/>
  <c r="AL18" i="184"/>
  <c r="AK18" i="184"/>
  <c r="AC18" i="184"/>
  <c r="AB18" i="184"/>
  <c r="AA18" i="184"/>
  <c r="BJ18" i="184"/>
  <c r="F18" i="184"/>
  <c r="B18" i="184"/>
  <c r="A18" i="184"/>
  <c r="ES17" i="184"/>
  <c r="ER17" i="184"/>
  <c r="EM17" i="184"/>
  <c r="BG17" i="184"/>
  <c r="BF17" i="184"/>
  <c r="BC17" i="184"/>
  <c r="BB17" i="184"/>
  <c r="AY17" i="184"/>
  <c r="AX17" i="184"/>
  <c r="AU17" i="184"/>
  <c r="AT17" i="184"/>
  <c r="AO17" i="184"/>
  <c r="AN17" i="184"/>
  <c r="AM17" i="184"/>
  <c r="AL17" i="184"/>
  <c r="AK17" i="184"/>
  <c r="AC17" i="184"/>
  <c r="AB17" i="184"/>
  <c r="AA17" i="184"/>
  <c r="F17" i="184"/>
  <c r="B17" i="184"/>
  <c r="A17" i="184"/>
  <c r="GF16" i="184"/>
  <c r="GA16" i="184"/>
  <c r="ES16" i="184"/>
  <c r="ER16" i="184"/>
  <c r="EM16" i="184"/>
  <c r="BQ16" i="184"/>
  <c r="BO16" i="184"/>
  <c r="BN16" i="184"/>
  <c r="BM16" i="184" s="1"/>
  <c r="BJ16" i="184"/>
  <c r="BG16" i="184"/>
  <c r="BF16" i="184"/>
  <c r="BC16" i="184"/>
  <c r="BB16" i="184"/>
  <c r="AY16" i="184"/>
  <c r="AX16" i="184"/>
  <c r="AU16" i="184"/>
  <c r="AT16" i="184"/>
  <c r="AO16" i="184"/>
  <c r="AN16" i="184"/>
  <c r="AM16" i="184"/>
  <c r="AL16" i="184"/>
  <c r="AK16" i="184"/>
  <c r="AC16" i="184"/>
  <c r="AB16" i="184"/>
  <c r="AA16" i="184"/>
  <c r="F16" i="184"/>
  <c r="BP16" i="184"/>
  <c r="B16" i="184"/>
  <c r="A16" i="184"/>
  <c r="FO15" i="184"/>
  <c r="ES15" i="184"/>
  <c r="ER15" i="184"/>
  <c r="EM15" i="184"/>
  <c r="BZ15" i="184"/>
  <c r="BP15" i="184"/>
  <c r="BG15" i="184"/>
  <c r="BF15" i="184"/>
  <c r="BC15" i="184"/>
  <c r="BB15" i="184"/>
  <c r="AY15" i="184"/>
  <c r="AX15" i="184"/>
  <c r="AU15" i="184"/>
  <c r="AT15" i="184"/>
  <c r="AO15" i="184"/>
  <c r="AN15" i="184"/>
  <c r="AM15" i="184"/>
  <c r="AL15" i="184"/>
  <c r="AK15" i="184"/>
  <c r="AC15" i="184"/>
  <c r="AB15" i="184"/>
  <c r="AA15" i="184"/>
  <c r="F15" i="184"/>
  <c r="BQ15" i="184"/>
  <c r="B15" i="184"/>
  <c r="A15" i="184"/>
  <c r="FQ21" i="184" s="1"/>
  <c r="JL14" i="184"/>
  <c r="JL15" i="184" s="1"/>
  <c r="JL16" i="184" s="1"/>
  <c r="JL17" i="184" s="1"/>
  <c r="JL18" i="184" s="1"/>
  <c r="JL19" i="184" s="1"/>
  <c r="JL20" i="184" s="1"/>
  <c r="JL21" i="184" s="1"/>
  <c r="JL22" i="184" s="1"/>
  <c r="JL23" i="184" s="1"/>
  <c r="JL24" i="184" s="1"/>
  <c r="JL25" i="184" s="1"/>
  <c r="JL26" i="184" s="1"/>
  <c r="JL27" i="184" s="1"/>
  <c r="JL28" i="184" s="1"/>
  <c r="JL29" i="184" s="1"/>
  <c r="JL30" i="184" s="1"/>
  <c r="JL31" i="184" s="1"/>
  <c r="JL32" i="184" s="1"/>
  <c r="JL33" i="184" s="1"/>
  <c r="JL34" i="184" s="1"/>
  <c r="JL35" i="184" s="1"/>
  <c r="JL36" i="184" s="1"/>
  <c r="JL37" i="184" s="1"/>
  <c r="JL38" i="184" s="1"/>
  <c r="JL39" i="184" s="1"/>
  <c r="JL40" i="184" s="1"/>
  <c r="JL41" i="184" s="1"/>
  <c r="JL42" i="184" s="1"/>
  <c r="JL43" i="184" s="1"/>
  <c r="JL44" i="184" s="1"/>
  <c r="JL45" i="184" s="1"/>
  <c r="FO14" i="184"/>
  <c r="ES14" i="184"/>
  <c r="ER14" i="184"/>
  <c r="EM14" i="184"/>
  <c r="BK14" i="184"/>
  <c r="BJ14" i="184"/>
  <c r="BG14" i="184"/>
  <c r="BF14" i="184"/>
  <c r="BC14" i="184"/>
  <c r="BB14" i="184"/>
  <c r="AY14" i="184"/>
  <c r="AX14" i="184"/>
  <c r="AU14" i="184"/>
  <c r="AT14" i="184"/>
  <c r="AO14" i="184"/>
  <c r="AN14" i="184"/>
  <c r="AM14" i="184"/>
  <c r="AL14" i="184"/>
  <c r="AK14" i="184"/>
  <c r="AC14" i="184"/>
  <c r="AB14" i="184"/>
  <c r="FO24" i="184" s="1"/>
  <c r="AA14" i="184"/>
  <c r="F14" i="184"/>
  <c r="B14" i="184"/>
  <c r="A14" i="184"/>
  <c r="FQ37" i="184" s="1"/>
  <c r="JH12" i="184"/>
  <c r="JG12" i="184"/>
  <c r="JF12" i="184"/>
  <c r="IZ12" i="184"/>
  <c r="IY12" i="184"/>
  <c r="IX12" i="184"/>
  <c r="IR12" i="184"/>
  <c r="IQ12" i="184"/>
  <c r="IP12" i="184"/>
  <c r="IC12" i="184"/>
  <c r="IB12" i="184"/>
  <c r="IA12" i="184"/>
  <c r="HU12" i="184"/>
  <c r="HT12" i="184"/>
  <c r="HS12" i="184"/>
  <c r="HM12" i="184"/>
  <c r="HL12" i="184"/>
  <c r="HK12" i="184"/>
  <c r="HD12" i="184"/>
  <c r="BE10" i="184"/>
  <c r="AX10" i="184"/>
  <c r="Z10" i="184"/>
  <c r="T10" i="184"/>
  <c r="C10" i="184"/>
  <c r="AE10" i="184" s="1"/>
  <c r="T9" i="184"/>
  <c r="AX9" i="184" s="1"/>
  <c r="C9" i="184"/>
  <c r="AE9" i="184" s="1"/>
  <c r="BB7" i="184"/>
  <c r="M7" i="184"/>
  <c r="BB6" i="184"/>
  <c r="X6" i="184"/>
  <c r="M6" i="184"/>
  <c r="EX5" i="184"/>
  <c r="ES5" i="184"/>
  <c r="ER5" i="184"/>
  <c r="EQ5" i="184"/>
  <c r="EP5" i="184"/>
  <c r="EO5" i="184"/>
  <c r="EN5" i="184"/>
  <c r="EM5" i="184"/>
  <c r="EL5" i="184"/>
  <c r="EK5" i="184"/>
  <c r="EJ5" i="184"/>
  <c r="EI5" i="184"/>
  <c r="EH5" i="184"/>
  <c r="EG5" i="184"/>
  <c r="EF5" i="184"/>
  <c r="EE5" i="184"/>
  <c r="ED5" i="184"/>
  <c r="EC5" i="184"/>
  <c r="EB5" i="184"/>
  <c r="EA5" i="184"/>
  <c r="DZ5" i="184"/>
  <c r="DY5" i="184"/>
  <c r="DX5" i="184"/>
  <c r="DW5" i="184"/>
  <c r="DV5" i="184"/>
  <c r="DU5" i="184"/>
  <c r="DT5" i="184"/>
  <c r="DS5" i="184"/>
  <c r="DR5" i="184"/>
  <c r="DQ5" i="184"/>
  <c r="DP5" i="184"/>
  <c r="DO5" i="184"/>
  <c r="DN5" i="184"/>
  <c r="DM5" i="184"/>
  <c r="DL5" i="184"/>
  <c r="DK5" i="184"/>
  <c r="DJ5" i="184"/>
  <c r="DI5" i="184"/>
  <c r="DH5" i="184"/>
  <c r="DE5" i="184"/>
  <c r="DD5" i="184"/>
  <c r="DC5" i="184"/>
  <c r="DB5" i="184"/>
  <c r="DA5" i="184"/>
  <c r="CZ5" i="184"/>
  <c r="CY5" i="184"/>
  <c r="CX5" i="184"/>
  <c r="CW5" i="184"/>
  <c r="CV5" i="184"/>
  <c r="CU5" i="184"/>
  <c r="CT5" i="184"/>
  <c r="CS5" i="184"/>
  <c r="CR5" i="184"/>
  <c r="CQ5" i="184"/>
  <c r="CP5" i="184"/>
  <c r="CO5" i="184"/>
  <c r="CN5" i="184"/>
  <c r="CM5" i="184"/>
  <c r="CL5" i="184"/>
  <c r="CK5" i="184"/>
  <c r="CJ5" i="184"/>
  <c r="CI5" i="184"/>
  <c r="CH5" i="184"/>
  <c r="CG5" i="184"/>
  <c r="CF5" i="184"/>
  <c r="CE5" i="184"/>
  <c r="CD5" i="184"/>
  <c r="CC5" i="184"/>
  <c r="CB5" i="184"/>
  <c r="FF4" i="184"/>
  <c r="FE4" i="184"/>
  <c r="FD4" i="184"/>
  <c r="FC4" i="184"/>
  <c r="EB66" i="184" s="1"/>
  <c r="FB4" i="184"/>
  <c r="FA4" i="184"/>
  <c r="EZ4" i="184"/>
  <c r="EY4" i="184"/>
  <c r="FG2" i="184"/>
  <c r="FE2" i="184"/>
  <c r="EU76" i="184" s="1"/>
  <c r="FC2" i="184"/>
  <c r="FA2" i="184"/>
  <c r="HA1" i="184"/>
  <c r="JE12" i="184" s="1"/>
  <c r="FG1" i="184"/>
  <c r="FA1" i="184"/>
  <c r="FB1" i="184" s="1"/>
  <c r="BK1" i="184"/>
  <c r="BZ36" i="184" s="1"/>
  <c r="BJ1" i="184"/>
  <c r="Q4" i="184" s="1"/>
  <c r="AU4" i="184" s="1"/>
  <c r="HP87" i="183"/>
  <c r="BZ87" i="183"/>
  <c r="BS87" i="183"/>
  <c r="BG87" i="183"/>
  <c r="BF87" i="183"/>
  <c r="BE87" i="183"/>
  <c r="BD87" i="183"/>
  <c r="BC87" i="183"/>
  <c r="BB87" i="183"/>
  <c r="BA87" i="183"/>
  <c r="AZ87" i="183"/>
  <c r="AY87" i="183"/>
  <c r="AX87" i="183"/>
  <c r="AW87" i="183"/>
  <c r="AV87" i="183"/>
  <c r="AU87" i="183"/>
  <c r="AT87" i="183"/>
  <c r="AS87" i="183"/>
  <c r="AR87" i="183"/>
  <c r="AQ87" i="183"/>
  <c r="AP87" i="183"/>
  <c r="AO87" i="183"/>
  <c r="AN87" i="183"/>
  <c r="AM87" i="183"/>
  <c r="AL87" i="183"/>
  <c r="AK87" i="183"/>
  <c r="AJ87" i="183"/>
  <c r="AI87" i="183"/>
  <c r="AH87" i="183"/>
  <c r="AG87" i="183"/>
  <c r="AF87" i="183"/>
  <c r="AE87" i="183"/>
  <c r="AD87" i="183"/>
  <c r="AC87" i="183"/>
  <c r="AB87" i="183"/>
  <c r="AA87" i="183"/>
  <c r="Z87" i="183"/>
  <c r="Y87" i="183"/>
  <c r="X87" i="183"/>
  <c r="W87" i="183"/>
  <c r="V87" i="183"/>
  <c r="U87" i="183"/>
  <c r="BV87" i="183" s="1"/>
  <c r="T87" i="183"/>
  <c r="S87" i="183"/>
  <c r="BT87" i="183" s="1"/>
  <c r="R87" i="183"/>
  <c r="Q87" i="183"/>
  <c r="P87" i="183"/>
  <c r="O87" i="183"/>
  <c r="N87" i="183"/>
  <c r="M87" i="183"/>
  <c r="L87" i="183"/>
  <c r="BU87" i="183" s="1"/>
  <c r="K87" i="183"/>
  <c r="J87" i="183"/>
  <c r="I87" i="183"/>
  <c r="H87" i="183"/>
  <c r="G87" i="183"/>
  <c r="F87" i="183"/>
  <c r="E87" i="183"/>
  <c r="D87" i="183"/>
  <c r="GH87" i="183" s="1"/>
  <c r="GJ87" i="183" s="1"/>
  <c r="C87" i="183"/>
  <c r="B87" i="183"/>
  <c r="A87" i="183"/>
  <c r="BJ87" i="183" s="1"/>
  <c r="GI85" i="183"/>
  <c r="BE45" i="183" s="1"/>
  <c r="GH85" i="183"/>
  <c r="AZ45" i="183" s="1"/>
  <c r="FH85" i="183" s="1"/>
  <c r="GG85" i="183"/>
  <c r="GF85" i="183"/>
  <c r="AR45" i="183" s="1"/>
  <c r="FF85" i="183" s="1"/>
  <c r="GE85" i="183"/>
  <c r="AQ45" i="183" s="1"/>
  <c r="GD85" i="183"/>
  <c r="AP45" i="183" s="1"/>
  <c r="FM85" i="183"/>
  <c r="EX85" i="183"/>
  <c r="EL85" i="183"/>
  <c r="EM85" i="183" s="1"/>
  <c r="EN85" i="183" s="1"/>
  <c r="X45" i="183" s="1"/>
  <c r="EK85" i="183"/>
  <c r="ED85" i="183"/>
  <c r="EB85" i="183"/>
  <c r="DE85" i="183"/>
  <c r="CY85" i="183"/>
  <c r="CU85" i="183"/>
  <c r="CT85" i="183"/>
  <c r="EP85" i="183" s="1"/>
  <c r="CS85" i="183"/>
  <c r="CR85" i="183"/>
  <c r="CQ85" i="183"/>
  <c r="CP85" i="183"/>
  <c r="CO85" i="183"/>
  <c r="FE85" i="183" s="1"/>
  <c r="CN85" i="183"/>
  <c r="CM85" i="183"/>
  <c r="CL85" i="183"/>
  <c r="EH85" i="183" s="1"/>
  <c r="EJ85" i="183" s="1"/>
  <c r="CK85" i="183"/>
  <c r="CJ85" i="183"/>
  <c r="CI85" i="183"/>
  <c r="CH85" i="183"/>
  <c r="CG85" i="183"/>
  <c r="DZ85" i="183" s="1"/>
  <c r="CF85" i="183"/>
  <c r="CW85" i="183" s="1"/>
  <c r="M45" i="183" s="1"/>
  <c r="CE85" i="183"/>
  <c r="CD85" i="183"/>
  <c r="DB85" i="183" s="1"/>
  <c r="CC85" i="183"/>
  <c r="EF85" i="183" s="1"/>
  <c r="CB85" i="183"/>
  <c r="GI84" i="183"/>
  <c r="BE44" i="183" s="1"/>
  <c r="GH84" i="183"/>
  <c r="GG84" i="183"/>
  <c r="AW44" i="183" s="1"/>
  <c r="GF84" i="183"/>
  <c r="AR44" i="183" s="1"/>
  <c r="FF84" i="183" s="1"/>
  <c r="GE84" i="183"/>
  <c r="AQ44" i="183" s="1"/>
  <c r="GD84" i="183"/>
  <c r="AP44" i="183" s="1"/>
  <c r="FM84" i="183"/>
  <c r="EX84" i="183"/>
  <c r="ED84" i="183"/>
  <c r="EB84" i="183"/>
  <c r="DE84" i="183"/>
  <c r="CY84" i="183"/>
  <c r="CU84" i="183"/>
  <c r="EQ84" i="183" s="1"/>
  <c r="ER84" i="183" s="1"/>
  <c r="ES84" i="183" s="1"/>
  <c r="Y44" i="183" s="1"/>
  <c r="CT84" i="183"/>
  <c r="EP84" i="183" s="1"/>
  <c r="CS84" i="183"/>
  <c r="CR84" i="183"/>
  <c r="CQ84" i="183"/>
  <c r="CP84" i="183"/>
  <c r="EA84" i="183" s="1"/>
  <c r="CO84" i="183"/>
  <c r="CX84" i="183" s="1"/>
  <c r="N44" i="183" s="1"/>
  <c r="CN84" i="183"/>
  <c r="CM84" i="183"/>
  <c r="DJ84" i="183" s="1"/>
  <c r="CL84" i="183"/>
  <c r="EH84" i="183" s="1"/>
  <c r="EJ84" i="183" s="1"/>
  <c r="CK84" i="183"/>
  <c r="EK84" i="183" s="1"/>
  <c r="EL84" i="183" s="1"/>
  <c r="EM84" i="183" s="1"/>
  <c r="EN84" i="183" s="1"/>
  <c r="X44" i="183" s="1"/>
  <c r="CJ84" i="183"/>
  <c r="CI84" i="183"/>
  <c r="CH84" i="183"/>
  <c r="CG84" i="183"/>
  <c r="FB84" i="183" s="1"/>
  <c r="CF84" i="183"/>
  <c r="CW84" i="183" s="1"/>
  <c r="M44" i="183" s="1"/>
  <c r="CE84" i="183"/>
  <c r="CD84" i="183"/>
  <c r="DD84" i="183" s="1"/>
  <c r="I44" i="183" s="1"/>
  <c r="BS44" i="183" s="1"/>
  <c r="CC84" i="183"/>
  <c r="EF84" i="183" s="1"/>
  <c r="CB84" i="183"/>
  <c r="GI83" i="183"/>
  <c r="BE43" i="183" s="1"/>
  <c r="GH83" i="183"/>
  <c r="BA43" i="183" s="1"/>
  <c r="GG83" i="183"/>
  <c r="AW43" i="183" s="1"/>
  <c r="GF83" i="183"/>
  <c r="AS43" i="183" s="1"/>
  <c r="GE83" i="183"/>
  <c r="AQ43" i="183" s="1"/>
  <c r="GD83" i="183"/>
  <c r="AP43" i="183" s="1"/>
  <c r="FM83" i="183"/>
  <c r="ED83" i="183"/>
  <c r="DE83" i="183"/>
  <c r="CY83" i="183"/>
  <c r="CU83" i="183"/>
  <c r="CT83" i="183"/>
  <c r="EP83" i="183" s="1"/>
  <c r="CS83" i="183"/>
  <c r="CR83" i="183"/>
  <c r="CQ83" i="183"/>
  <c r="CP83" i="183"/>
  <c r="CO83" i="183"/>
  <c r="CN83" i="183"/>
  <c r="CK83" i="183"/>
  <c r="EK83" i="183" s="1"/>
  <c r="CJ83" i="183"/>
  <c r="CI83" i="183"/>
  <c r="CH83" i="183"/>
  <c r="CG83" i="183"/>
  <c r="CF83" i="183"/>
  <c r="CE83" i="183"/>
  <c r="CB83" i="183"/>
  <c r="GI82" i="183"/>
  <c r="BE42" i="183" s="1"/>
  <c r="GH82" i="183"/>
  <c r="AZ42" i="183" s="1"/>
  <c r="FH82" i="183" s="1"/>
  <c r="GG82" i="183"/>
  <c r="AW42" i="183" s="1"/>
  <c r="GF82" i="183"/>
  <c r="AR42" i="183" s="1"/>
  <c r="FF82" i="183" s="1"/>
  <c r="GE82" i="183"/>
  <c r="AQ42" i="183" s="1"/>
  <c r="GD82" i="183"/>
  <c r="AP42" i="183" s="1"/>
  <c r="FM82" i="183"/>
  <c r="EK82" i="183"/>
  <c r="ED82" i="183"/>
  <c r="DE82" i="183"/>
  <c r="CY82" i="183"/>
  <c r="CU82" i="183"/>
  <c r="EQ82" i="183" s="1"/>
  <c r="ER82" i="183" s="1"/>
  <c r="ES82" i="183" s="1"/>
  <c r="Y42" i="183" s="1"/>
  <c r="CT82" i="183"/>
  <c r="EP82" i="183" s="1"/>
  <c r="CS82" i="183"/>
  <c r="CR82" i="183"/>
  <c r="CQ82" i="183"/>
  <c r="CP82" i="183"/>
  <c r="CO82" i="183"/>
  <c r="CN82" i="183"/>
  <c r="CK82" i="183"/>
  <c r="CJ82" i="183"/>
  <c r="CI82" i="183"/>
  <c r="CH82" i="183"/>
  <c r="CG82" i="183"/>
  <c r="CF82" i="183"/>
  <c r="CE82" i="183"/>
  <c r="CB82" i="183"/>
  <c r="GI81" i="183"/>
  <c r="BE41" i="183" s="1"/>
  <c r="GH81" i="183"/>
  <c r="GG81" i="183"/>
  <c r="AV41" i="183" s="1"/>
  <c r="FG81" i="183" s="1"/>
  <c r="GF81" i="183"/>
  <c r="GE81" i="183"/>
  <c r="AQ41" i="183" s="1"/>
  <c r="GD81" i="183"/>
  <c r="AP41" i="183" s="1"/>
  <c r="FM81" i="183"/>
  <c r="EL81" i="183"/>
  <c r="EM81" i="183" s="1"/>
  <c r="EK81" i="183"/>
  <c r="ED81" i="183"/>
  <c r="DE81" i="183"/>
  <c r="CY81" i="183"/>
  <c r="CU81" i="183"/>
  <c r="EQ81" i="183" s="1"/>
  <c r="ER81" i="183" s="1"/>
  <c r="CT81" i="183"/>
  <c r="EP81" i="183" s="1"/>
  <c r="CS81" i="183"/>
  <c r="CR81" i="183"/>
  <c r="CQ81" i="183"/>
  <c r="CP81" i="183"/>
  <c r="CO81" i="183"/>
  <c r="CN81" i="183"/>
  <c r="CK81" i="183"/>
  <c r="CJ81" i="183"/>
  <c r="CI81" i="183"/>
  <c r="CH81" i="183"/>
  <c r="CG81" i="183"/>
  <c r="CF81" i="183"/>
  <c r="CW81" i="183" s="1"/>
  <c r="M41" i="183" s="1"/>
  <c r="CE81" i="183"/>
  <c r="CB81" i="183"/>
  <c r="GI80" i="183"/>
  <c r="GH80" i="183"/>
  <c r="BA40" i="183" s="1"/>
  <c r="GG80" i="183"/>
  <c r="AW40" i="183" s="1"/>
  <c r="GF80" i="183"/>
  <c r="GE80" i="183"/>
  <c r="AQ40" i="183" s="1"/>
  <c r="GD80" i="183"/>
  <c r="AP40" i="183" s="1"/>
  <c r="FM80" i="183"/>
  <c r="ED80" i="183"/>
  <c r="DE80" i="183"/>
  <c r="CY80" i="183"/>
  <c r="CU80" i="183"/>
  <c r="CT80" i="183"/>
  <c r="EP80" i="183" s="1"/>
  <c r="CS80" i="183"/>
  <c r="CR80" i="183"/>
  <c r="CQ80" i="183"/>
  <c r="CP80" i="183"/>
  <c r="CO80" i="183"/>
  <c r="CN80" i="183"/>
  <c r="CK80" i="183"/>
  <c r="EK80" i="183" s="1"/>
  <c r="CJ80" i="183"/>
  <c r="CI80" i="183"/>
  <c r="CH80" i="183"/>
  <c r="CG80" i="183"/>
  <c r="CF80" i="183"/>
  <c r="CE80" i="183"/>
  <c r="CB80" i="183"/>
  <c r="GI79" i="183"/>
  <c r="BE39" i="183" s="1"/>
  <c r="GH79" i="183"/>
  <c r="AZ39" i="183" s="1"/>
  <c r="FH79" i="183" s="1"/>
  <c r="GG79" i="183"/>
  <c r="AW39" i="183" s="1"/>
  <c r="GF79" i="183"/>
  <c r="AS39" i="183" s="1"/>
  <c r="GE79" i="183"/>
  <c r="AQ39" i="183" s="1"/>
  <c r="GD79" i="183"/>
  <c r="AP39" i="183" s="1"/>
  <c r="FM79" i="183"/>
  <c r="EP79" i="183"/>
  <c r="ED79" i="183"/>
  <c r="DE79" i="183"/>
  <c r="CY79" i="183"/>
  <c r="CU79" i="183"/>
  <c r="CT79" i="183"/>
  <c r="CS79" i="183"/>
  <c r="CR79" i="183"/>
  <c r="CQ79" i="183"/>
  <c r="CP79" i="183"/>
  <c r="CO79" i="183"/>
  <c r="CN79" i="183"/>
  <c r="CK79" i="183"/>
  <c r="EK79" i="183" s="1"/>
  <c r="CJ79" i="183"/>
  <c r="CI79" i="183"/>
  <c r="CH79" i="183"/>
  <c r="CG79" i="183"/>
  <c r="CF79" i="183"/>
  <c r="CE79" i="183"/>
  <c r="CB79" i="183"/>
  <c r="GI78" i="183"/>
  <c r="BD38" i="183" s="1"/>
  <c r="FI78" i="183" s="1"/>
  <c r="GH78" i="183"/>
  <c r="BA38" i="183" s="1"/>
  <c r="GG78" i="183"/>
  <c r="AV38" i="183" s="1"/>
  <c r="FG78" i="183" s="1"/>
  <c r="GF78" i="183"/>
  <c r="AS38" i="183" s="1"/>
  <c r="GE78" i="183"/>
  <c r="AQ38" i="183" s="1"/>
  <c r="GD78" i="183"/>
  <c r="AP38" i="183" s="1"/>
  <c r="FM78" i="183"/>
  <c r="EP78" i="183"/>
  <c r="EQ78" i="183" s="1"/>
  <c r="ER78" i="183" s="1"/>
  <c r="ES78" i="183" s="1"/>
  <c r="Y38" i="183" s="1"/>
  <c r="EK78" i="183"/>
  <c r="ED78" i="183"/>
  <c r="DE78" i="183"/>
  <c r="CY78" i="183"/>
  <c r="CU78" i="183"/>
  <c r="CT78" i="183"/>
  <c r="CS78" i="183"/>
  <c r="CR78" i="183"/>
  <c r="CQ78" i="183"/>
  <c r="CP78" i="183"/>
  <c r="CO78" i="183"/>
  <c r="CN78" i="183"/>
  <c r="CK78" i="183"/>
  <c r="CJ78" i="183"/>
  <c r="CI78" i="183"/>
  <c r="CH78" i="183"/>
  <c r="CG78" i="183"/>
  <c r="CF78" i="183"/>
  <c r="CE78" i="183"/>
  <c r="CB78" i="183"/>
  <c r="GI77" i="183"/>
  <c r="BE37" i="183" s="1"/>
  <c r="GH77" i="183"/>
  <c r="AZ37" i="183" s="1"/>
  <c r="FH77" i="183" s="1"/>
  <c r="GG77" i="183"/>
  <c r="GF77" i="183"/>
  <c r="AR37" i="183" s="1"/>
  <c r="FF77" i="183" s="1"/>
  <c r="GE77" i="183"/>
  <c r="AQ37" i="183" s="1"/>
  <c r="GD77" i="183"/>
  <c r="AP37" i="183" s="1"/>
  <c r="FM77" i="183"/>
  <c r="ER77" i="183"/>
  <c r="ES77" i="183" s="1"/>
  <c r="Y37" i="183" s="1"/>
  <c r="EK77" i="183"/>
  <c r="EL77" i="183" s="1"/>
  <c r="EM77" i="183" s="1"/>
  <c r="ED77" i="183"/>
  <c r="EB77" i="183"/>
  <c r="DE77" i="183"/>
  <c r="CY77" i="183"/>
  <c r="CU77" i="183"/>
  <c r="EQ77" i="183" s="1"/>
  <c r="CT77" i="183"/>
  <c r="EP77" i="183" s="1"/>
  <c r="CS77" i="183"/>
  <c r="CR77" i="183"/>
  <c r="CQ77" i="183"/>
  <c r="CP77" i="183"/>
  <c r="CO77" i="183"/>
  <c r="ET77" i="183" s="1"/>
  <c r="CN77" i="183"/>
  <c r="CK77" i="183"/>
  <c r="CJ77" i="183"/>
  <c r="CI77" i="183"/>
  <c r="CH77" i="183"/>
  <c r="CG77" i="183"/>
  <c r="CF77" i="183"/>
  <c r="CE77" i="183"/>
  <c r="CB77" i="183"/>
  <c r="GI76" i="183"/>
  <c r="BE36" i="183" s="1"/>
  <c r="GH76" i="183"/>
  <c r="GG76" i="183"/>
  <c r="AV36" i="183" s="1"/>
  <c r="FG76" i="183" s="1"/>
  <c r="GF76" i="183"/>
  <c r="AS36" i="183" s="1"/>
  <c r="GE76" i="183"/>
  <c r="AQ36" i="183" s="1"/>
  <c r="GD76" i="183"/>
  <c r="AP36" i="183" s="1"/>
  <c r="FM76" i="183"/>
  <c r="ED76" i="183"/>
  <c r="DE76" i="183"/>
  <c r="CY76" i="183"/>
  <c r="CU76" i="183"/>
  <c r="EQ76" i="183" s="1"/>
  <c r="ER76" i="183" s="1"/>
  <c r="ES76" i="183" s="1"/>
  <c r="Y36" i="183" s="1"/>
  <c r="CT76" i="183"/>
  <c r="EP76" i="183" s="1"/>
  <c r="CS76" i="183"/>
  <c r="CR76" i="183"/>
  <c r="CQ76" i="183"/>
  <c r="CP76" i="183"/>
  <c r="CO76" i="183"/>
  <c r="ET76" i="183" s="1"/>
  <c r="CN76" i="183"/>
  <c r="CK76" i="183"/>
  <c r="EK76" i="183" s="1"/>
  <c r="CJ76" i="183"/>
  <c r="CI76" i="183"/>
  <c r="CH76" i="183"/>
  <c r="CG76" i="183"/>
  <c r="CF76" i="183"/>
  <c r="CE76" i="183"/>
  <c r="CB76" i="183"/>
  <c r="GI75" i="183"/>
  <c r="BE35" i="183" s="1"/>
  <c r="GH75" i="183"/>
  <c r="BA35" i="183" s="1"/>
  <c r="GG75" i="183"/>
  <c r="AV35" i="183" s="1"/>
  <c r="FG75" i="183" s="1"/>
  <c r="GF75" i="183"/>
  <c r="AS35" i="183" s="1"/>
  <c r="GE75" i="183"/>
  <c r="AQ35" i="183" s="1"/>
  <c r="GD75" i="183"/>
  <c r="AP35" i="183" s="1"/>
  <c r="FM75" i="183"/>
  <c r="ED75" i="183"/>
  <c r="DE75" i="183"/>
  <c r="CY75" i="183"/>
  <c r="CU75" i="183"/>
  <c r="CT75" i="183"/>
  <c r="EP75" i="183" s="1"/>
  <c r="CS75" i="183"/>
  <c r="CR75" i="183"/>
  <c r="CQ75" i="183"/>
  <c r="CP75" i="183"/>
  <c r="CO75" i="183"/>
  <c r="CN75" i="183"/>
  <c r="CK75" i="183"/>
  <c r="EK75" i="183" s="1"/>
  <c r="CJ75" i="183"/>
  <c r="CI75" i="183"/>
  <c r="CH75" i="183"/>
  <c r="CG75" i="183"/>
  <c r="CF75" i="183"/>
  <c r="CE75" i="183"/>
  <c r="CB75" i="183"/>
  <c r="GI74" i="183"/>
  <c r="BD34" i="183" s="1"/>
  <c r="FI74" i="183" s="1"/>
  <c r="GH74" i="183"/>
  <c r="BA34" i="183" s="1"/>
  <c r="GG74" i="183"/>
  <c r="AW34" i="183" s="1"/>
  <c r="GF74" i="183"/>
  <c r="AR34" i="183" s="1"/>
  <c r="FF74" i="183" s="1"/>
  <c r="GE74" i="183"/>
  <c r="AQ34" i="183" s="1"/>
  <c r="GD74" i="183"/>
  <c r="AP34" i="183" s="1"/>
  <c r="FM74" i="183"/>
  <c r="EP74" i="183"/>
  <c r="EK74" i="183"/>
  <c r="ED74" i="183"/>
  <c r="DE74" i="183"/>
  <c r="CY74" i="183"/>
  <c r="CU74" i="183"/>
  <c r="CT74" i="183"/>
  <c r="CS74" i="183"/>
  <c r="CR74" i="183"/>
  <c r="CQ74" i="183"/>
  <c r="CP74" i="183"/>
  <c r="CO74" i="183"/>
  <c r="CN74" i="183"/>
  <c r="CK74" i="183"/>
  <c r="CJ74" i="183"/>
  <c r="CI74" i="183"/>
  <c r="CH74" i="183"/>
  <c r="CG74" i="183"/>
  <c r="CF74" i="183"/>
  <c r="CE74" i="183"/>
  <c r="CB74" i="183"/>
  <c r="GI73" i="183"/>
  <c r="BD33" i="183" s="1"/>
  <c r="FI73" i="183" s="1"/>
  <c r="GH73" i="183"/>
  <c r="AZ33" i="183" s="1"/>
  <c r="FH73" i="183" s="1"/>
  <c r="GG73" i="183"/>
  <c r="AV33" i="183" s="1"/>
  <c r="FG73" i="183" s="1"/>
  <c r="GF73" i="183"/>
  <c r="AS33" i="183" s="1"/>
  <c r="GE73" i="183"/>
  <c r="AQ33" i="183" s="1"/>
  <c r="GD73" i="183"/>
  <c r="AP33" i="183" s="1"/>
  <c r="FM73" i="183"/>
  <c r="EK73" i="183"/>
  <c r="EL73" i="183" s="1"/>
  <c r="EM73" i="183" s="1"/>
  <c r="EN73" i="183" s="1"/>
  <c r="X33" i="183" s="1"/>
  <c r="ED73" i="183"/>
  <c r="DE73" i="183"/>
  <c r="CY73" i="183"/>
  <c r="CU73" i="183"/>
  <c r="CT73" i="183"/>
  <c r="EP73" i="183" s="1"/>
  <c r="CS73" i="183"/>
  <c r="CR73" i="183"/>
  <c r="CQ73" i="183"/>
  <c r="CP73" i="183"/>
  <c r="CO73" i="183"/>
  <c r="ET73" i="183" s="1"/>
  <c r="CN73" i="183"/>
  <c r="CK73" i="183"/>
  <c r="CJ73" i="183"/>
  <c r="CI73" i="183"/>
  <c r="CH73" i="183"/>
  <c r="CG73" i="183"/>
  <c r="CF73" i="183"/>
  <c r="CE73" i="183"/>
  <c r="CB73" i="183"/>
  <c r="GI72" i="183"/>
  <c r="GH72" i="183"/>
  <c r="BA32" i="183" s="1"/>
  <c r="GG72" i="183"/>
  <c r="AV32" i="183" s="1"/>
  <c r="FG72" i="183" s="1"/>
  <c r="GF72" i="183"/>
  <c r="AS32" i="183" s="1"/>
  <c r="GE72" i="183"/>
  <c r="AQ32" i="183" s="1"/>
  <c r="GD72" i="183"/>
  <c r="AP32" i="183" s="1"/>
  <c r="FM72" i="183"/>
  <c r="EL72" i="183"/>
  <c r="EM72" i="183" s="1"/>
  <c r="ED72" i="183"/>
  <c r="DE72" i="183"/>
  <c r="CY72" i="183"/>
  <c r="CU72" i="183"/>
  <c r="EQ72" i="183" s="1"/>
  <c r="ER72" i="183" s="1"/>
  <c r="CT72" i="183"/>
  <c r="EP72" i="183" s="1"/>
  <c r="CS72" i="183"/>
  <c r="CR72" i="183"/>
  <c r="CQ72" i="183"/>
  <c r="CP72" i="183"/>
  <c r="CO72" i="183"/>
  <c r="ET72" i="183" s="1"/>
  <c r="CN72" i="183"/>
  <c r="CK72" i="183"/>
  <c r="EK72" i="183" s="1"/>
  <c r="CJ72" i="183"/>
  <c r="CI72" i="183"/>
  <c r="CH72" i="183"/>
  <c r="CG72" i="183"/>
  <c r="CF72" i="183"/>
  <c r="CE72" i="183"/>
  <c r="CB72" i="183"/>
  <c r="GI71" i="183"/>
  <c r="BD31" i="183" s="1"/>
  <c r="FI71" i="183" s="1"/>
  <c r="GH71" i="183"/>
  <c r="BA31" i="183" s="1"/>
  <c r="GG71" i="183"/>
  <c r="AW31" i="183" s="1"/>
  <c r="GF71" i="183"/>
  <c r="AS31" i="183" s="1"/>
  <c r="GE71" i="183"/>
  <c r="AQ31" i="183" s="1"/>
  <c r="GD71" i="183"/>
  <c r="AP31" i="183" s="1"/>
  <c r="FM71" i="183"/>
  <c r="EP71" i="183"/>
  <c r="ED71" i="183"/>
  <c r="DE71" i="183"/>
  <c r="CY71" i="183"/>
  <c r="CU71" i="183"/>
  <c r="CT71" i="183"/>
  <c r="CS71" i="183"/>
  <c r="CR71" i="183"/>
  <c r="CQ71" i="183"/>
  <c r="CP71" i="183"/>
  <c r="CO71" i="183"/>
  <c r="CN71" i="183"/>
  <c r="CK71" i="183"/>
  <c r="EK71" i="183" s="1"/>
  <c r="CJ71" i="183"/>
  <c r="CI71" i="183"/>
  <c r="CH71" i="183"/>
  <c r="CG71" i="183"/>
  <c r="CF71" i="183"/>
  <c r="EO71" i="183" s="1"/>
  <c r="CE71" i="183"/>
  <c r="CB71" i="183"/>
  <c r="GI70" i="183"/>
  <c r="BE30" i="183" s="1"/>
  <c r="GH70" i="183"/>
  <c r="BA30" i="183" s="1"/>
  <c r="GG70" i="183"/>
  <c r="AW30" i="183" s="1"/>
  <c r="GF70" i="183"/>
  <c r="AS30" i="183" s="1"/>
  <c r="GE70" i="183"/>
  <c r="AQ30" i="183" s="1"/>
  <c r="GD70" i="183"/>
  <c r="AP30" i="183" s="1"/>
  <c r="FM70" i="183"/>
  <c r="FK70" i="183"/>
  <c r="FK71" i="183" s="1"/>
  <c r="FJ71" i="183" s="1"/>
  <c r="EK70" i="183"/>
  <c r="ED70" i="183"/>
  <c r="EB70" i="183"/>
  <c r="DE70" i="183"/>
  <c r="CY70" i="183"/>
  <c r="CU70" i="183"/>
  <c r="CT70" i="183"/>
  <c r="EP70" i="183" s="1"/>
  <c r="EQ70" i="183" s="1"/>
  <c r="ER70" i="183" s="1"/>
  <c r="ES70" i="183" s="1"/>
  <c r="Y30" i="183" s="1"/>
  <c r="CS70" i="183"/>
  <c r="CR70" i="183"/>
  <c r="CQ70" i="183"/>
  <c r="CP70" i="183"/>
  <c r="CO70" i="183"/>
  <c r="CN70" i="183"/>
  <c r="CK70" i="183"/>
  <c r="CJ70" i="183"/>
  <c r="CI70" i="183"/>
  <c r="CH70" i="183"/>
  <c r="CG70" i="183"/>
  <c r="CF70" i="183"/>
  <c r="CE70" i="183"/>
  <c r="CB70" i="183"/>
  <c r="GI69" i="183"/>
  <c r="BE29" i="183" s="1"/>
  <c r="GH69" i="183"/>
  <c r="AZ29" i="183" s="1"/>
  <c r="FH69" i="183" s="1"/>
  <c r="GG69" i="183"/>
  <c r="AW29" i="183" s="1"/>
  <c r="GF69" i="183"/>
  <c r="AR29" i="183" s="1"/>
  <c r="GE69" i="183"/>
  <c r="AQ29" i="183" s="1"/>
  <c r="GD69" i="183"/>
  <c r="AP29" i="183" s="1"/>
  <c r="FS69" i="183"/>
  <c r="FM69" i="183"/>
  <c r="FK69" i="183"/>
  <c r="EK69" i="183"/>
  <c r="EL69" i="183" s="1"/>
  <c r="EM69" i="183" s="1"/>
  <c r="ED69" i="183"/>
  <c r="DE69" i="183"/>
  <c r="CY69" i="183"/>
  <c r="CU69" i="183"/>
  <c r="EQ69" i="183" s="1"/>
  <c r="ER69" i="183" s="1"/>
  <c r="ES69" i="183" s="1"/>
  <c r="Y29" i="183" s="1"/>
  <c r="CT69" i="183"/>
  <c r="EP69" i="183" s="1"/>
  <c r="CS69" i="183"/>
  <c r="CR69" i="183"/>
  <c r="CQ69" i="183"/>
  <c r="CP69" i="183"/>
  <c r="CO69" i="183"/>
  <c r="ET69" i="183" s="1"/>
  <c r="CN69" i="183"/>
  <c r="CK69" i="183"/>
  <c r="CJ69" i="183"/>
  <c r="CI69" i="183"/>
  <c r="CH69" i="183"/>
  <c r="CG69" i="183"/>
  <c r="CF69" i="183"/>
  <c r="CE69" i="183"/>
  <c r="CB69" i="183"/>
  <c r="GI68" i="183"/>
  <c r="BE28" i="183" s="1"/>
  <c r="GH68" i="183"/>
  <c r="GG68" i="183"/>
  <c r="AW28" i="183" s="1"/>
  <c r="GF68" i="183"/>
  <c r="AR28" i="183" s="1"/>
  <c r="GE68" i="183"/>
  <c r="AQ28" i="183" s="1"/>
  <c r="GD68" i="183"/>
  <c r="AP28" i="183" s="1"/>
  <c r="FS68" i="183"/>
  <c r="FM68" i="183"/>
  <c r="FK68" i="183"/>
  <c r="FJ69" i="183" s="1"/>
  <c r="FJ68" i="183"/>
  <c r="EM68" i="183"/>
  <c r="EL68" i="183"/>
  <c r="ED68" i="183"/>
  <c r="DE68" i="183"/>
  <c r="CY68" i="183"/>
  <c r="CU68" i="183"/>
  <c r="CT68" i="183"/>
  <c r="EP68" i="183" s="1"/>
  <c r="CS68" i="183"/>
  <c r="CR68" i="183"/>
  <c r="CQ68" i="183"/>
  <c r="CP68" i="183"/>
  <c r="CO68" i="183"/>
  <c r="CN68" i="183"/>
  <c r="CK68" i="183"/>
  <c r="EK68" i="183" s="1"/>
  <c r="CJ68" i="183"/>
  <c r="CI68" i="183"/>
  <c r="CH68" i="183"/>
  <c r="CG68" i="183"/>
  <c r="CF68" i="183"/>
  <c r="CE68" i="183"/>
  <c r="CB68" i="183"/>
  <c r="GI67" i="183"/>
  <c r="BE27" i="183" s="1"/>
  <c r="GH67" i="183"/>
  <c r="BA27" i="183" s="1"/>
  <c r="GF67" i="183"/>
  <c r="AR27" i="183" s="1"/>
  <c r="GD67" i="183"/>
  <c r="AP27" i="183" s="1"/>
  <c r="FS67" i="183"/>
  <c r="FN67" i="183" s="1"/>
  <c r="FM67" i="183"/>
  <c r="FK67" i="183"/>
  <c r="FJ67" i="183" s="1"/>
  <c r="GI66" i="183"/>
  <c r="BD26" i="183" s="1"/>
  <c r="FI66" i="183" s="1"/>
  <c r="GH66" i="183"/>
  <c r="BA26" i="183" s="1"/>
  <c r="GF66" i="183"/>
  <c r="AR26" i="183" s="1"/>
  <c r="AS26" i="183" s="1"/>
  <c r="FF66" i="183" s="1"/>
  <c r="GE66" i="183"/>
  <c r="AQ26" i="183" s="1"/>
  <c r="FS66" i="183"/>
  <c r="FP66" i="183" s="1"/>
  <c r="FM66" i="183"/>
  <c r="FK66" i="183"/>
  <c r="FJ66" i="183" s="1"/>
  <c r="GI65" i="183"/>
  <c r="BE25" i="183" s="1"/>
  <c r="GH65" i="183"/>
  <c r="BA25" i="183" s="1"/>
  <c r="GF65" i="183"/>
  <c r="AR25" i="183" s="1"/>
  <c r="AS25" i="183" s="1"/>
  <c r="FF65" i="183" s="1"/>
  <c r="GD65" i="183"/>
  <c r="AP25" i="183" s="1"/>
  <c r="FS65" i="183"/>
  <c r="FP65" i="183" s="1"/>
  <c r="FM65" i="183"/>
  <c r="FK65" i="183"/>
  <c r="FJ65" i="183" s="1"/>
  <c r="GI64" i="183"/>
  <c r="BE24" i="183" s="1"/>
  <c r="GH64" i="183"/>
  <c r="BA24" i="183" s="1"/>
  <c r="GF64" i="183"/>
  <c r="GE64" i="183"/>
  <c r="AQ24" i="183" s="1"/>
  <c r="FS64" i="183"/>
  <c r="FP64" i="183" s="1"/>
  <c r="FM64" i="183"/>
  <c r="FK64" i="183"/>
  <c r="FJ64" i="183" s="1"/>
  <c r="GI63" i="183"/>
  <c r="BE23" i="183" s="1"/>
  <c r="GH63" i="183"/>
  <c r="BA23" i="183" s="1"/>
  <c r="GF63" i="183"/>
  <c r="AR23" i="183" s="1"/>
  <c r="GD63" i="183"/>
  <c r="AP23" i="183" s="1"/>
  <c r="FS63" i="183"/>
  <c r="FP63" i="183" s="1"/>
  <c r="FM63" i="183"/>
  <c r="FK63" i="183"/>
  <c r="FJ63" i="183" s="1"/>
  <c r="GI62" i="183"/>
  <c r="BE22" i="183" s="1"/>
  <c r="GH62" i="183"/>
  <c r="BA22" i="183" s="1"/>
  <c r="GG62" i="183"/>
  <c r="AV22" i="183" s="1"/>
  <c r="FG62" i="183" s="1"/>
  <c r="GE62" i="183"/>
  <c r="AQ22" i="183" s="1"/>
  <c r="FS62" i="183"/>
  <c r="FP62" i="183" s="1"/>
  <c r="FM62" i="183"/>
  <c r="FK62" i="183"/>
  <c r="FJ62" i="183" s="1"/>
  <c r="GI61" i="183"/>
  <c r="BD21" i="183" s="1"/>
  <c r="FI61" i="183" s="1"/>
  <c r="GH61" i="183"/>
  <c r="BA21" i="183" s="1"/>
  <c r="GG61" i="183"/>
  <c r="AW21" i="183" s="1"/>
  <c r="GE61" i="183"/>
  <c r="AQ21" i="183" s="1"/>
  <c r="FS61" i="183"/>
  <c r="FP61" i="183" s="1"/>
  <c r="FM61" i="183"/>
  <c r="FK61" i="183"/>
  <c r="FJ61" i="183" s="1"/>
  <c r="GI60" i="183"/>
  <c r="BE20" i="183" s="1"/>
  <c r="GH60" i="183"/>
  <c r="BA20" i="183" s="1"/>
  <c r="GF60" i="183"/>
  <c r="AR20" i="183" s="1"/>
  <c r="GE60" i="183"/>
  <c r="AQ20" i="183" s="1"/>
  <c r="FS60" i="183"/>
  <c r="FP60" i="183" s="1"/>
  <c r="FM60" i="183"/>
  <c r="FK60" i="183"/>
  <c r="FJ60" i="183" s="1"/>
  <c r="GI59" i="183"/>
  <c r="BD19" i="183" s="1"/>
  <c r="FI59" i="183" s="1"/>
  <c r="GH59" i="183"/>
  <c r="BA19" i="183" s="1"/>
  <c r="GF59" i="183"/>
  <c r="AR19" i="183" s="1"/>
  <c r="AS19" i="183" s="1"/>
  <c r="GD59" i="183"/>
  <c r="AP19" i="183" s="1"/>
  <c r="FS59" i="183"/>
  <c r="FP59" i="183" s="1"/>
  <c r="FM59" i="183"/>
  <c r="FK59" i="183"/>
  <c r="FJ59" i="183" s="1"/>
  <c r="GI58" i="183"/>
  <c r="BE18" i="183" s="1"/>
  <c r="GH58" i="183"/>
  <c r="BA18" i="183" s="1"/>
  <c r="GF58" i="183"/>
  <c r="AR18" i="183" s="1"/>
  <c r="GE58" i="183"/>
  <c r="AQ18" i="183" s="1"/>
  <c r="FS58" i="183"/>
  <c r="FP58" i="183" s="1"/>
  <c r="FM58" i="183"/>
  <c r="FK58" i="183"/>
  <c r="FJ58" i="183" s="1"/>
  <c r="GI57" i="183"/>
  <c r="BE17" i="183" s="1"/>
  <c r="GH57" i="183"/>
  <c r="BA17" i="183" s="1"/>
  <c r="GF57" i="183"/>
  <c r="AR17" i="183" s="1"/>
  <c r="AS17" i="183" s="1"/>
  <c r="FF57" i="183" s="1"/>
  <c r="GD57" i="183"/>
  <c r="AP17" i="183" s="1"/>
  <c r="FS57" i="183"/>
  <c r="FP57" i="183" s="1"/>
  <c r="FM57" i="183"/>
  <c r="FK57" i="183"/>
  <c r="FJ57" i="183" s="1"/>
  <c r="GI56" i="183"/>
  <c r="BE16" i="183" s="1"/>
  <c r="GH56" i="183"/>
  <c r="BA16" i="183" s="1"/>
  <c r="GG56" i="183"/>
  <c r="AV16" i="183" s="1"/>
  <c r="FG56" i="183" s="1"/>
  <c r="GF56" i="183"/>
  <c r="AR16" i="183" s="1"/>
  <c r="AS16" i="183" s="1"/>
  <c r="GE56" i="183"/>
  <c r="AQ16" i="183" s="1"/>
  <c r="GD56" i="183"/>
  <c r="AP16" i="183" s="1"/>
  <c r="FS56" i="183"/>
  <c r="FP56" i="183" s="1"/>
  <c r="FM56" i="183"/>
  <c r="FK56" i="183"/>
  <c r="FJ56" i="183" s="1"/>
  <c r="GI55" i="183"/>
  <c r="BD15" i="183" s="1"/>
  <c r="FI55" i="183" s="1"/>
  <c r="GH55" i="183"/>
  <c r="BA15" i="183" s="1"/>
  <c r="GG55" i="183"/>
  <c r="AV15" i="183" s="1"/>
  <c r="FG55" i="183" s="1"/>
  <c r="GF55" i="183"/>
  <c r="AR15" i="183" s="1"/>
  <c r="GE55" i="183"/>
  <c r="AQ15" i="183" s="1"/>
  <c r="GD55" i="183"/>
  <c r="AP15" i="183" s="1"/>
  <c r="FS55" i="183"/>
  <c r="FP55" i="183" s="1"/>
  <c r="FM55" i="183"/>
  <c r="FK55" i="183"/>
  <c r="FJ55" i="183" s="1"/>
  <c r="GI54" i="183"/>
  <c r="BE14" i="183" s="1"/>
  <c r="GH54" i="183"/>
  <c r="BA14" i="183" s="1"/>
  <c r="GG54" i="183"/>
  <c r="AV14" i="183" s="1"/>
  <c r="AW14" i="183" s="1"/>
  <c r="GF54" i="183"/>
  <c r="AR14" i="183" s="1"/>
  <c r="AS14" i="183" s="1"/>
  <c r="GE54" i="183"/>
  <c r="AQ14" i="183" s="1"/>
  <c r="GD54" i="183"/>
  <c r="AP14" i="183" s="1"/>
  <c r="FU54" i="183"/>
  <c r="FS54" i="183"/>
  <c r="FP54" i="183" s="1"/>
  <c r="FM54" i="183"/>
  <c r="FK54" i="183"/>
  <c r="HP48" i="183"/>
  <c r="ID48" i="183" s="1"/>
  <c r="HO48" i="183"/>
  <c r="HN48" i="183"/>
  <c r="HM48" i="183"/>
  <c r="HL48" i="183"/>
  <c r="HK48" i="183"/>
  <c r="HJ48" i="183"/>
  <c r="HI48" i="183"/>
  <c r="HH48" i="183"/>
  <c r="HG48" i="183"/>
  <c r="HF48" i="183"/>
  <c r="HE48" i="183"/>
  <c r="HD48" i="183"/>
  <c r="HC48" i="183"/>
  <c r="HB48" i="183"/>
  <c r="HA48" i="183"/>
  <c r="GZ48" i="183"/>
  <c r="GX48" i="183"/>
  <c r="GW48" i="183"/>
  <c r="GV48" i="183"/>
  <c r="GU48" i="183"/>
  <c r="GT48" i="183"/>
  <c r="GS48" i="183"/>
  <c r="GR48" i="183"/>
  <c r="GD48" i="183"/>
  <c r="GC48" i="183"/>
  <c r="GI87" i="183" s="1"/>
  <c r="GB48" i="183"/>
  <c r="GA48" i="183"/>
  <c r="GF45" i="183"/>
  <c r="GC45" i="183"/>
  <c r="EZ45" i="183"/>
  <c r="EY45" i="183"/>
  <c r="EU45" i="183"/>
  <c r="ET45" i="183"/>
  <c r="ES45" i="183"/>
  <c r="ER45" i="183"/>
  <c r="EM45" i="183"/>
  <c r="BQ45" i="183"/>
  <c r="BP45" i="183"/>
  <c r="BO45" i="183"/>
  <c r="BN45" i="183"/>
  <c r="BM45" i="183"/>
  <c r="BG45" i="183"/>
  <c r="BF45" i="183"/>
  <c r="BC45" i="183"/>
  <c r="BB45" i="183"/>
  <c r="AY45" i="183"/>
  <c r="AX45" i="183"/>
  <c r="AU45" i="183"/>
  <c r="AT45" i="183"/>
  <c r="AO45" i="183"/>
  <c r="AN45" i="183"/>
  <c r="AM45" i="183"/>
  <c r="AL45" i="183"/>
  <c r="AK45" i="183"/>
  <c r="AC45" i="183"/>
  <c r="AB45" i="183"/>
  <c r="AA45" i="183"/>
  <c r="F45" i="183"/>
  <c r="B45" i="183"/>
  <c r="A45" i="183"/>
  <c r="EZ44" i="183"/>
  <c r="EY44" i="183"/>
  <c r="EU44" i="183"/>
  <c r="ET44" i="183"/>
  <c r="ES44" i="183"/>
  <c r="ER44" i="183"/>
  <c r="EM44" i="183"/>
  <c r="BO44" i="183"/>
  <c r="BG44" i="183"/>
  <c r="BF44" i="183"/>
  <c r="BC44" i="183"/>
  <c r="BB44" i="183"/>
  <c r="AY44" i="183"/>
  <c r="AX44" i="183"/>
  <c r="AU44" i="183"/>
  <c r="AT44" i="183"/>
  <c r="AO44" i="183"/>
  <c r="AN44" i="183"/>
  <c r="AM44" i="183"/>
  <c r="AL44" i="183"/>
  <c r="AK44" i="183"/>
  <c r="AC44" i="183"/>
  <c r="AB44" i="183"/>
  <c r="AA44" i="183"/>
  <c r="F44" i="183"/>
  <c r="BN44" i="183"/>
  <c r="B44" i="183"/>
  <c r="A44" i="183"/>
  <c r="GF44" i="183" s="1"/>
  <c r="EZ43" i="183"/>
  <c r="ES43" i="183"/>
  <c r="ER43" i="183"/>
  <c r="EM43" i="183"/>
  <c r="BP43" i="183"/>
  <c r="BN43" i="183"/>
  <c r="BO43" i="183" s="1"/>
  <c r="BG43" i="183"/>
  <c r="BF43" i="183"/>
  <c r="BC43" i="183"/>
  <c r="BB43" i="183"/>
  <c r="AY43" i="183"/>
  <c r="AX43" i="183"/>
  <c r="AU43" i="183"/>
  <c r="AT43" i="183"/>
  <c r="AO43" i="183"/>
  <c r="AN43" i="183"/>
  <c r="AM43" i="183"/>
  <c r="AL43" i="183"/>
  <c r="AK43" i="183"/>
  <c r="AC43" i="183"/>
  <c r="AB43" i="183"/>
  <c r="EY43" i="183" s="1"/>
  <c r="AA43" i="183"/>
  <c r="F43" i="183"/>
  <c r="B43" i="183"/>
  <c r="A43" i="183"/>
  <c r="BJ43" i="183" s="1"/>
  <c r="ES42" i="183"/>
  <c r="ER42" i="183"/>
  <c r="EM42" i="183"/>
  <c r="BQ42" i="183"/>
  <c r="BP42" i="183"/>
  <c r="BG42" i="183"/>
  <c r="BF42" i="183"/>
  <c r="BC42" i="183"/>
  <c r="BB42" i="183"/>
  <c r="AY42" i="183"/>
  <c r="AX42" i="183"/>
  <c r="AU42" i="183"/>
  <c r="AT42" i="183"/>
  <c r="AO42" i="183"/>
  <c r="AN42" i="183"/>
  <c r="AM42" i="183"/>
  <c r="AL42" i="183"/>
  <c r="AK42" i="183"/>
  <c r="AC42" i="183"/>
  <c r="AB42" i="183"/>
  <c r="AA42" i="183"/>
  <c r="F42" i="183"/>
  <c r="BN42" i="183"/>
  <c r="BO42" i="183" s="1"/>
  <c r="B42" i="183"/>
  <c r="A42" i="183"/>
  <c r="EY41" i="183"/>
  <c r="ES41" i="183"/>
  <c r="ER41" i="183"/>
  <c r="EM41" i="183"/>
  <c r="BQ41" i="183"/>
  <c r="BP41" i="183"/>
  <c r="BG41" i="183"/>
  <c r="BF41" i="183"/>
  <c r="BC41" i="183"/>
  <c r="BB41" i="183"/>
  <c r="AY41" i="183"/>
  <c r="AX41" i="183"/>
  <c r="AU41" i="183"/>
  <c r="AT41" i="183"/>
  <c r="AO41" i="183"/>
  <c r="AN41" i="183"/>
  <c r="AM41" i="183"/>
  <c r="AL41" i="183"/>
  <c r="AK41" i="183"/>
  <c r="AC41" i="183"/>
  <c r="AB41" i="183"/>
  <c r="AA41" i="183"/>
  <c r="F41" i="183"/>
  <c r="B41" i="183"/>
  <c r="A41" i="183"/>
  <c r="GF40" i="183"/>
  <c r="GB40" i="183" s="1"/>
  <c r="ES40" i="183"/>
  <c r="ER40" i="183"/>
  <c r="EM40" i="183"/>
  <c r="BJ40" i="183"/>
  <c r="BG40" i="183"/>
  <c r="BF40" i="183"/>
  <c r="BC40" i="183"/>
  <c r="BB40" i="183"/>
  <c r="AY40" i="183"/>
  <c r="AX40" i="183"/>
  <c r="AU40" i="183"/>
  <c r="AT40" i="183"/>
  <c r="AO40" i="183"/>
  <c r="AN40" i="183"/>
  <c r="AM40" i="183"/>
  <c r="AL40" i="183"/>
  <c r="AK40" i="183"/>
  <c r="AC40" i="183"/>
  <c r="AB40" i="183"/>
  <c r="AA40" i="183"/>
  <c r="F40" i="183"/>
  <c r="B40" i="183"/>
  <c r="A40" i="183"/>
  <c r="GF39" i="183"/>
  <c r="GA39" i="183"/>
  <c r="ES39" i="183"/>
  <c r="ER39" i="183"/>
  <c r="EM39" i="183"/>
  <c r="BJ39" i="183"/>
  <c r="BG39" i="183"/>
  <c r="BF39" i="183"/>
  <c r="BC39" i="183"/>
  <c r="BB39" i="183"/>
  <c r="AY39" i="183"/>
  <c r="AX39" i="183"/>
  <c r="AU39" i="183"/>
  <c r="AT39" i="183"/>
  <c r="AO39" i="183"/>
  <c r="AN39" i="183"/>
  <c r="AM39" i="183"/>
  <c r="AL39" i="183"/>
  <c r="AK39" i="183"/>
  <c r="AC39" i="183"/>
  <c r="AB39" i="183"/>
  <c r="AA39" i="183"/>
  <c r="F39" i="183"/>
  <c r="B39" i="183"/>
  <c r="A39" i="183"/>
  <c r="ES38" i="183"/>
  <c r="ER38" i="183"/>
  <c r="EM38" i="183"/>
  <c r="BP38" i="183"/>
  <c r="BN38" i="183"/>
  <c r="BO38" i="183" s="1"/>
  <c r="BK38" i="183"/>
  <c r="BG38" i="183"/>
  <c r="BF38" i="183"/>
  <c r="BC38" i="183"/>
  <c r="BB38" i="183"/>
  <c r="AY38" i="183"/>
  <c r="AX38" i="183"/>
  <c r="AU38" i="183"/>
  <c r="AT38" i="183"/>
  <c r="AO38" i="183"/>
  <c r="AN38" i="183"/>
  <c r="AM38" i="183"/>
  <c r="AL38" i="183"/>
  <c r="AK38" i="183"/>
  <c r="AC38" i="183"/>
  <c r="AB38" i="183"/>
  <c r="EY38" i="183" s="1"/>
  <c r="AA38" i="183"/>
  <c r="F38" i="183"/>
  <c r="BQ38" i="183"/>
  <c r="B38" i="183"/>
  <c r="A38" i="183"/>
  <c r="FO38" i="183" s="1"/>
  <c r="GF37" i="183"/>
  <c r="EZ37" i="183"/>
  <c r="EY37" i="183"/>
  <c r="ES37" i="183"/>
  <c r="ER37" i="183"/>
  <c r="EM37" i="183"/>
  <c r="BQ37" i="183"/>
  <c r="BP37" i="183"/>
  <c r="BN37" i="183"/>
  <c r="BO37" i="183" s="1"/>
  <c r="BG37" i="183"/>
  <c r="BF37" i="183"/>
  <c r="BC37" i="183"/>
  <c r="BB37" i="183"/>
  <c r="AY37" i="183"/>
  <c r="AX37" i="183"/>
  <c r="AU37" i="183"/>
  <c r="AT37" i="183"/>
  <c r="AO37" i="183"/>
  <c r="AN37" i="183"/>
  <c r="AM37" i="183"/>
  <c r="AL37" i="183"/>
  <c r="AK37" i="183"/>
  <c r="AC37" i="183"/>
  <c r="AB37" i="183"/>
  <c r="AA37" i="183"/>
  <c r="F37" i="183"/>
  <c r="B37" i="183"/>
  <c r="A37" i="183"/>
  <c r="GA36" i="183"/>
  <c r="EZ36" i="183"/>
  <c r="EY36" i="183"/>
  <c r="ES36" i="183"/>
  <c r="ER36" i="183"/>
  <c r="EM36" i="183"/>
  <c r="BG36" i="183"/>
  <c r="BF36" i="183"/>
  <c r="BC36" i="183"/>
  <c r="BB36" i="183"/>
  <c r="AY36" i="183"/>
  <c r="AX36" i="183"/>
  <c r="AU36" i="183"/>
  <c r="AT36" i="183"/>
  <c r="AO36" i="183"/>
  <c r="AN36" i="183"/>
  <c r="AM36" i="183"/>
  <c r="AL36" i="183"/>
  <c r="AK36" i="183"/>
  <c r="AC36" i="183"/>
  <c r="AB36" i="183"/>
  <c r="AA36" i="183"/>
  <c r="F36" i="183"/>
  <c r="B36" i="183"/>
  <c r="A36" i="183"/>
  <c r="GF36" i="183" s="1"/>
  <c r="ES35" i="183"/>
  <c r="ER35" i="183"/>
  <c r="EM35" i="183"/>
  <c r="BP35" i="183"/>
  <c r="BJ35" i="183"/>
  <c r="BG35" i="183"/>
  <c r="BF35" i="183"/>
  <c r="BC35" i="183"/>
  <c r="BB35" i="183"/>
  <c r="AY35" i="183"/>
  <c r="AX35" i="183"/>
  <c r="AU35" i="183"/>
  <c r="AT35" i="183"/>
  <c r="AO35" i="183"/>
  <c r="AN35" i="183"/>
  <c r="AM35" i="183"/>
  <c r="AL35" i="183"/>
  <c r="AK35" i="183"/>
  <c r="AC35" i="183"/>
  <c r="AB35" i="183"/>
  <c r="EY35" i="183" s="1"/>
  <c r="AA35" i="183"/>
  <c r="F35" i="183"/>
  <c r="B35" i="183"/>
  <c r="A35" i="183"/>
  <c r="ES34" i="183"/>
  <c r="ER34" i="183"/>
  <c r="EM34" i="183"/>
  <c r="BP34" i="183"/>
  <c r="BG34" i="183"/>
  <c r="BF34" i="183"/>
  <c r="BC34" i="183"/>
  <c r="BB34" i="183"/>
  <c r="AY34" i="183"/>
  <c r="AX34" i="183"/>
  <c r="AU34" i="183"/>
  <c r="AT34" i="183"/>
  <c r="AO34" i="183"/>
  <c r="AN34" i="183"/>
  <c r="AM34" i="183"/>
  <c r="AL34" i="183"/>
  <c r="AK34" i="183"/>
  <c r="AC34" i="183"/>
  <c r="AB34" i="183"/>
  <c r="AA34" i="183"/>
  <c r="F34" i="183"/>
  <c r="BQ34" i="183"/>
  <c r="B34" i="183"/>
  <c r="A34" i="183"/>
  <c r="GF34" i="183" s="1"/>
  <c r="GF33" i="183"/>
  <c r="GA33" i="183" s="1"/>
  <c r="ES33" i="183"/>
  <c r="ER33" i="183"/>
  <c r="EM33" i="183"/>
  <c r="BP33" i="183"/>
  <c r="BG33" i="183"/>
  <c r="BF33" i="183"/>
  <c r="BC33" i="183"/>
  <c r="BB33" i="183"/>
  <c r="AY33" i="183"/>
  <c r="AX33" i="183"/>
  <c r="AU33" i="183"/>
  <c r="AT33" i="183"/>
  <c r="AO33" i="183"/>
  <c r="AN33" i="183"/>
  <c r="AM33" i="183"/>
  <c r="AL33" i="183"/>
  <c r="AK33" i="183"/>
  <c r="AC33" i="183"/>
  <c r="AB33" i="183"/>
  <c r="AA33" i="183"/>
  <c r="F33" i="183"/>
  <c r="B33" i="183"/>
  <c r="A33" i="183"/>
  <c r="BJ33" i="183" s="1"/>
  <c r="GF32" i="183"/>
  <c r="ES32" i="183"/>
  <c r="ER32" i="183"/>
  <c r="EM32" i="183"/>
  <c r="BQ32" i="183"/>
  <c r="BJ32" i="183"/>
  <c r="BG32" i="183"/>
  <c r="BF32" i="183"/>
  <c r="BC32" i="183"/>
  <c r="BB32" i="183"/>
  <c r="AY32" i="183"/>
  <c r="AX32" i="183"/>
  <c r="AU32" i="183"/>
  <c r="AT32" i="183"/>
  <c r="AO32" i="183"/>
  <c r="AN32" i="183"/>
  <c r="AM32" i="183"/>
  <c r="AL32" i="183"/>
  <c r="AK32" i="183"/>
  <c r="AC32" i="183"/>
  <c r="AB32" i="183"/>
  <c r="EY32" i="183" s="1"/>
  <c r="AA32" i="183"/>
  <c r="F32" i="183"/>
  <c r="BN32" i="183"/>
  <c r="B32" i="183"/>
  <c r="A32" i="183"/>
  <c r="GF31" i="183"/>
  <c r="GA31" i="183"/>
  <c r="EY31" i="183"/>
  <c r="ES31" i="183"/>
  <c r="ER31" i="183"/>
  <c r="EM31" i="183"/>
  <c r="BJ31" i="183"/>
  <c r="BG31" i="183"/>
  <c r="BF31" i="183"/>
  <c r="BC31" i="183"/>
  <c r="BB31" i="183"/>
  <c r="AY31" i="183"/>
  <c r="AX31" i="183"/>
  <c r="AU31" i="183"/>
  <c r="AT31" i="183"/>
  <c r="AO31" i="183"/>
  <c r="AN31" i="183"/>
  <c r="AM31" i="183"/>
  <c r="AL31" i="183"/>
  <c r="AK31" i="183"/>
  <c r="AC31" i="183"/>
  <c r="AB31" i="183"/>
  <c r="AA31" i="183"/>
  <c r="F31" i="183"/>
  <c r="B31" i="183"/>
  <c r="A31" i="183"/>
  <c r="EZ30" i="183"/>
  <c r="EY30" i="183"/>
  <c r="ES30" i="183"/>
  <c r="ER30" i="183"/>
  <c r="EM30" i="183"/>
  <c r="BP30" i="183"/>
  <c r="BN30" i="183"/>
  <c r="BO30" i="183" s="1"/>
  <c r="BG30" i="183"/>
  <c r="BF30" i="183"/>
  <c r="BC30" i="183"/>
  <c r="BB30" i="183"/>
  <c r="AY30" i="183"/>
  <c r="AX30" i="183"/>
  <c r="AU30" i="183"/>
  <c r="AT30" i="183"/>
  <c r="AO30" i="183"/>
  <c r="AN30" i="183"/>
  <c r="AM30" i="183"/>
  <c r="AL30" i="183"/>
  <c r="AK30" i="183"/>
  <c r="AC30" i="183"/>
  <c r="AB30" i="183"/>
  <c r="FQ30" i="183" s="1"/>
  <c r="AA30" i="183"/>
  <c r="F30" i="183"/>
  <c r="BQ30" i="183"/>
  <c r="B30" i="183"/>
  <c r="A30" i="183"/>
  <c r="GF30" i="183" s="1"/>
  <c r="ES29" i="183"/>
  <c r="ER29" i="183"/>
  <c r="EM29" i="183"/>
  <c r="BQ29" i="183"/>
  <c r="BP29" i="183"/>
  <c r="BN29" i="183"/>
  <c r="BO29" i="183" s="1"/>
  <c r="BG29" i="183"/>
  <c r="BF29" i="183"/>
  <c r="BC29" i="183"/>
  <c r="BB29" i="183"/>
  <c r="AY29" i="183"/>
  <c r="AX29" i="183"/>
  <c r="AU29" i="183"/>
  <c r="AT29" i="183"/>
  <c r="AO29" i="183"/>
  <c r="AN29" i="183"/>
  <c r="AM29" i="183"/>
  <c r="AL29" i="183"/>
  <c r="AK29" i="183"/>
  <c r="AC29" i="183"/>
  <c r="AB29" i="183"/>
  <c r="AA29" i="183"/>
  <c r="F29" i="183"/>
  <c r="B29" i="183"/>
  <c r="A29" i="183"/>
  <c r="FO29" i="183" s="1"/>
  <c r="FO28" i="183"/>
  <c r="ES28" i="183"/>
  <c r="ER28" i="183"/>
  <c r="EM28" i="183"/>
  <c r="BN28" i="183"/>
  <c r="BO28" i="183" s="1"/>
  <c r="BG28" i="183"/>
  <c r="BF28" i="183"/>
  <c r="BC28" i="183"/>
  <c r="BB28" i="183"/>
  <c r="AY28" i="183"/>
  <c r="AX28" i="183"/>
  <c r="AU28" i="183"/>
  <c r="AT28" i="183"/>
  <c r="AO28" i="183"/>
  <c r="AN28" i="183"/>
  <c r="AM28" i="183"/>
  <c r="AL28" i="183"/>
  <c r="AK28" i="183"/>
  <c r="AC28" i="183"/>
  <c r="AB28" i="183"/>
  <c r="AA28" i="183"/>
  <c r="F28" i="183"/>
  <c r="BQ28" i="183"/>
  <c r="B28" i="183"/>
  <c r="A28" i="183"/>
  <c r="BG27" i="183"/>
  <c r="BF27" i="183"/>
  <c r="BC27" i="183"/>
  <c r="BB27" i="183"/>
  <c r="AY27" i="183"/>
  <c r="AX27" i="183"/>
  <c r="AU27" i="183"/>
  <c r="AT27" i="183"/>
  <c r="AO27" i="183"/>
  <c r="AN27" i="183"/>
  <c r="AM27" i="183"/>
  <c r="AL27" i="183"/>
  <c r="AK27" i="183"/>
  <c r="AC27" i="183"/>
  <c r="AB27" i="183"/>
  <c r="IC26" i="183"/>
  <c r="HX26" i="183"/>
  <c r="HW26" i="183"/>
  <c r="HT26" i="183"/>
  <c r="HO26" i="183"/>
  <c r="HN26" i="183"/>
  <c r="HK26" i="183"/>
  <c r="HF26" i="183"/>
  <c r="HD26" i="183"/>
  <c r="BG26" i="183"/>
  <c r="BF26" i="183"/>
  <c r="BC26" i="183"/>
  <c r="BB26" i="183"/>
  <c r="AY26" i="183"/>
  <c r="AX26" i="183"/>
  <c r="AU26" i="183"/>
  <c r="AT26" i="183"/>
  <c r="AO26" i="183"/>
  <c r="AN26" i="183"/>
  <c r="AM26" i="183"/>
  <c r="AL26" i="183"/>
  <c r="AK26" i="183"/>
  <c r="AC26" i="183"/>
  <c r="AB26" i="183"/>
  <c r="BG25" i="183"/>
  <c r="BF25" i="183"/>
  <c r="BC25" i="183"/>
  <c r="BB25" i="183"/>
  <c r="AY25" i="183"/>
  <c r="AX25" i="183"/>
  <c r="AU25" i="183"/>
  <c r="AT25" i="183"/>
  <c r="AO25" i="183"/>
  <c r="AN25" i="183"/>
  <c r="AM25" i="183"/>
  <c r="AL25" i="183"/>
  <c r="AK25" i="183"/>
  <c r="AC25" i="183"/>
  <c r="AB25" i="183"/>
  <c r="FQ25" i="183" s="1"/>
  <c r="BG24" i="183"/>
  <c r="BF24" i="183"/>
  <c r="BC24" i="183"/>
  <c r="BB24" i="183"/>
  <c r="AY24" i="183"/>
  <c r="AX24" i="183"/>
  <c r="AU24" i="183"/>
  <c r="AT24" i="183"/>
  <c r="AO24" i="183"/>
  <c r="AN24" i="183"/>
  <c r="AM24" i="183"/>
  <c r="AL24" i="183"/>
  <c r="AK24" i="183"/>
  <c r="AC24" i="183"/>
  <c r="AB24" i="183"/>
  <c r="BG23" i="183"/>
  <c r="BF23" i="183"/>
  <c r="BC23" i="183"/>
  <c r="BB23" i="183"/>
  <c r="AY23" i="183"/>
  <c r="AX23" i="183"/>
  <c r="AU23" i="183"/>
  <c r="AT23" i="183"/>
  <c r="AO23" i="183"/>
  <c r="AN23" i="183"/>
  <c r="AM23" i="183"/>
  <c r="AL23" i="183"/>
  <c r="AK23" i="183"/>
  <c r="AC23" i="183"/>
  <c r="AB23" i="183"/>
  <c r="HB22" i="183"/>
  <c r="HC22" i="183" s="1"/>
  <c r="HD22" i="183" s="1"/>
  <c r="HE22" i="183" s="1"/>
  <c r="HF22" i="183" s="1"/>
  <c r="HG22" i="183" s="1"/>
  <c r="HH22" i="183" s="1"/>
  <c r="HI22" i="183" s="1"/>
  <c r="HJ22" i="183" s="1"/>
  <c r="HK22" i="183" s="1"/>
  <c r="HL22" i="183" s="1"/>
  <c r="HM22" i="183" s="1"/>
  <c r="HN22" i="183" s="1"/>
  <c r="HO22" i="183" s="1"/>
  <c r="HP22" i="183" s="1"/>
  <c r="HQ22" i="183" s="1"/>
  <c r="HR22" i="183" s="1"/>
  <c r="HS22" i="183" s="1"/>
  <c r="HT22" i="183" s="1"/>
  <c r="HU22" i="183" s="1"/>
  <c r="HV22" i="183" s="1"/>
  <c r="HW22" i="183" s="1"/>
  <c r="HX22" i="183" s="1"/>
  <c r="HY22" i="183" s="1"/>
  <c r="HZ22" i="183" s="1"/>
  <c r="IA22" i="183" s="1"/>
  <c r="IB22" i="183" s="1"/>
  <c r="BZ22" i="183"/>
  <c r="BG22" i="183"/>
  <c r="BF22" i="183"/>
  <c r="BC22" i="183"/>
  <c r="BB22" i="183"/>
  <c r="AY22" i="183"/>
  <c r="AX22" i="183"/>
  <c r="AU22" i="183"/>
  <c r="AT22" i="183"/>
  <c r="AO22" i="183"/>
  <c r="AN22" i="183"/>
  <c r="AM22" i="183"/>
  <c r="AL22" i="183"/>
  <c r="AK22" i="183"/>
  <c r="AC22" i="183"/>
  <c r="AB22" i="183"/>
  <c r="HC21" i="183"/>
  <c r="HD21" i="183" s="1"/>
  <c r="HE21" i="183" s="1"/>
  <c r="HF21" i="183" s="1"/>
  <c r="HG21" i="183" s="1"/>
  <c r="HH21" i="183" s="1"/>
  <c r="HI21" i="183" s="1"/>
  <c r="HJ21" i="183" s="1"/>
  <c r="HK21" i="183" s="1"/>
  <c r="HL21" i="183" s="1"/>
  <c r="HM21" i="183" s="1"/>
  <c r="HN21" i="183" s="1"/>
  <c r="HO21" i="183" s="1"/>
  <c r="HP21" i="183" s="1"/>
  <c r="HQ21" i="183" s="1"/>
  <c r="HR21" i="183" s="1"/>
  <c r="HS21" i="183" s="1"/>
  <c r="HT21" i="183" s="1"/>
  <c r="HU21" i="183" s="1"/>
  <c r="HV21" i="183" s="1"/>
  <c r="HW21" i="183" s="1"/>
  <c r="HX21" i="183" s="1"/>
  <c r="HY21" i="183" s="1"/>
  <c r="HZ21" i="183" s="1"/>
  <c r="IA21" i="183" s="1"/>
  <c r="IB21" i="183" s="1"/>
  <c r="IC21" i="183" s="1"/>
  <c r="ID21" i="183" s="1"/>
  <c r="IF9" i="183" s="1"/>
  <c r="IG9" i="183" s="1"/>
  <c r="IH9" i="183" s="1"/>
  <c r="II9" i="183" s="1"/>
  <c r="IJ9" i="183" s="1"/>
  <c r="IK9" i="183" s="1"/>
  <c r="IL9" i="183" s="1"/>
  <c r="IM9" i="183" s="1"/>
  <c r="IN9" i="183" s="1"/>
  <c r="IO9" i="183" s="1"/>
  <c r="IP9" i="183" s="1"/>
  <c r="IQ9" i="183" s="1"/>
  <c r="IR9" i="183" s="1"/>
  <c r="IS9" i="183" s="1"/>
  <c r="IT9" i="183" s="1"/>
  <c r="IU9" i="183" s="1"/>
  <c r="IV9" i="183" s="1"/>
  <c r="IW9" i="183" s="1"/>
  <c r="IX9" i="183" s="1"/>
  <c r="IY9" i="183" s="1"/>
  <c r="IZ9" i="183" s="1"/>
  <c r="JA9" i="183" s="1"/>
  <c r="JB9" i="183" s="1"/>
  <c r="JC9" i="183" s="1"/>
  <c r="JD9" i="183" s="1"/>
  <c r="JE9" i="183" s="1"/>
  <c r="JF9" i="183" s="1"/>
  <c r="JG9" i="183" s="1"/>
  <c r="JH9" i="183" s="1"/>
  <c r="HB21" i="183"/>
  <c r="BZ21" i="183"/>
  <c r="BG21" i="183"/>
  <c r="BF21" i="183"/>
  <c r="BC21" i="183"/>
  <c r="BB21" i="183"/>
  <c r="AY21" i="183"/>
  <c r="AX21" i="183"/>
  <c r="AU21" i="183"/>
  <c r="AT21" i="183"/>
  <c r="AO21" i="183"/>
  <c r="AN21" i="183"/>
  <c r="AM21" i="183"/>
  <c r="AL21" i="183"/>
  <c r="AK21" i="183"/>
  <c r="AC21" i="183"/>
  <c r="AB21" i="183"/>
  <c r="FQ21" i="183" s="1"/>
  <c r="HC20" i="183"/>
  <c r="HD20" i="183" s="1"/>
  <c r="HE20" i="183" s="1"/>
  <c r="HF20" i="183" s="1"/>
  <c r="HG20" i="183" s="1"/>
  <c r="HH20" i="183" s="1"/>
  <c r="HI20" i="183" s="1"/>
  <c r="HJ20" i="183" s="1"/>
  <c r="HK20" i="183" s="1"/>
  <c r="HL20" i="183" s="1"/>
  <c r="HM20" i="183" s="1"/>
  <c r="HN20" i="183" s="1"/>
  <c r="HO20" i="183" s="1"/>
  <c r="HP20" i="183" s="1"/>
  <c r="HQ20" i="183" s="1"/>
  <c r="HR20" i="183" s="1"/>
  <c r="HS20" i="183" s="1"/>
  <c r="HT20" i="183" s="1"/>
  <c r="HU20" i="183" s="1"/>
  <c r="HV20" i="183" s="1"/>
  <c r="HW20" i="183" s="1"/>
  <c r="HX20" i="183" s="1"/>
  <c r="HY20" i="183" s="1"/>
  <c r="HZ20" i="183" s="1"/>
  <c r="HB20" i="183"/>
  <c r="BZ20" i="183"/>
  <c r="BG20" i="183"/>
  <c r="BF20" i="183"/>
  <c r="BC20" i="183"/>
  <c r="BB20" i="183"/>
  <c r="AY20" i="183"/>
  <c r="AX20" i="183"/>
  <c r="AU20" i="183"/>
  <c r="AT20" i="183"/>
  <c r="AO20" i="183"/>
  <c r="AN20" i="183"/>
  <c r="AM20" i="183"/>
  <c r="AL20" i="183"/>
  <c r="AK20" i="183"/>
  <c r="AC20" i="183"/>
  <c r="AB20" i="183"/>
  <c r="FQ20" i="183" s="1"/>
  <c r="HB19" i="183"/>
  <c r="HC19" i="183" s="1"/>
  <c r="HD19" i="183" s="1"/>
  <c r="HE19" i="183" s="1"/>
  <c r="HF19" i="183" s="1"/>
  <c r="HG19" i="183" s="1"/>
  <c r="HH19" i="183" s="1"/>
  <c r="HI19" i="183" s="1"/>
  <c r="HJ19" i="183" s="1"/>
  <c r="HK19" i="183" s="1"/>
  <c r="HL19" i="183" s="1"/>
  <c r="HM19" i="183" s="1"/>
  <c r="HN19" i="183" s="1"/>
  <c r="HO19" i="183" s="1"/>
  <c r="HP19" i="183" s="1"/>
  <c r="HQ19" i="183" s="1"/>
  <c r="HR19" i="183" s="1"/>
  <c r="HS19" i="183" s="1"/>
  <c r="HT19" i="183" s="1"/>
  <c r="HU19" i="183" s="1"/>
  <c r="HV19" i="183" s="1"/>
  <c r="HW19" i="183" s="1"/>
  <c r="HX19" i="183" s="1"/>
  <c r="HY19" i="183" s="1"/>
  <c r="HZ19" i="183" s="1"/>
  <c r="IA19" i="183" s="1"/>
  <c r="IB19" i="183" s="1"/>
  <c r="IC19" i="183" s="1"/>
  <c r="ID19" i="183" s="1"/>
  <c r="BZ19" i="183"/>
  <c r="BG19" i="183"/>
  <c r="BF19" i="183"/>
  <c r="BC19" i="183"/>
  <c r="BB19" i="183"/>
  <c r="AY19" i="183"/>
  <c r="AX19" i="183"/>
  <c r="AU19" i="183"/>
  <c r="AT19" i="183"/>
  <c r="AO19" i="183"/>
  <c r="AN19" i="183"/>
  <c r="AM19" i="183"/>
  <c r="AL19" i="183"/>
  <c r="AK19" i="183"/>
  <c r="AC19" i="183"/>
  <c r="AB19" i="183"/>
  <c r="FQ18" i="183"/>
  <c r="BG18" i="183"/>
  <c r="BF18" i="183"/>
  <c r="BC18" i="183"/>
  <c r="BB18" i="183"/>
  <c r="AY18" i="183"/>
  <c r="AX18" i="183"/>
  <c r="AU18" i="183"/>
  <c r="AT18" i="183"/>
  <c r="AO18" i="183"/>
  <c r="AN18" i="183"/>
  <c r="AM18" i="183"/>
  <c r="AL18" i="183"/>
  <c r="AK18" i="183"/>
  <c r="AC18" i="183"/>
  <c r="AB18" i="183"/>
  <c r="BG17" i="183"/>
  <c r="BF17" i="183"/>
  <c r="BC17" i="183"/>
  <c r="BB17" i="183"/>
  <c r="AY17" i="183"/>
  <c r="AX17" i="183"/>
  <c r="AU17" i="183"/>
  <c r="AT17" i="183"/>
  <c r="AO17" i="183"/>
  <c r="AN17" i="183"/>
  <c r="AM17" i="183"/>
  <c r="AL17" i="183"/>
  <c r="AK17" i="183"/>
  <c r="AC17" i="183"/>
  <c r="AB17" i="183"/>
  <c r="BZ16" i="183"/>
  <c r="BG16" i="183"/>
  <c r="BF16" i="183"/>
  <c r="BC16" i="183"/>
  <c r="BB16" i="183"/>
  <c r="AY16" i="183"/>
  <c r="AX16" i="183"/>
  <c r="AU16" i="183"/>
  <c r="AT16" i="183"/>
  <c r="AO16" i="183"/>
  <c r="AN16" i="183"/>
  <c r="AM16" i="183"/>
  <c r="AL16" i="183"/>
  <c r="AK16" i="183"/>
  <c r="AC16" i="183"/>
  <c r="AB16" i="183"/>
  <c r="BZ15" i="183"/>
  <c r="BG15" i="183"/>
  <c r="BF15" i="183"/>
  <c r="BC15" i="183"/>
  <c r="BB15" i="183"/>
  <c r="AY15" i="183"/>
  <c r="AX15" i="183"/>
  <c r="AU15" i="183"/>
  <c r="AT15" i="183"/>
  <c r="AO15" i="183"/>
  <c r="AN15" i="183"/>
  <c r="AM15" i="183"/>
  <c r="AL15" i="183"/>
  <c r="AK15" i="183"/>
  <c r="AC15" i="183"/>
  <c r="AB15" i="183"/>
  <c r="FQ15" i="183" s="1"/>
  <c r="JL14" i="183"/>
  <c r="JL15" i="183" s="1"/>
  <c r="JL16" i="183" s="1"/>
  <c r="JL17" i="183" s="1"/>
  <c r="JL18" i="183" s="1"/>
  <c r="JL19" i="183" s="1"/>
  <c r="JL20" i="183" s="1"/>
  <c r="JL21" i="183" s="1"/>
  <c r="JL22" i="183" s="1"/>
  <c r="JL23" i="183" s="1"/>
  <c r="JL24" i="183" s="1"/>
  <c r="JL25" i="183" s="1"/>
  <c r="JL26" i="183" s="1"/>
  <c r="JL27" i="183" s="1"/>
  <c r="JL28" i="183" s="1"/>
  <c r="JL29" i="183" s="1"/>
  <c r="JL30" i="183" s="1"/>
  <c r="JL31" i="183" s="1"/>
  <c r="JL32" i="183" s="1"/>
  <c r="JL33" i="183" s="1"/>
  <c r="JL34" i="183" s="1"/>
  <c r="JL35" i="183" s="1"/>
  <c r="JL36" i="183" s="1"/>
  <c r="JL37" i="183" s="1"/>
  <c r="JL38" i="183" s="1"/>
  <c r="JL39" i="183" s="1"/>
  <c r="JL40" i="183" s="1"/>
  <c r="JL41" i="183" s="1"/>
  <c r="JL42" i="183" s="1"/>
  <c r="JL43" i="183" s="1"/>
  <c r="JL44" i="183" s="1"/>
  <c r="JL45" i="183" s="1"/>
  <c r="EZ14" i="183"/>
  <c r="BX14" i="183"/>
  <c r="EX14" i="183" s="1"/>
  <c r="BG14" i="183"/>
  <c r="BF14" i="183"/>
  <c r="BC14" i="183"/>
  <c r="BB14" i="183"/>
  <c r="AY14" i="183"/>
  <c r="AX14" i="183"/>
  <c r="AU14" i="183"/>
  <c r="AT14" i="183"/>
  <c r="AO14" i="183"/>
  <c r="AN14" i="183"/>
  <c r="AM14" i="183"/>
  <c r="AL14" i="183"/>
  <c r="AK14" i="183"/>
  <c r="AC14" i="183"/>
  <c r="AB14" i="183"/>
  <c r="FO45" i="183" s="1"/>
  <c r="JJ12" i="183"/>
  <c r="JF12" i="183"/>
  <c r="JE12" i="183"/>
  <c r="JB12" i="183"/>
  <c r="IX12" i="183"/>
  <c r="IW12" i="183"/>
  <c r="IT12" i="183"/>
  <c r="IP12" i="183"/>
  <c r="IO12" i="183"/>
  <c r="IL12" i="183"/>
  <c r="II10" i="183"/>
  <c r="IJ10" i="183" s="1"/>
  <c r="IK10" i="183" s="1"/>
  <c r="IL10" i="183" s="1"/>
  <c r="IM10" i="183" s="1"/>
  <c r="IN10" i="183" s="1"/>
  <c r="IO10" i="183" s="1"/>
  <c r="IP10" i="183" s="1"/>
  <c r="IQ10" i="183" s="1"/>
  <c r="IR10" i="183" s="1"/>
  <c r="IS10" i="183" s="1"/>
  <c r="IT10" i="183" s="1"/>
  <c r="IU10" i="183" s="1"/>
  <c r="IV10" i="183" s="1"/>
  <c r="IW10" i="183" s="1"/>
  <c r="IX10" i="183" s="1"/>
  <c r="IY10" i="183" s="1"/>
  <c r="IZ10" i="183" s="1"/>
  <c r="JA10" i="183" s="1"/>
  <c r="JB10" i="183" s="1"/>
  <c r="JC10" i="183" s="1"/>
  <c r="JD10" i="183" s="1"/>
  <c r="JE10" i="183" s="1"/>
  <c r="JF10" i="183" s="1"/>
  <c r="JG10" i="183" s="1"/>
  <c r="JH10" i="183" s="1"/>
  <c r="JI10" i="183" s="1"/>
  <c r="JJ10" i="183" s="1"/>
  <c r="JK10" i="183" s="1"/>
  <c r="IH10" i="183"/>
  <c r="IG10" i="183"/>
  <c r="BE10" i="183"/>
  <c r="Z10" i="183"/>
  <c r="T10" i="183"/>
  <c r="AX10" i="183" s="1"/>
  <c r="C10" i="183"/>
  <c r="AE10" i="183" s="1"/>
  <c r="AE9" i="183"/>
  <c r="T9" i="183"/>
  <c r="AX9" i="183" s="1"/>
  <c r="C9" i="183"/>
  <c r="IG7" i="183"/>
  <c r="IH7" i="183" s="1"/>
  <c r="II7" i="183" s="1"/>
  <c r="IJ7" i="183" s="1"/>
  <c r="IK7" i="183" s="1"/>
  <c r="IL7" i="183" s="1"/>
  <c r="IM7" i="183" s="1"/>
  <c r="IN7" i="183" s="1"/>
  <c r="IO7" i="183" s="1"/>
  <c r="IP7" i="183" s="1"/>
  <c r="IQ7" i="183" s="1"/>
  <c r="IR7" i="183" s="1"/>
  <c r="IS7" i="183" s="1"/>
  <c r="IT7" i="183" s="1"/>
  <c r="IU7" i="183" s="1"/>
  <c r="IV7" i="183" s="1"/>
  <c r="IW7" i="183" s="1"/>
  <c r="IX7" i="183" s="1"/>
  <c r="IY7" i="183" s="1"/>
  <c r="IZ7" i="183" s="1"/>
  <c r="JA7" i="183" s="1"/>
  <c r="JB7" i="183" s="1"/>
  <c r="JC7" i="183" s="1"/>
  <c r="JD7" i="183" s="1"/>
  <c r="JE7" i="183" s="1"/>
  <c r="JF7" i="183" s="1"/>
  <c r="JG7" i="183" s="1"/>
  <c r="JH7" i="183" s="1"/>
  <c r="JI7" i="183" s="1"/>
  <c r="JJ7" i="183" s="1"/>
  <c r="BB7" i="183"/>
  <c r="M7" i="183"/>
  <c r="IG6" i="183"/>
  <c r="IH6" i="183" s="1"/>
  <c r="II6" i="183" s="1"/>
  <c r="IJ6" i="183" s="1"/>
  <c r="IK6" i="183" s="1"/>
  <c r="IL6" i="183" s="1"/>
  <c r="IM6" i="183" s="1"/>
  <c r="IN6" i="183" s="1"/>
  <c r="IO6" i="183" s="1"/>
  <c r="IP6" i="183" s="1"/>
  <c r="IQ6" i="183" s="1"/>
  <c r="IR6" i="183" s="1"/>
  <c r="IS6" i="183" s="1"/>
  <c r="IT6" i="183" s="1"/>
  <c r="IU6" i="183" s="1"/>
  <c r="IV6" i="183" s="1"/>
  <c r="IW6" i="183" s="1"/>
  <c r="IX6" i="183" s="1"/>
  <c r="IY6" i="183" s="1"/>
  <c r="IZ6" i="183" s="1"/>
  <c r="JA6" i="183" s="1"/>
  <c r="JB6" i="183" s="1"/>
  <c r="JC6" i="183" s="1"/>
  <c r="JD6" i="183" s="1"/>
  <c r="JE6" i="183" s="1"/>
  <c r="JF6" i="183" s="1"/>
  <c r="JG6" i="183" s="1"/>
  <c r="JH6" i="183" s="1"/>
  <c r="X6" i="183"/>
  <c r="BB6" i="183" s="1"/>
  <c r="M6" i="183"/>
  <c r="EX5" i="183"/>
  <c r="FF4" i="183"/>
  <c r="FE4" i="183"/>
  <c r="FD4" i="183"/>
  <c r="FC4" i="183"/>
  <c r="EB82" i="183" s="1"/>
  <c r="FB4" i="183"/>
  <c r="FA4" i="183"/>
  <c r="EZ4" i="183"/>
  <c r="EY4" i="183"/>
  <c r="FG2" i="183"/>
  <c r="FE2" i="183"/>
  <c r="EU72" i="183" s="1"/>
  <c r="FC2" i="183"/>
  <c r="FA2" i="183"/>
  <c r="HA1" i="183"/>
  <c r="IB26" i="183" s="1"/>
  <c r="FG1" i="183"/>
  <c r="FA1" i="183"/>
  <c r="FB1" i="183" s="1"/>
  <c r="BK1" i="183"/>
  <c r="BK87" i="183" s="1"/>
  <c r="BJ1" i="183"/>
  <c r="Q4" i="183" s="1"/>
  <c r="AU4" i="183" s="1"/>
  <c r="R99" i="182"/>
  <c r="R98" i="182"/>
  <c r="R97" i="182"/>
  <c r="R96" i="182"/>
  <c r="R95" i="182"/>
  <c r="R94" i="182"/>
  <c r="R93" i="182"/>
  <c r="R92" i="182"/>
  <c r="R91" i="182"/>
  <c r="R90" i="182"/>
  <c r="R89" i="182"/>
  <c r="R88" i="182"/>
  <c r="R87" i="182"/>
  <c r="R86" i="182"/>
  <c r="R85" i="182"/>
  <c r="R84" i="182"/>
  <c r="R83" i="182"/>
  <c r="R82" i="182"/>
  <c r="R81" i="182"/>
  <c r="R80" i="182"/>
  <c r="R79" i="182"/>
  <c r="R78" i="182"/>
  <c r="R77" i="182"/>
  <c r="R76" i="182"/>
  <c r="R75" i="182"/>
  <c r="R74" i="182"/>
  <c r="R73" i="182"/>
  <c r="R72" i="182"/>
  <c r="R71" i="182"/>
  <c r="R70" i="182"/>
  <c r="R69" i="182"/>
  <c r="R68" i="182"/>
  <c r="R67" i="182"/>
  <c r="R66" i="182"/>
  <c r="R65" i="182"/>
  <c r="R64" i="182"/>
  <c r="R63" i="182"/>
  <c r="R62" i="182"/>
  <c r="R61" i="182"/>
  <c r="R60" i="182"/>
  <c r="R59" i="182"/>
  <c r="R58" i="182"/>
  <c r="R57" i="182"/>
  <c r="R56" i="182"/>
  <c r="R55" i="182"/>
  <c r="R54" i="182"/>
  <c r="R53" i="182"/>
  <c r="R52" i="182"/>
  <c r="R51" i="182"/>
  <c r="R50" i="182"/>
  <c r="R49" i="182"/>
  <c r="R48" i="182"/>
  <c r="R47" i="182"/>
  <c r="R46" i="182"/>
  <c r="R45" i="182"/>
  <c r="R44" i="182"/>
  <c r="R43" i="182"/>
  <c r="R42" i="182"/>
  <c r="R41" i="182"/>
  <c r="R40" i="182"/>
  <c r="R39" i="182"/>
  <c r="R38" i="182"/>
  <c r="R37" i="182"/>
  <c r="R36" i="182"/>
  <c r="R35" i="182"/>
  <c r="R34" i="182"/>
  <c r="R33" i="182"/>
  <c r="R32" i="182"/>
  <c r="L32" i="182"/>
  <c r="N32" i="182" s="1"/>
  <c r="O32" i="182" s="1" a="1"/>
  <c r="O32" i="182" s="1"/>
  <c r="R31" i="182"/>
  <c r="N31" i="182"/>
  <c r="O31" i="182" s="1" a="1"/>
  <c r="O31" i="182" s="1"/>
  <c r="L31" i="182"/>
  <c r="R30" i="182"/>
  <c r="N30" i="182"/>
  <c r="O30" i="182" s="1" a="1"/>
  <c r="O30" i="182" s="1"/>
  <c r="L30" i="182"/>
  <c r="R29" i="182"/>
  <c r="N29" i="182"/>
  <c r="O29" i="182" s="1" a="1"/>
  <c r="O29" i="182" s="1"/>
  <c r="L29" i="182"/>
  <c r="R28" i="182"/>
  <c r="L28" i="182"/>
  <c r="N28" i="182" s="1"/>
  <c r="O28" i="182" s="1" a="1"/>
  <c r="O28" i="182" s="1"/>
  <c r="R27" i="182"/>
  <c r="L27" i="182"/>
  <c r="N27" i="182" s="1"/>
  <c r="O27" i="182" s="1" a="1"/>
  <c r="O27" i="182" s="1"/>
  <c r="R26" i="182"/>
  <c r="L26" i="182"/>
  <c r="N26" i="182" s="1"/>
  <c r="O26" i="182" s="1" a="1"/>
  <c r="O26" i="182" s="1"/>
  <c r="R25" i="182"/>
  <c r="N25" i="182"/>
  <c r="O25" i="182" s="1" a="1"/>
  <c r="O25" i="182" s="1"/>
  <c r="L25" i="182"/>
  <c r="R24" i="182"/>
  <c r="L24" i="182"/>
  <c r="N24" i="182" s="1"/>
  <c r="O24" i="182" s="1" a="1"/>
  <c r="O24" i="182" s="1"/>
  <c r="R23" i="182"/>
  <c r="N23" i="182"/>
  <c r="O23" i="182" s="1" a="1"/>
  <c r="O23" i="182" s="1"/>
  <c r="L23" i="182"/>
  <c r="R22" i="182"/>
  <c r="N22" i="182"/>
  <c r="O22" i="182" s="1" a="1"/>
  <c r="O22" i="182" s="1"/>
  <c r="L22" i="182"/>
  <c r="R21" i="182"/>
  <c r="N21" i="182"/>
  <c r="O21" i="182" s="1" a="1"/>
  <c r="O21" i="182" s="1"/>
  <c r="L21" i="182"/>
  <c r="R20" i="182"/>
  <c r="L20" i="182"/>
  <c r="N20" i="182" s="1"/>
  <c r="O20" i="182" s="1" a="1"/>
  <c r="O20" i="182" s="1"/>
  <c r="R19" i="182"/>
  <c r="L19" i="182"/>
  <c r="N19" i="182" s="1"/>
  <c r="O19" i="182" s="1" a="1"/>
  <c r="O19" i="182" s="1"/>
  <c r="R18" i="182"/>
  <c r="L18" i="182"/>
  <c r="N18" i="182" s="1"/>
  <c r="O18" i="182" s="1" a="1"/>
  <c r="O18" i="182" s="1"/>
  <c r="R17" i="182"/>
  <c r="R16" i="182"/>
  <c r="L16" i="182"/>
  <c r="N16" i="182" s="1"/>
  <c r="O16" i="182" s="1" a="1"/>
  <c r="O16" i="182" s="1"/>
  <c r="R15" i="182"/>
  <c r="N15" i="182"/>
  <c r="O15" i="182" s="1" a="1"/>
  <c r="O15" i="182" s="1"/>
  <c r="L15" i="182"/>
  <c r="R14" i="182"/>
  <c r="N14" i="182"/>
  <c r="O14" i="182" s="1" a="1"/>
  <c r="O14" i="182" s="1"/>
  <c r="L14" i="182"/>
  <c r="R13" i="182"/>
  <c r="N13" i="182"/>
  <c r="O13" i="182" s="1" a="1"/>
  <c r="O13" i="182" s="1"/>
  <c r="L13" i="182"/>
  <c r="P10" i="182"/>
  <c r="J10" i="182"/>
  <c r="G10" i="182"/>
  <c r="B10" i="182"/>
  <c r="G9" i="182"/>
  <c r="B9" i="182"/>
  <c r="H6" i="182"/>
  <c r="D4" i="182"/>
  <c r="D2" i="182"/>
  <c r="M1" i="182"/>
  <c r="L1" i="182"/>
  <c r="D1" i="182"/>
  <c r="R55" i="181"/>
  <c r="R54" i="181"/>
  <c r="R53" i="181"/>
  <c r="R52" i="181"/>
  <c r="R51" i="181"/>
  <c r="R50" i="181"/>
  <c r="R49" i="181"/>
  <c r="R48" i="181"/>
  <c r="R47" i="181"/>
  <c r="R46" i="181"/>
  <c r="R45" i="181"/>
  <c r="AO44" i="181"/>
  <c r="P44" i="181" s="1"/>
  <c r="R44" i="181"/>
  <c r="R43" i="181"/>
  <c r="AO42" i="181"/>
  <c r="AO43" i="181" s="1"/>
  <c r="P43" i="181" s="1"/>
  <c r="R42" i="181"/>
  <c r="R41" i="181"/>
  <c r="R40" i="181"/>
  <c r="R39" i="181"/>
  <c r="AO38" i="181"/>
  <c r="P38" i="181" s="1"/>
  <c r="R38" i="181"/>
  <c r="R37" i="181"/>
  <c r="R36" i="181"/>
  <c r="R35" i="181"/>
  <c r="AO34" i="181"/>
  <c r="AO35" i="181" s="1"/>
  <c r="R34" i="181"/>
  <c r="R33" i="181"/>
  <c r="R32" i="181"/>
  <c r="AO31" i="181"/>
  <c r="AO32" i="181" s="1"/>
  <c r="R31" i="181"/>
  <c r="CC30" i="181"/>
  <c r="CB30" i="181"/>
  <c r="CA30" i="181"/>
  <c r="BZ30" i="181"/>
  <c r="BY30" i="181"/>
  <c r="BX30" i="181"/>
  <c r="BW30" i="181"/>
  <c r="BV30" i="181"/>
  <c r="BU30" i="181"/>
  <c r="BT30" i="181"/>
  <c r="BS30" i="181"/>
  <c r="BR30" i="181"/>
  <c r="BQ30" i="181"/>
  <c r="BP30" i="181"/>
  <c r="BO30" i="181"/>
  <c r="BN30" i="181"/>
  <c r="BM30" i="181"/>
  <c r="BL30" i="181"/>
  <c r="BK30" i="181"/>
  <c r="BJ30" i="181"/>
  <c r="BI30" i="181"/>
  <c r="BH30" i="181"/>
  <c r="BG30" i="181"/>
  <c r="BF30" i="181"/>
  <c r="R30" i="181"/>
  <c r="AO29" i="181"/>
  <c r="P29" i="181" s="1"/>
  <c r="R29" i="181"/>
  <c r="R28" i="181"/>
  <c r="AO27" i="181"/>
  <c r="AO28" i="181" s="1"/>
  <c r="P28" i="181" s="1"/>
  <c r="R27" i="181"/>
  <c r="P27" i="181"/>
  <c r="R26" i="181"/>
  <c r="R25" i="181"/>
  <c r="AO24" i="181"/>
  <c r="AO25" i="181" s="1"/>
  <c r="P25" i="181" s="1"/>
  <c r="R24" i="181"/>
  <c r="P24" i="181"/>
  <c r="R23" i="181"/>
  <c r="AO22" i="181"/>
  <c r="P22" i="181" s="1"/>
  <c r="R22" i="181"/>
  <c r="R21" i="181"/>
  <c r="AO20" i="181"/>
  <c r="P20" i="181" s="1"/>
  <c r="R20" i="181"/>
  <c r="R19" i="181"/>
  <c r="R18" i="181"/>
  <c r="R17" i="181"/>
  <c r="R16" i="181"/>
  <c r="AO15" i="181"/>
  <c r="AO16" i="181" s="1"/>
  <c r="R15" i="181"/>
  <c r="AO14" i="181"/>
  <c r="P14" i="181" s="1"/>
  <c r="R14" i="181"/>
  <c r="N10" i="181"/>
  <c r="K10" i="181"/>
  <c r="B10" i="181"/>
  <c r="K9" i="181"/>
  <c r="B9" i="181"/>
  <c r="N6" i="181"/>
  <c r="I4" i="181"/>
  <c r="T1" i="181"/>
  <c r="S1" i="181"/>
  <c r="I1" i="181" s="1"/>
  <c r="R55" i="180"/>
  <c r="R54" i="180"/>
  <c r="R53" i="180"/>
  <c r="R52" i="180"/>
  <c r="R51" i="180"/>
  <c r="AO50" i="180"/>
  <c r="P50" i="180" s="1"/>
  <c r="R50" i="180"/>
  <c r="R49" i="180"/>
  <c r="R48" i="180"/>
  <c r="R47" i="180"/>
  <c r="AO46" i="180"/>
  <c r="P46" i="180" s="1"/>
  <c r="R46" i="180"/>
  <c r="R45" i="180"/>
  <c r="R44" i="180"/>
  <c r="R43" i="180"/>
  <c r="AO42" i="180"/>
  <c r="P42" i="180" s="1"/>
  <c r="R42" i="180"/>
  <c r="R41" i="180"/>
  <c r="AO40" i="180"/>
  <c r="AO41" i="180" s="1"/>
  <c r="P41" i="180" s="1"/>
  <c r="R40" i="180"/>
  <c r="R39" i="180"/>
  <c r="R38" i="180"/>
  <c r="R37" i="180"/>
  <c r="R36" i="180"/>
  <c r="R35" i="180"/>
  <c r="AO34" i="180"/>
  <c r="P34" i="180" s="1"/>
  <c r="R34" i="180"/>
  <c r="AO33" i="180"/>
  <c r="P33" i="180" s="1"/>
  <c r="R33" i="180"/>
  <c r="R32" i="180"/>
  <c r="R31" i="180"/>
  <c r="CC30" i="180"/>
  <c r="CB30" i="180"/>
  <c r="CA30" i="180"/>
  <c r="BZ30" i="180"/>
  <c r="BY30" i="180"/>
  <c r="BX30" i="180"/>
  <c r="BW30" i="180"/>
  <c r="BV30" i="180"/>
  <c r="BU30" i="180"/>
  <c r="BT30" i="180"/>
  <c r="BS30" i="180"/>
  <c r="BR30" i="180"/>
  <c r="BQ30" i="180"/>
  <c r="BP30" i="180"/>
  <c r="BO30" i="180"/>
  <c r="BN30" i="180"/>
  <c r="BM30" i="180"/>
  <c r="BL30" i="180"/>
  <c r="BK30" i="180"/>
  <c r="BJ30" i="180"/>
  <c r="BI30" i="180"/>
  <c r="BH30" i="180"/>
  <c r="BG30" i="180"/>
  <c r="BF30" i="180"/>
  <c r="R30" i="180"/>
  <c r="AO29" i="180"/>
  <c r="AO30" i="180" s="1"/>
  <c r="P30" i="180" s="1"/>
  <c r="R29" i="180"/>
  <c r="R28" i="180"/>
  <c r="R27" i="180"/>
  <c r="AO26" i="180"/>
  <c r="P26" i="180" s="1"/>
  <c r="R26" i="180"/>
  <c r="AO25" i="180"/>
  <c r="P25" i="180" s="1"/>
  <c r="R25" i="180"/>
  <c r="R24" i="180"/>
  <c r="R23" i="180"/>
  <c r="AO22" i="180"/>
  <c r="P22" i="180" s="1"/>
  <c r="R22" i="180"/>
  <c r="AO21" i="180"/>
  <c r="R21" i="180"/>
  <c r="P21" i="180"/>
  <c r="R20" i="180"/>
  <c r="R19" i="180"/>
  <c r="AO18" i="180"/>
  <c r="P18" i="180" s="1"/>
  <c r="R18" i="180"/>
  <c r="AO17" i="180"/>
  <c r="R17" i="180"/>
  <c r="P17" i="180"/>
  <c r="R16" i="180"/>
  <c r="R15" i="180"/>
  <c r="AO14" i="180"/>
  <c r="P14" i="180" s="1"/>
  <c r="R14" i="180"/>
  <c r="N10" i="180"/>
  <c r="K10" i="180"/>
  <c r="B10" i="180"/>
  <c r="K9" i="180"/>
  <c r="B9" i="180"/>
  <c r="N6" i="180"/>
  <c r="T1" i="180"/>
  <c r="S1" i="180"/>
  <c r="I1" i="180" s="1"/>
  <c r="R55" i="179"/>
  <c r="R54" i="179"/>
  <c r="R53" i="179"/>
  <c r="AO52" i="179"/>
  <c r="AO53" i="179" s="1"/>
  <c r="R52" i="179"/>
  <c r="R51" i="179"/>
  <c r="R50" i="179"/>
  <c r="R49" i="179"/>
  <c r="AO48" i="179"/>
  <c r="P48" i="179" s="1"/>
  <c r="R48" i="179"/>
  <c r="R47" i="179"/>
  <c r="AO46" i="179"/>
  <c r="AO47" i="179" s="1"/>
  <c r="P47" i="179" s="1"/>
  <c r="R46" i="179"/>
  <c r="P46" i="179"/>
  <c r="R45" i="179"/>
  <c r="R44" i="179"/>
  <c r="R43" i="179"/>
  <c r="R42" i="179"/>
  <c r="R41" i="179"/>
  <c r="AO40" i="179"/>
  <c r="P40" i="179" s="1"/>
  <c r="R40" i="179"/>
  <c r="R39" i="179"/>
  <c r="R38" i="179"/>
  <c r="R37" i="179"/>
  <c r="R36" i="179"/>
  <c r="AO35" i="179"/>
  <c r="P35" i="179" s="1"/>
  <c r="R35" i="179"/>
  <c r="R34" i="179"/>
  <c r="R33" i="179"/>
  <c r="R32" i="179"/>
  <c r="R31" i="179"/>
  <c r="CC30" i="179"/>
  <c r="CB30" i="179"/>
  <c r="CA30" i="179"/>
  <c r="BZ30" i="179"/>
  <c r="BY30" i="179"/>
  <c r="BX30" i="179"/>
  <c r="BW30" i="179"/>
  <c r="BV30" i="179"/>
  <c r="BU30" i="179"/>
  <c r="BT30" i="179"/>
  <c r="BS30" i="179"/>
  <c r="BR30" i="179"/>
  <c r="BQ30" i="179"/>
  <c r="BP30" i="179"/>
  <c r="BO30" i="179"/>
  <c r="BN30" i="179"/>
  <c r="BM30" i="179"/>
  <c r="BL30" i="179"/>
  <c r="BK30" i="179"/>
  <c r="BJ30" i="179"/>
  <c r="BI30" i="179"/>
  <c r="BH30" i="179"/>
  <c r="BG30" i="179"/>
  <c r="BF30" i="179"/>
  <c r="AO30" i="179"/>
  <c r="AO31" i="179" s="1"/>
  <c r="P31" i="179" s="1"/>
  <c r="R30" i="179"/>
  <c r="P30" i="179"/>
  <c r="R29" i="179"/>
  <c r="R28" i="179"/>
  <c r="R27" i="179"/>
  <c r="R26" i="179"/>
  <c r="AO25" i="179"/>
  <c r="AO26" i="179" s="1"/>
  <c r="R25" i="179"/>
  <c r="R24" i="179"/>
  <c r="R23" i="179"/>
  <c r="R22" i="179"/>
  <c r="R21" i="179"/>
  <c r="AO20" i="179"/>
  <c r="AO21" i="179" s="1"/>
  <c r="R20" i="179"/>
  <c r="R19" i="179"/>
  <c r="R18" i="179"/>
  <c r="R17" i="179"/>
  <c r="R16" i="179"/>
  <c r="AO15" i="179"/>
  <c r="P15" i="179" s="1"/>
  <c r="R15" i="179"/>
  <c r="AO14" i="179"/>
  <c r="P14" i="179" s="1"/>
  <c r="R14" i="179"/>
  <c r="N10" i="179"/>
  <c r="K10" i="179"/>
  <c r="B10" i="179"/>
  <c r="K9" i="179"/>
  <c r="B9" i="179"/>
  <c r="N6" i="179"/>
  <c r="I2" i="179"/>
  <c r="T1" i="179"/>
  <c r="S1" i="179"/>
  <c r="I4" i="179" s="1"/>
  <c r="I1" i="179"/>
  <c r="R55" i="178"/>
  <c r="R54" i="178"/>
  <c r="R53" i="178"/>
  <c r="R52" i="178"/>
  <c r="R51" i="178"/>
  <c r="R50" i="178"/>
  <c r="AO49" i="178"/>
  <c r="AO50" i="178" s="1"/>
  <c r="R49" i="178"/>
  <c r="R48" i="178"/>
  <c r="R47" i="178"/>
  <c r="R46" i="178"/>
  <c r="R45" i="178"/>
  <c r="AO44" i="178"/>
  <c r="P44" i="178" s="1"/>
  <c r="R44" i="178"/>
  <c r="R43" i="178"/>
  <c r="R42" i="178"/>
  <c r="R41" i="178"/>
  <c r="R40" i="178"/>
  <c r="AO39" i="178"/>
  <c r="P39" i="178" s="1"/>
  <c r="R39" i="178"/>
  <c r="R38" i="178"/>
  <c r="R37" i="178"/>
  <c r="AO36" i="178"/>
  <c r="P36" i="178" s="1"/>
  <c r="R36" i="178"/>
  <c r="R35" i="178"/>
  <c r="AO34" i="178"/>
  <c r="AO35" i="178" s="1"/>
  <c r="P35" i="178" s="1"/>
  <c r="R34" i="178"/>
  <c r="P34" i="178"/>
  <c r="R33" i="178"/>
  <c r="R32" i="178"/>
  <c r="R31" i="178"/>
  <c r="CC30" i="178"/>
  <c r="CB30" i="178"/>
  <c r="CA30" i="178"/>
  <c r="BZ30" i="178"/>
  <c r="BY30" i="178"/>
  <c r="BX30" i="178"/>
  <c r="BW30" i="178"/>
  <c r="BV30" i="178"/>
  <c r="BU30" i="178"/>
  <c r="BT30" i="178"/>
  <c r="BS30" i="178"/>
  <c r="BR30" i="178"/>
  <c r="BQ30" i="178"/>
  <c r="BP30" i="178"/>
  <c r="BO30" i="178"/>
  <c r="BN30" i="178"/>
  <c r="BM30" i="178"/>
  <c r="BL30" i="178"/>
  <c r="BK30" i="178"/>
  <c r="BJ30" i="178"/>
  <c r="BI30" i="178"/>
  <c r="BH30" i="178"/>
  <c r="BG30" i="178"/>
  <c r="BF30" i="178"/>
  <c r="AO30" i="178"/>
  <c r="AO31" i="178" s="1"/>
  <c r="R30" i="178"/>
  <c r="R29" i="178"/>
  <c r="R28" i="178"/>
  <c r="R27" i="178"/>
  <c r="AO26" i="178"/>
  <c r="AO27" i="178" s="1"/>
  <c r="R26" i="178"/>
  <c r="P26" i="178"/>
  <c r="R25" i="178"/>
  <c r="R24" i="178"/>
  <c r="R23" i="178"/>
  <c r="R22" i="178"/>
  <c r="AO21" i="178"/>
  <c r="P21" i="178" s="1"/>
  <c r="R21" i="178"/>
  <c r="R20" i="178"/>
  <c r="R19" i="178"/>
  <c r="R18" i="178"/>
  <c r="R17" i="178"/>
  <c r="R16" i="178"/>
  <c r="R15" i="178"/>
  <c r="AO14" i="178"/>
  <c r="AO15" i="178" s="1"/>
  <c r="R14" i="178"/>
  <c r="P14" i="178"/>
  <c r="N10" i="178"/>
  <c r="K10" i="178"/>
  <c r="B10" i="178"/>
  <c r="K9" i="178"/>
  <c r="B9" i="178"/>
  <c r="N6" i="178"/>
  <c r="I2" i="178"/>
  <c r="T1" i="178"/>
  <c r="S1" i="178"/>
  <c r="I4" i="178" s="1"/>
  <c r="I1" i="178"/>
  <c r="AG50" i="177"/>
  <c r="O50" i="177"/>
  <c r="N50" i="177"/>
  <c r="M50" i="177"/>
  <c r="L50" i="177"/>
  <c r="K50" i="177"/>
  <c r="J50" i="177"/>
  <c r="I50" i="177"/>
  <c r="H50" i="177"/>
  <c r="G50" i="177"/>
  <c r="F50" i="177"/>
  <c r="E50" i="177"/>
  <c r="D50" i="177"/>
  <c r="C50" i="177"/>
  <c r="B50" i="177"/>
  <c r="AG49" i="177"/>
  <c r="P49" i="177"/>
  <c r="AG48" i="177"/>
  <c r="P48" i="177"/>
  <c r="AG47" i="177"/>
  <c r="P47" i="177"/>
  <c r="AG46" i="177"/>
  <c r="P46" i="177"/>
  <c r="AG45" i="177"/>
  <c r="P45" i="177"/>
  <c r="AG44" i="177"/>
  <c r="P44" i="177"/>
  <c r="AG43" i="177"/>
  <c r="P43" i="177"/>
  <c r="AG42" i="177"/>
  <c r="P42" i="177"/>
  <c r="AG41" i="177"/>
  <c r="P41" i="177"/>
  <c r="AG40" i="177"/>
  <c r="P40" i="177"/>
  <c r="AG39" i="177"/>
  <c r="P39" i="177"/>
  <c r="AG38" i="177"/>
  <c r="P38" i="177"/>
  <c r="AG37" i="177"/>
  <c r="P37" i="177"/>
  <c r="AG36" i="177"/>
  <c r="P36" i="177"/>
  <c r="AG35" i="177"/>
  <c r="P35" i="177"/>
  <c r="AG34" i="177"/>
  <c r="P34" i="177"/>
  <c r="AG33" i="177"/>
  <c r="P33" i="177"/>
  <c r="AG32" i="177"/>
  <c r="P32" i="177"/>
  <c r="AG31" i="177"/>
  <c r="P31" i="177"/>
  <c r="AG30" i="177"/>
  <c r="P30" i="177"/>
  <c r="AG29" i="177"/>
  <c r="P29" i="177"/>
  <c r="AG28" i="177"/>
  <c r="P28" i="177"/>
  <c r="AG27" i="177"/>
  <c r="P27" i="177"/>
  <c r="AG26" i="177"/>
  <c r="P26" i="177"/>
  <c r="AG25" i="177"/>
  <c r="P25" i="177"/>
  <c r="AG24" i="177"/>
  <c r="P24" i="177"/>
  <c r="AG23" i="177"/>
  <c r="P23" i="177"/>
  <c r="AG22" i="177"/>
  <c r="P22" i="177"/>
  <c r="AG21" i="177"/>
  <c r="P21" i="177"/>
  <c r="AG20" i="177"/>
  <c r="P20" i="177"/>
  <c r="AG19" i="177"/>
  <c r="P19" i="177"/>
  <c r="AG18" i="177"/>
  <c r="P18" i="177"/>
  <c r="AG17" i="177"/>
  <c r="P17" i="177"/>
  <c r="AG16" i="177"/>
  <c r="P16" i="177"/>
  <c r="AG15" i="177"/>
  <c r="P15" i="177"/>
  <c r="AG14" i="177"/>
  <c r="P14" i="177"/>
  <c r="N10" i="177"/>
  <c r="J10" i="177"/>
  <c r="B10" i="177"/>
  <c r="J9" i="177"/>
  <c r="B9" i="177"/>
  <c r="L6" i="177"/>
  <c r="H4" i="177"/>
  <c r="H2" i="177"/>
  <c r="S1" i="177"/>
  <c r="H1" i="177"/>
  <c r="AG50" i="176"/>
  <c r="O50" i="176"/>
  <c r="N50" i="176"/>
  <c r="M50" i="176"/>
  <c r="L50" i="176"/>
  <c r="K50" i="176"/>
  <c r="J50" i="176"/>
  <c r="I50" i="176"/>
  <c r="H50" i="176"/>
  <c r="G50" i="176"/>
  <c r="F50" i="176"/>
  <c r="E50" i="176"/>
  <c r="D50" i="176"/>
  <c r="C50" i="176"/>
  <c r="B50" i="176"/>
  <c r="AG49" i="176"/>
  <c r="P49" i="176"/>
  <c r="AG48" i="176"/>
  <c r="P48" i="176"/>
  <c r="AG47" i="176"/>
  <c r="P47" i="176"/>
  <c r="AG46" i="176"/>
  <c r="P46" i="176"/>
  <c r="AG45" i="176"/>
  <c r="P45" i="176"/>
  <c r="AG44" i="176"/>
  <c r="P44" i="176"/>
  <c r="AG43" i="176"/>
  <c r="P43" i="176"/>
  <c r="AG42" i="176"/>
  <c r="P42" i="176"/>
  <c r="AG41" i="176"/>
  <c r="P41" i="176"/>
  <c r="AG40" i="176"/>
  <c r="P40" i="176"/>
  <c r="AG39" i="176"/>
  <c r="P39" i="176"/>
  <c r="AG38" i="176"/>
  <c r="P38" i="176"/>
  <c r="AG37" i="176"/>
  <c r="P37" i="176"/>
  <c r="AG36" i="176"/>
  <c r="P36" i="176"/>
  <c r="AG35" i="176"/>
  <c r="P35" i="176"/>
  <c r="AG34" i="176"/>
  <c r="P34" i="176"/>
  <c r="AG33" i="176"/>
  <c r="P33" i="176"/>
  <c r="AG32" i="176"/>
  <c r="P32" i="176"/>
  <c r="AG31" i="176"/>
  <c r="P31" i="176"/>
  <c r="AG30" i="176"/>
  <c r="P30" i="176"/>
  <c r="AG29" i="176"/>
  <c r="P29" i="176"/>
  <c r="AG28" i="176"/>
  <c r="P28" i="176"/>
  <c r="AG27" i="176"/>
  <c r="P27" i="176"/>
  <c r="AG26" i="176"/>
  <c r="P26" i="176"/>
  <c r="AG25" i="176"/>
  <c r="P25" i="176"/>
  <c r="AG24" i="176"/>
  <c r="P24" i="176"/>
  <c r="AG23" i="176"/>
  <c r="P23" i="176"/>
  <c r="AG22" i="176"/>
  <c r="P22" i="176"/>
  <c r="AG21" i="176"/>
  <c r="P21" i="176"/>
  <c r="AG20" i="176"/>
  <c r="P20" i="176"/>
  <c r="AG19" i="176"/>
  <c r="P19" i="176"/>
  <c r="AG18" i="176"/>
  <c r="P18" i="176"/>
  <c r="AG17" i="176"/>
  <c r="P17" i="176"/>
  <c r="AG16" i="176"/>
  <c r="P16" i="176"/>
  <c r="AG15" i="176"/>
  <c r="P15" i="176"/>
  <c r="AG14" i="176"/>
  <c r="P14" i="176"/>
  <c r="N10" i="176"/>
  <c r="J10" i="176"/>
  <c r="B10" i="176"/>
  <c r="J9" i="176"/>
  <c r="B9" i="176"/>
  <c r="L6" i="176"/>
  <c r="H4" i="176"/>
  <c r="H2" i="176"/>
  <c r="S1" i="176"/>
  <c r="H1" i="176"/>
  <c r="AG50" i="175"/>
  <c r="O50" i="175"/>
  <c r="N50" i="175"/>
  <c r="M50" i="175"/>
  <c r="L50" i="175"/>
  <c r="K50" i="175"/>
  <c r="J50" i="175"/>
  <c r="I50" i="175"/>
  <c r="H50" i="175"/>
  <c r="G50" i="175"/>
  <c r="F50" i="175"/>
  <c r="E50" i="175"/>
  <c r="D50" i="175"/>
  <c r="C50" i="175"/>
  <c r="B50" i="175"/>
  <c r="AG49" i="175"/>
  <c r="P49" i="175"/>
  <c r="AG48" i="175"/>
  <c r="P48" i="175"/>
  <c r="AG47" i="175"/>
  <c r="P47" i="175"/>
  <c r="AG46" i="175"/>
  <c r="P46" i="175"/>
  <c r="AG45" i="175"/>
  <c r="P45" i="175"/>
  <c r="AG44" i="175"/>
  <c r="P44" i="175"/>
  <c r="AG43" i="175"/>
  <c r="P43" i="175"/>
  <c r="AG42" i="175"/>
  <c r="P42" i="175"/>
  <c r="AG41" i="175"/>
  <c r="P41" i="175"/>
  <c r="AG40" i="175"/>
  <c r="P40" i="175"/>
  <c r="AG39" i="175"/>
  <c r="P39" i="175"/>
  <c r="AG38" i="175"/>
  <c r="P38" i="175"/>
  <c r="AG37" i="175"/>
  <c r="P37" i="175"/>
  <c r="AG36" i="175"/>
  <c r="P36" i="175"/>
  <c r="AG35" i="175"/>
  <c r="P35" i="175"/>
  <c r="AG34" i="175"/>
  <c r="P34" i="175"/>
  <c r="AG33" i="175"/>
  <c r="P33" i="175"/>
  <c r="AG32" i="175"/>
  <c r="P32" i="175"/>
  <c r="AG31" i="175"/>
  <c r="P31" i="175"/>
  <c r="AG30" i="175"/>
  <c r="P30" i="175"/>
  <c r="AG29" i="175"/>
  <c r="P29" i="175"/>
  <c r="AG28" i="175"/>
  <c r="P28" i="175"/>
  <c r="AG27" i="175"/>
  <c r="P27" i="175"/>
  <c r="AG26" i="175"/>
  <c r="P26" i="175"/>
  <c r="AG25" i="175"/>
  <c r="P25" i="175"/>
  <c r="AG24" i="175"/>
  <c r="P24" i="175"/>
  <c r="AG23" i="175"/>
  <c r="P23" i="175"/>
  <c r="AG22" i="175"/>
  <c r="P22" i="175"/>
  <c r="AG21" i="175"/>
  <c r="P21" i="175"/>
  <c r="AG20" i="175"/>
  <c r="P20" i="175"/>
  <c r="AG19" i="175"/>
  <c r="P19" i="175"/>
  <c r="AG18" i="175"/>
  <c r="P18" i="175"/>
  <c r="AG17" i="175"/>
  <c r="P17" i="175"/>
  <c r="AG16" i="175"/>
  <c r="P16" i="175"/>
  <c r="AG15" i="175"/>
  <c r="P15" i="175"/>
  <c r="AG14" i="175"/>
  <c r="P14" i="175"/>
  <c r="N10" i="175"/>
  <c r="J10" i="175"/>
  <c r="B10" i="175"/>
  <c r="J9" i="175"/>
  <c r="B9" i="175"/>
  <c r="L6" i="175"/>
  <c r="H4" i="175"/>
  <c r="H2" i="175"/>
  <c r="S1" i="175"/>
  <c r="H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P42" i="170"/>
  <c r="AH41" i="170"/>
  <c r="AG41" i="170"/>
  <c r="Y41" i="170"/>
  <c r="X41" i="170"/>
  <c r="W41" i="170"/>
  <c r="V41" i="170"/>
  <c r="U41" i="170"/>
  <c r="T41" i="170"/>
  <c r="S41" i="170"/>
  <c r="R41" i="170"/>
  <c r="Z41" i="170" s="1"/>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P36" i="170"/>
  <c r="AH35" i="170"/>
  <c r="AG35" i="170"/>
  <c r="Y35" i="170"/>
  <c r="X35" i="170"/>
  <c r="W35" i="170"/>
  <c r="V35" i="170"/>
  <c r="U35" i="170"/>
  <c r="T35" i="170"/>
  <c r="S35" i="170"/>
  <c r="R35" i="170"/>
  <c r="P35" i="170"/>
  <c r="AH34" i="170"/>
  <c r="AG34" i="170"/>
  <c r="Y34" i="170"/>
  <c r="X34" i="170"/>
  <c r="W34" i="170"/>
  <c r="V34" i="170"/>
  <c r="U34" i="170"/>
  <c r="T34" i="170"/>
  <c r="S34" i="170"/>
  <c r="R34" i="170"/>
  <c r="P34" i="170"/>
  <c r="AH33" i="170"/>
  <c r="AG33" i="170"/>
  <c r="Y33" i="170"/>
  <c r="X33" i="170"/>
  <c r="W33" i="170"/>
  <c r="V33" i="170"/>
  <c r="U33" i="170"/>
  <c r="T33" i="170"/>
  <c r="S33" i="170"/>
  <c r="R33" i="170"/>
  <c r="Z33" i="170" s="1"/>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Z17" i="170" s="1"/>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Z13" i="170" s="1"/>
  <c r="P13" i="170"/>
  <c r="N10" i="170"/>
  <c r="L10" i="170"/>
  <c r="B10" i="170"/>
  <c r="L9" i="170"/>
  <c r="B9" i="170"/>
  <c r="L6" i="170"/>
  <c r="H4" i="170"/>
  <c r="H2" i="170"/>
  <c r="Q1" i="170"/>
  <c r="P1" i="170"/>
  <c r="H1" i="170"/>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P15" i="230" l="1"/>
  <c r="AO16" i="230"/>
  <c r="I2" i="230"/>
  <c r="P14" i="230"/>
  <c r="P15" i="229"/>
  <c r="AO16" i="229"/>
  <c r="I2" i="229"/>
  <c r="P14" i="229"/>
  <c r="P15" i="228"/>
  <c r="AO16" i="228"/>
  <c r="P14" i="228"/>
  <c r="P15" i="227"/>
  <c r="AO16" i="227"/>
  <c r="I1" i="227"/>
  <c r="P14" i="227"/>
  <c r="P15" i="226"/>
  <c r="AO16" i="226"/>
  <c r="I1" i="226"/>
  <c r="I2" i="226"/>
  <c r="P14" i="226"/>
  <c r="P15" i="225"/>
  <c r="AO16" i="225"/>
  <c r="I2" i="225"/>
  <c r="P15" i="224"/>
  <c r="AO16" i="224"/>
  <c r="I2" i="224"/>
  <c r="P14" i="224"/>
  <c r="P15" i="223"/>
  <c r="AO16" i="223"/>
  <c r="I2" i="223"/>
  <c r="P14" i="223"/>
  <c r="P15" i="222"/>
  <c r="AO16" i="222"/>
  <c r="P14" i="222"/>
  <c r="P15" i="221"/>
  <c r="AO16" i="221"/>
  <c r="I2" i="221"/>
  <c r="P14" i="221"/>
  <c r="P15" i="220"/>
  <c r="AO16" i="220"/>
  <c r="P14" i="220"/>
  <c r="P14" i="219"/>
  <c r="P15" i="219"/>
  <c r="AO16" i="219"/>
  <c r="I1" i="219"/>
  <c r="I2" i="219"/>
  <c r="P15" i="218"/>
  <c r="AO16" i="218"/>
  <c r="I2" i="218"/>
  <c r="P14" i="218"/>
  <c r="P15" i="217"/>
  <c r="AO16" i="217"/>
  <c r="I2" i="217"/>
  <c r="AO15" i="216"/>
  <c r="P15" i="216" s="1"/>
  <c r="P15" i="215"/>
  <c r="AO16" i="215"/>
  <c r="I2" i="215"/>
  <c r="P14" i="215"/>
  <c r="P15" i="214"/>
  <c r="AO16" i="214"/>
  <c r="I1" i="214"/>
  <c r="I2" i="214"/>
  <c r="P14" i="214"/>
  <c r="P15" i="213"/>
  <c r="AO16" i="213"/>
  <c r="I2" i="213"/>
  <c r="P14" i="213"/>
  <c r="P15" i="212"/>
  <c r="AO16" i="212"/>
  <c r="I2" i="212"/>
  <c r="P14" i="212"/>
  <c r="AO15" i="211"/>
  <c r="I2" i="211"/>
  <c r="P15" i="210"/>
  <c r="AO16" i="210"/>
  <c r="I2" i="210"/>
  <c r="P14" i="210"/>
  <c r="P15" i="209"/>
  <c r="AO16" i="209"/>
  <c r="I2" i="209"/>
  <c r="P14" i="209"/>
  <c r="AO16" i="208"/>
  <c r="I2" i="208"/>
  <c r="P15" i="207"/>
  <c r="AO16" i="207"/>
  <c r="P14" i="207"/>
  <c r="P15" i="206"/>
  <c r="AO16" i="206"/>
  <c r="I2" i="206"/>
  <c r="P14" i="206"/>
  <c r="P15" i="205"/>
  <c r="AO16" i="205"/>
  <c r="I2" i="205"/>
  <c r="P14" i="205"/>
  <c r="P15" i="204"/>
  <c r="AO16" i="204"/>
  <c r="I2" i="204"/>
  <c r="P14" i="204"/>
  <c r="AO15" i="203"/>
  <c r="P15" i="203" s="1"/>
  <c r="I2" i="203"/>
  <c r="P15" i="202"/>
  <c r="AO16" i="202"/>
  <c r="I2" i="202"/>
  <c r="P14" i="202"/>
  <c r="P15" i="201"/>
  <c r="AO16" i="201"/>
  <c r="I2" i="201"/>
  <c r="P14" i="201"/>
  <c r="AO16" i="200"/>
  <c r="P15" i="200"/>
  <c r="I2" i="200"/>
  <c r="P14" i="200"/>
  <c r="P15" i="199"/>
  <c r="AO16" i="199"/>
  <c r="I2" i="199"/>
  <c r="P14" i="199"/>
  <c r="AO16" i="198"/>
  <c r="P15" i="198"/>
  <c r="P14" i="198"/>
  <c r="P15" i="197"/>
  <c r="AO16" i="197"/>
  <c r="I1" i="197"/>
  <c r="I2" i="197"/>
  <c r="P14" i="197"/>
  <c r="BO32" i="186"/>
  <c r="BO16" i="186"/>
  <c r="BR44" i="186"/>
  <c r="BO18" i="185"/>
  <c r="EZ58" i="185" s="1"/>
  <c r="EX58" i="185" s="1"/>
  <c r="EZ74" i="185"/>
  <c r="EX74" i="185" s="1"/>
  <c r="BR42" i="185"/>
  <c r="BO19" i="185"/>
  <c r="FA59" i="185" s="1"/>
  <c r="EY59" i="185" s="1"/>
  <c r="BO35" i="185"/>
  <c r="EZ75" i="185" s="1"/>
  <c r="EX75" i="185" s="1"/>
  <c r="FB62" i="185"/>
  <c r="BM31" i="184"/>
  <c r="FB71" i="184" s="1"/>
  <c r="BM39" i="184"/>
  <c r="BM40" i="184"/>
  <c r="BM30" i="184"/>
  <c r="BM29" i="183"/>
  <c r="FA69" i="183" s="1"/>
  <c r="EY69" i="183" s="1"/>
  <c r="BM38" i="183"/>
  <c r="EZ78" i="183" s="1"/>
  <c r="EX78" i="183" s="1"/>
  <c r="BM30" i="183"/>
  <c r="BM37" i="183"/>
  <c r="BR37" i="183" s="1"/>
  <c r="AO21" i="181"/>
  <c r="P21" i="181" s="1"/>
  <c r="P15" i="181"/>
  <c r="AO45" i="181"/>
  <c r="P45" i="181" s="1"/>
  <c r="P31" i="181"/>
  <c r="AO39" i="181"/>
  <c r="P29" i="180"/>
  <c r="P40" i="180"/>
  <c r="P25" i="179"/>
  <c r="P30" i="178"/>
  <c r="AO40" i="178"/>
  <c r="P40" i="178" s="1"/>
  <c r="AW45" i="185"/>
  <c r="AR33" i="186"/>
  <c r="FF73" i="186" s="1"/>
  <c r="BE39" i="185"/>
  <c r="BE37" i="186"/>
  <c r="BD38" i="186"/>
  <c r="FI78" i="186" s="1"/>
  <c r="AZ36" i="185"/>
  <c r="FH76" i="185" s="1"/>
  <c r="AR34" i="186"/>
  <c r="FF74" i="186" s="1"/>
  <c r="BA45" i="186"/>
  <c r="BE19" i="186"/>
  <c r="BD32" i="185"/>
  <c r="FI72" i="185" s="1"/>
  <c r="AZ28" i="186"/>
  <c r="FH68" i="186" s="1"/>
  <c r="CW76" i="185"/>
  <c r="M36" i="185" s="1"/>
  <c r="AV29" i="185"/>
  <c r="FG69" i="185" s="1"/>
  <c r="AZ23" i="185"/>
  <c r="FH63" i="185" s="1"/>
  <c r="FQ35" i="186"/>
  <c r="AV39" i="186"/>
  <c r="FG79" i="186" s="1"/>
  <c r="BN24" i="186"/>
  <c r="BD28" i="186"/>
  <c r="FI68" i="186" s="1"/>
  <c r="BO24" i="186"/>
  <c r="BQ24" i="186"/>
  <c r="FJ70" i="186"/>
  <c r="FJ66" i="186"/>
  <c r="FO32" i="186"/>
  <c r="FJ72" i="186"/>
  <c r="BE36" i="185"/>
  <c r="AV40" i="185"/>
  <c r="FG80" i="185" s="1"/>
  <c r="AZ29" i="185"/>
  <c r="FH69" i="185" s="1"/>
  <c r="BE17" i="186"/>
  <c r="AZ34" i="185"/>
  <c r="FH74" i="185" s="1"/>
  <c r="AV18" i="186"/>
  <c r="FG58" i="186" s="1"/>
  <c r="BE23" i="185"/>
  <c r="BE21" i="184"/>
  <c r="BD27" i="185"/>
  <c r="FI67" i="185" s="1"/>
  <c r="BD18" i="183"/>
  <c r="FI58" i="183" s="1"/>
  <c r="AZ29" i="186"/>
  <c r="FH69" i="186" s="1"/>
  <c r="BD23" i="186"/>
  <c r="FI63" i="186" s="1"/>
  <c r="R40" i="186"/>
  <c r="BD44" i="186"/>
  <c r="FI84" i="186" s="1"/>
  <c r="AW16" i="183"/>
  <c r="AR38" i="183"/>
  <c r="FF78" i="183" s="1"/>
  <c r="BD14" i="183"/>
  <c r="FI54" i="183" s="1"/>
  <c r="AS43" i="184"/>
  <c r="AV42" i="184"/>
  <c r="FG82" i="184" s="1"/>
  <c r="AS45" i="186"/>
  <c r="AS44" i="183"/>
  <c r="AR43" i="183"/>
  <c r="FF83" i="183" s="1"/>
  <c r="AW37" i="186"/>
  <c r="BA42" i="183"/>
  <c r="AZ19" i="183"/>
  <c r="FH59" i="183" s="1"/>
  <c r="AR45" i="185"/>
  <c r="FF85" i="185" s="1"/>
  <c r="AW24" i="184"/>
  <c r="AV44" i="185"/>
  <c r="FG84" i="185" s="1"/>
  <c r="AW45" i="186"/>
  <c r="AZ39" i="186"/>
  <c r="FH79" i="186" s="1"/>
  <c r="BD33" i="184"/>
  <c r="FI73" i="184" s="1"/>
  <c r="AW17" i="186"/>
  <c r="J35" i="186"/>
  <c r="AV28" i="183"/>
  <c r="FG68" i="183" s="1"/>
  <c r="K35" i="186"/>
  <c r="BA37" i="186"/>
  <c r="AZ44" i="186"/>
  <c r="FH84" i="186" s="1"/>
  <c r="AZ21" i="185"/>
  <c r="FH61" i="185" s="1"/>
  <c r="AZ28" i="185"/>
  <c r="FH68" i="185" s="1"/>
  <c r="AZ41" i="185"/>
  <c r="FH81" i="185" s="1"/>
  <c r="AW22" i="183"/>
  <c r="BE20" i="186"/>
  <c r="AR37" i="186"/>
  <c r="FF77" i="186" s="1"/>
  <c r="FB69" i="183"/>
  <c r="BD43" i="183"/>
  <c r="FI83" i="183" s="1"/>
  <c r="P43" i="186"/>
  <c r="BA36" i="186"/>
  <c r="AZ23" i="183"/>
  <c r="FH63" i="183" s="1"/>
  <c r="AS34" i="183"/>
  <c r="AZ22" i="186"/>
  <c r="FH62" i="186" s="1"/>
  <c r="J39" i="186"/>
  <c r="AV42" i="186"/>
  <c r="FG82" i="186" s="1"/>
  <c r="BD24" i="183"/>
  <c r="FI64" i="183" s="1"/>
  <c r="BD25" i="183"/>
  <c r="FI65" i="183" s="1"/>
  <c r="K39" i="186"/>
  <c r="BE33" i="183"/>
  <c r="AZ27" i="183"/>
  <c r="FH67" i="183" s="1"/>
  <c r="BE34" i="183"/>
  <c r="AR36" i="183"/>
  <c r="FF76" i="183" s="1"/>
  <c r="BD42" i="183"/>
  <c r="FI82" i="183" s="1"/>
  <c r="BA16" i="186"/>
  <c r="AW35" i="183"/>
  <c r="BD39" i="183"/>
  <c r="FI79" i="183" s="1"/>
  <c r="AV44" i="183"/>
  <c r="FG84" i="183" s="1"/>
  <c r="AZ40" i="184"/>
  <c r="FH80" i="184" s="1"/>
  <c r="DZ83" i="184"/>
  <c r="P43" i="184" s="1"/>
  <c r="AV43" i="186"/>
  <c r="FG83" i="186" s="1"/>
  <c r="AV40" i="183"/>
  <c r="FG80" i="183" s="1"/>
  <c r="BD35" i="183"/>
  <c r="FI75" i="183" s="1"/>
  <c r="BD37" i="183"/>
  <c r="FI77" i="183" s="1"/>
  <c r="BD34" i="186"/>
  <c r="FI74" i="186" s="1"/>
  <c r="BD40" i="186"/>
  <c r="FI80" i="186" s="1"/>
  <c r="BE21" i="183"/>
  <c r="BA19" i="184"/>
  <c r="AZ30" i="183"/>
  <c r="FH70" i="183" s="1"/>
  <c r="AW32" i="183"/>
  <c r="AV43" i="183"/>
  <c r="FG83" i="183" s="1"/>
  <c r="AV38" i="184"/>
  <c r="FG78" i="184" s="1"/>
  <c r="AV18" i="185"/>
  <c r="FG58" i="185" s="1"/>
  <c r="AV33" i="185"/>
  <c r="FG73" i="185" s="1"/>
  <c r="BD43" i="185"/>
  <c r="FI83" i="185" s="1"/>
  <c r="BA15" i="185"/>
  <c r="AZ21" i="183"/>
  <c r="FH61" i="183" s="1"/>
  <c r="DF82" i="184"/>
  <c r="BE26" i="186"/>
  <c r="AV43" i="184"/>
  <c r="FG83" i="184" s="1"/>
  <c r="AZ40" i="183"/>
  <c r="FH80" i="183" s="1"/>
  <c r="AZ14" i="185"/>
  <c r="FH54" i="185" s="1"/>
  <c r="BE22" i="185"/>
  <c r="AR41" i="185"/>
  <c r="FF81" i="185" s="1"/>
  <c r="AZ44" i="185"/>
  <c r="FH84" i="185" s="1"/>
  <c r="BD43" i="186"/>
  <c r="FI83" i="186" s="1"/>
  <c r="AR44" i="186"/>
  <c r="FF84" i="186" s="1"/>
  <c r="BD45" i="183"/>
  <c r="FI85" i="183" s="1"/>
  <c r="BD22" i="186"/>
  <c r="FI62" i="186" s="1"/>
  <c r="AW33" i="186"/>
  <c r="BD16" i="184"/>
  <c r="FI56" i="184" s="1"/>
  <c r="BD31" i="184"/>
  <c r="FI71" i="184" s="1"/>
  <c r="BD24" i="185"/>
  <c r="FI64" i="185" s="1"/>
  <c r="AR42" i="186"/>
  <c r="FF82" i="186" s="1"/>
  <c r="BA35" i="185"/>
  <c r="CX72" i="183"/>
  <c r="N32" i="183" s="1"/>
  <c r="BE15" i="183"/>
  <c r="AZ17" i="183"/>
  <c r="FH57" i="183" s="1"/>
  <c r="P41" i="184"/>
  <c r="AZ20" i="185"/>
  <c r="FH60" i="185" s="1"/>
  <c r="BE26" i="185"/>
  <c r="G41" i="185"/>
  <c r="P42" i="185"/>
  <c r="AZ21" i="186"/>
  <c r="FH61" i="186" s="1"/>
  <c r="AZ24" i="183"/>
  <c r="FH64" i="183" s="1"/>
  <c r="BD21" i="185"/>
  <c r="FI61" i="185" s="1"/>
  <c r="AV39" i="185"/>
  <c r="FG79" i="185" s="1"/>
  <c r="AV41" i="185"/>
  <c r="FG81" i="185" s="1"/>
  <c r="BA35" i="186"/>
  <c r="BD36" i="183"/>
  <c r="FI76" i="183" s="1"/>
  <c r="BD19" i="185"/>
  <c r="FI59" i="185" s="1"/>
  <c r="AZ43" i="185"/>
  <c r="FH83" i="185" s="1"/>
  <c r="ET70" i="185"/>
  <c r="BD16" i="186"/>
  <c r="FI56" i="186" s="1"/>
  <c r="AZ31" i="186"/>
  <c r="FH71" i="186" s="1"/>
  <c r="BD17" i="183"/>
  <c r="FI57" i="183" s="1"/>
  <c r="BE25" i="185"/>
  <c r="BD33" i="185"/>
  <c r="FI73" i="185" s="1"/>
  <c r="AZ26" i="186"/>
  <c r="FH66" i="186" s="1"/>
  <c r="AW38" i="183"/>
  <c r="BD29" i="183"/>
  <c r="FI69" i="183" s="1"/>
  <c r="AV34" i="183"/>
  <c r="FG74" i="183" s="1"/>
  <c r="AV42" i="185"/>
  <c r="FG82" i="185" s="1"/>
  <c r="BD21" i="186"/>
  <c r="FI61" i="186" s="1"/>
  <c r="AZ27" i="186"/>
  <c r="FH67" i="186" s="1"/>
  <c r="BD31" i="186"/>
  <c r="FI71" i="186" s="1"/>
  <c r="AZ40" i="186"/>
  <c r="FH80" i="186" s="1"/>
  <c r="EO82" i="186"/>
  <c r="BD18" i="185"/>
  <c r="FI58" i="185" s="1"/>
  <c r="BD37" i="185"/>
  <c r="FI77" i="185" s="1"/>
  <c r="AR44" i="185"/>
  <c r="FF84" i="185" s="1"/>
  <c r="AZ19" i="186"/>
  <c r="FH59" i="186" s="1"/>
  <c r="Q35" i="186"/>
  <c r="AR41" i="186"/>
  <c r="FF81" i="186" s="1"/>
  <c r="BA42" i="186"/>
  <c r="AZ15" i="183"/>
  <c r="FH55" i="183" s="1"/>
  <c r="BA45" i="183"/>
  <c r="DF82" i="185"/>
  <c r="Q36" i="186"/>
  <c r="BE26" i="183"/>
  <c r="DC85" i="183"/>
  <c r="AR32" i="183"/>
  <c r="FF72" i="183" s="1"/>
  <c r="BD16" i="185"/>
  <c r="FI56" i="185" s="1"/>
  <c r="BD36" i="186"/>
  <c r="FI76" i="186" s="1"/>
  <c r="AZ25" i="183"/>
  <c r="FH65" i="183" s="1"/>
  <c r="BE31" i="183"/>
  <c r="BA33" i="183"/>
  <c r="AZ18" i="185"/>
  <c r="FH58" i="185" s="1"/>
  <c r="BD18" i="186"/>
  <c r="FI58" i="186" s="1"/>
  <c r="AZ33" i="186"/>
  <c r="FH73" i="186" s="1"/>
  <c r="FB58" i="185"/>
  <c r="BD32" i="186"/>
  <c r="FI72" i="186" s="1"/>
  <c r="O39" i="186"/>
  <c r="Q44" i="186"/>
  <c r="AZ22" i="183"/>
  <c r="FH62" i="183" s="1"/>
  <c r="BD34" i="185"/>
  <c r="FI74" i="185" s="1"/>
  <c r="BD39" i="186"/>
  <c r="FI79" i="186" s="1"/>
  <c r="BA29" i="183"/>
  <c r="AZ32" i="184"/>
  <c r="FH72" i="184" s="1"/>
  <c r="AV38" i="185"/>
  <c r="FG78" i="185" s="1"/>
  <c r="DI84" i="185"/>
  <c r="EW84" i="185" s="1"/>
  <c r="AV35" i="186"/>
  <c r="FG75" i="186" s="1"/>
  <c r="DG79" i="186"/>
  <c r="P35" i="186"/>
  <c r="AV21" i="183"/>
  <c r="FG61" i="183" s="1"/>
  <c r="AZ31" i="183"/>
  <c r="FH71" i="183" s="1"/>
  <c r="AZ38" i="183"/>
  <c r="FH78" i="183" s="1"/>
  <c r="AV26" i="185"/>
  <c r="FG66" i="185" s="1"/>
  <c r="EQ42" i="186"/>
  <c r="AW41" i="183"/>
  <c r="BD29" i="185"/>
  <c r="FI69" i="185" s="1"/>
  <c r="CW54" i="185"/>
  <c r="M14" i="185" s="1"/>
  <c r="CZ85" i="185"/>
  <c r="ET66" i="185"/>
  <c r="EA74" i="186"/>
  <c r="R34" i="186" s="1"/>
  <c r="DZ83" i="185"/>
  <c r="P43" i="185" s="1"/>
  <c r="EQ41" i="186"/>
  <c r="EQ43" i="186"/>
  <c r="EO67" i="184"/>
  <c r="DZ77" i="186"/>
  <c r="DH81" i="186"/>
  <c r="FD84" i="183"/>
  <c r="EO54" i="186"/>
  <c r="ET80" i="183"/>
  <c r="DZ84" i="184"/>
  <c r="P44" i="184" s="1"/>
  <c r="L38" i="186"/>
  <c r="BU38" i="186" s="1"/>
  <c r="K38" i="186"/>
  <c r="J38" i="186"/>
  <c r="K33" i="186"/>
  <c r="J33" i="186"/>
  <c r="L33" i="186"/>
  <c r="BU33" i="186" s="1"/>
  <c r="H41" i="185"/>
  <c r="EQ43" i="185"/>
  <c r="EO65" i="185"/>
  <c r="AV38" i="186"/>
  <c r="FG78" i="186" s="1"/>
  <c r="CV73" i="186"/>
  <c r="BE19" i="184"/>
  <c r="ET81" i="184"/>
  <c r="AR43" i="185"/>
  <c r="FF83" i="185" s="1"/>
  <c r="FD85" i="185"/>
  <c r="BA34" i="186"/>
  <c r="DL74" i="186"/>
  <c r="EF78" i="186"/>
  <c r="EA81" i="186"/>
  <c r="AZ14" i="183"/>
  <c r="FH54" i="183" s="1"/>
  <c r="DA84" i="183"/>
  <c r="AZ26" i="184"/>
  <c r="FH66" i="184" s="1"/>
  <c r="DI83" i="184"/>
  <c r="EW83" i="184" s="1"/>
  <c r="BD20" i="185"/>
  <c r="FI60" i="185" s="1"/>
  <c r="L41" i="185"/>
  <c r="BU41" i="185" s="1"/>
  <c r="BE41" i="185"/>
  <c r="AZ45" i="185"/>
  <c r="FH85" i="185" s="1"/>
  <c r="DS82" i="185"/>
  <c r="EH83" i="185"/>
  <c r="EJ83" i="185" s="1"/>
  <c r="DS83" i="185" s="1"/>
  <c r="EA84" i="185"/>
  <c r="EQ45" i="186"/>
  <c r="EO75" i="186"/>
  <c r="FC80" i="186"/>
  <c r="EE84" i="186"/>
  <c r="EG84" i="186" s="1"/>
  <c r="DL84" i="186" s="1"/>
  <c r="DM84" i="186" s="1"/>
  <c r="AR30" i="183"/>
  <c r="FF70" i="183" s="1"/>
  <c r="BD44" i="183"/>
  <c r="FI84" i="183" s="1"/>
  <c r="AR42" i="184"/>
  <c r="FF82" i="184" s="1"/>
  <c r="O45" i="184"/>
  <c r="DL82" i="184"/>
  <c r="DN82" i="184" s="1"/>
  <c r="AR35" i="186"/>
  <c r="FF75" i="186" s="1"/>
  <c r="AZ43" i="186"/>
  <c r="FH83" i="186" s="1"/>
  <c r="DH73" i="186"/>
  <c r="DJ80" i="186"/>
  <c r="DC82" i="186"/>
  <c r="BD28" i="183"/>
  <c r="FI68" i="183" s="1"/>
  <c r="AV29" i="183"/>
  <c r="FG69" i="183" s="1"/>
  <c r="AZ43" i="183"/>
  <c r="FH83" i="183" s="1"/>
  <c r="AZ24" i="184"/>
  <c r="FH64" i="184" s="1"/>
  <c r="AZ38" i="184"/>
  <c r="FH78" i="184" s="1"/>
  <c r="ET71" i="184"/>
  <c r="DF85" i="185"/>
  <c r="AZ17" i="185"/>
  <c r="FH57" i="185" s="1"/>
  <c r="EQ42" i="185"/>
  <c r="ET67" i="185"/>
  <c r="BD30" i="186"/>
  <c r="FI70" i="186" s="1"/>
  <c r="AZ38" i="186"/>
  <c r="FH78" i="186" s="1"/>
  <c r="AV40" i="186"/>
  <c r="FG80" i="186" s="1"/>
  <c r="DH85" i="186"/>
  <c r="DF84" i="183"/>
  <c r="AV31" i="183"/>
  <c r="FG71" i="183" s="1"/>
  <c r="AZ32" i="183"/>
  <c r="FH72" i="183" s="1"/>
  <c r="AZ15" i="184"/>
  <c r="FH55" i="184" s="1"/>
  <c r="AZ24" i="185"/>
  <c r="FH64" i="185" s="1"/>
  <c r="AZ32" i="185"/>
  <c r="FH72" i="185" s="1"/>
  <c r="AZ42" i="185"/>
  <c r="FH82" i="185" s="1"/>
  <c r="G45" i="185"/>
  <c r="EQ34" i="186"/>
  <c r="AV44" i="186"/>
  <c r="FG84" i="186" s="1"/>
  <c r="FE79" i="186"/>
  <c r="DD83" i="186"/>
  <c r="I43" i="186" s="1"/>
  <c r="BS43" i="186" s="1"/>
  <c r="AW15" i="183"/>
  <c r="EQ45" i="183"/>
  <c r="EO79" i="183"/>
  <c r="EI84" i="183"/>
  <c r="BD26" i="184"/>
  <c r="FI66" i="184" s="1"/>
  <c r="EO73" i="184"/>
  <c r="EO83" i="184"/>
  <c r="DD84" i="184"/>
  <c r="H44" i="184" s="1"/>
  <c r="I45" i="185"/>
  <c r="BS45" i="185" s="1"/>
  <c r="CW73" i="185"/>
  <c r="M33" i="185" s="1"/>
  <c r="EO77" i="185"/>
  <c r="EQ35" i="186"/>
  <c r="DI74" i="186"/>
  <c r="DD84" i="186"/>
  <c r="G44" i="186" s="1"/>
  <c r="AZ18" i="183"/>
  <c r="FH58" i="183" s="1"/>
  <c r="AZ26" i="183"/>
  <c r="FH66" i="183" s="1"/>
  <c r="BA39" i="183"/>
  <c r="AV42" i="183"/>
  <c r="FG82" i="183" s="1"/>
  <c r="AS45" i="183"/>
  <c r="BA19" i="185"/>
  <c r="AZ19" i="185"/>
  <c r="FH59" i="185" s="1"/>
  <c r="L45" i="185"/>
  <c r="BU45" i="185" s="1"/>
  <c r="K45" i="185"/>
  <c r="J45" i="185"/>
  <c r="AZ16" i="183"/>
  <c r="FH56" i="183" s="1"/>
  <c r="BE19" i="183"/>
  <c r="DJ85" i="183"/>
  <c r="J45" i="183" s="1"/>
  <c r="DH85" i="183"/>
  <c r="BA18" i="186"/>
  <c r="AZ18" i="186"/>
  <c r="FH58" i="186" s="1"/>
  <c r="BE29" i="186"/>
  <c r="BD29" i="186"/>
  <c r="FI69" i="186" s="1"/>
  <c r="BA32" i="186"/>
  <c r="AZ32" i="186"/>
  <c r="FH72" i="186" s="1"/>
  <c r="FC73" i="186"/>
  <c r="EA73" i="186"/>
  <c r="BE35" i="186"/>
  <c r="BD35" i="186"/>
  <c r="FI75" i="186" s="1"/>
  <c r="AZ20" i="183"/>
  <c r="FH60" i="183" s="1"/>
  <c r="BD30" i="183"/>
  <c r="FI70" i="183" s="1"/>
  <c r="AR31" i="183"/>
  <c r="FF71" i="183" s="1"/>
  <c r="AW36" i="183"/>
  <c r="BA37" i="183"/>
  <c r="DG85" i="184"/>
  <c r="DJ85" i="184"/>
  <c r="DI85" i="184"/>
  <c r="EW85" i="184" s="1"/>
  <c r="DH85" i="184"/>
  <c r="AW41" i="186"/>
  <c r="AV41" i="186"/>
  <c r="FG81" i="186" s="1"/>
  <c r="FB82" i="186"/>
  <c r="DZ82" i="186"/>
  <c r="ET82" i="186"/>
  <c r="CX82" i="186"/>
  <c r="N42" i="186" s="1"/>
  <c r="FE82" i="186"/>
  <c r="BE38" i="183"/>
  <c r="AR39" i="183"/>
  <c r="FF79" i="183" s="1"/>
  <c r="P45" i="183"/>
  <c r="O45" i="183"/>
  <c r="DC75" i="186"/>
  <c r="EV75" i="186" s="1"/>
  <c r="DA75" i="186"/>
  <c r="DC79" i="186"/>
  <c r="DD79" i="186"/>
  <c r="CV79" i="186"/>
  <c r="DI84" i="186"/>
  <c r="EW84" i="186" s="1"/>
  <c r="DJ84" i="186"/>
  <c r="DH84" i="186"/>
  <c r="DI85" i="183"/>
  <c r="EW85" i="183" s="1"/>
  <c r="AW28" i="185"/>
  <c r="AV28" i="185"/>
  <c r="FG68" i="185" s="1"/>
  <c r="AS40" i="183"/>
  <c r="AR40" i="183"/>
  <c r="FF80" i="183" s="1"/>
  <c r="O43" i="184"/>
  <c r="EF84" i="184"/>
  <c r="EE84" i="184"/>
  <c r="EG84" i="184" s="1"/>
  <c r="DL84" i="184" s="1"/>
  <c r="BE42" i="185"/>
  <c r="BE33" i="186"/>
  <c r="BD33" i="186"/>
  <c r="FI73" i="186" s="1"/>
  <c r="DC80" i="186"/>
  <c r="EV80" i="186" s="1"/>
  <c r="CV80" i="186"/>
  <c r="BD45" i="186"/>
  <c r="FI85" i="186" s="1"/>
  <c r="BE45" i="186"/>
  <c r="EO76" i="183"/>
  <c r="CV85" i="183"/>
  <c r="DK85" i="183" s="1"/>
  <c r="EO81" i="184"/>
  <c r="DC82" i="184"/>
  <c r="EI81" i="185"/>
  <c r="CV82" i="185"/>
  <c r="E42" i="185" s="1"/>
  <c r="DG83" i="185"/>
  <c r="FB85" i="185"/>
  <c r="EQ33" i="186"/>
  <c r="EO66" i="186"/>
  <c r="DZ74" i="186"/>
  <c r="EE80" i="186"/>
  <c r="EG80" i="186" s="1"/>
  <c r="FD82" i="186"/>
  <c r="FB85" i="184"/>
  <c r="ET54" i="186"/>
  <c r="FD77" i="186"/>
  <c r="DA85" i="183"/>
  <c r="EI85" i="183"/>
  <c r="J44" i="184"/>
  <c r="FD85" i="184"/>
  <c r="AV17" i="185"/>
  <c r="FG57" i="185" s="1"/>
  <c r="DD82" i="185"/>
  <c r="EA83" i="185"/>
  <c r="BD41" i="186"/>
  <c r="FI81" i="186" s="1"/>
  <c r="DL73" i="186"/>
  <c r="DN73" i="186" s="1"/>
  <c r="CV76" i="186"/>
  <c r="D36" i="186" s="1"/>
  <c r="GK36" i="186" s="1"/>
  <c r="ET79" i="186"/>
  <c r="K44" i="184"/>
  <c r="DG81" i="184"/>
  <c r="DA84" i="184"/>
  <c r="BD15" i="185"/>
  <c r="FI55" i="185" s="1"/>
  <c r="AZ26" i="185"/>
  <c r="FH66" i="185" s="1"/>
  <c r="O45" i="185"/>
  <c r="DA81" i="185"/>
  <c r="Q34" i="186"/>
  <c r="EQ37" i="186"/>
  <c r="AR38" i="186"/>
  <c r="FF78" i="186" s="1"/>
  <c r="ET76" i="186"/>
  <c r="ET84" i="186"/>
  <c r="DC84" i="183"/>
  <c r="EV84" i="183" s="1"/>
  <c r="FE84" i="183"/>
  <c r="DD85" i="183"/>
  <c r="G45" i="183" s="1"/>
  <c r="DH81" i="184"/>
  <c r="DS82" i="184"/>
  <c r="DU82" i="184" s="1"/>
  <c r="DY82" i="184" s="1"/>
  <c r="EF82" i="184"/>
  <c r="DC84" i="184"/>
  <c r="EV84" i="184" s="1"/>
  <c r="FE84" i="184"/>
  <c r="AZ39" i="185"/>
  <c r="FH79" i="185" s="1"/>
  <c r="EQ41" i="185"/>
  <c r="DC81" i="185"/>
  <c r="EV81" i="185" s="1"/>
  <c r="CV83" i="185"/>
  <c r="AS36" i="186"/>
  <c r="CX74" i="186"/>
  <c r="N34" i="186" s="1"/>
  <c r="DG75" i="186"/>
  <c r="ET78" i="186"/>
  <c r="FB79" i="186"/>
  <c r="DG80" i="186"/>
  <c r="DJ81" i="186"/>
  <c r="FB83" i="186"/>
  <c r="EA85" i="186"/>
  <c r="EV81" i="184"/>
  <c r="J41" i="185"/>
  <c r="DG84" i="185"/>
  <c r="FB76" i="186"/>
  <c r="FB84" i="186"/>
  <c r="EO75" i="183"/>
  <c r="DZ84" i="183"/>
  <c r="EQ41" i="184"/>
  <c r="EQ44" i="184"/>
  <c r="EQ45" i="184"/>
  <c r="EO69" i="184"/>
  <c r="DF81" i="184"/>
  <c r="CV82" i="184"/>
  <c r="DJ83" i="184"/>
  <c r="FE83" i="184"/>
  <c r="AW27" i="185"/>
  <c r="AZ38" i="185"/>
  <c r="FH78" i="185" s="1"/>
  <c r="EQ44" i="185"/>
  <c r="ET63" i="185"/>
  <c r="EI82" i="185"/>
  <c r="DD83" i="185"/>
  <c r="DH84" i="185"/>
  <c r="EO85" i="185"/>
  <c r="EQ40" i="186"/>
  <c r="EO58" i="186"/>
  <c r="CW73" i="186"/>
  <c r="M33" i="186" s="1"/>
  <c r="EH73" i="186"/>
  <c r="EJ73" i="186" s="1"/>
  <c r="DS73" i="186" s="1"/>
  <c r="DU73" i="186" s="1"/>
  <c r="DG76" i="186"/>
  <c r="DB78" i="186"/>
  <c r="DL79" i="186"/>
  <c r="DM79" i="186" s="1"/>
  <c r="DI79" i="186"/>
  <c r="EW80" i="186"/>
  <c r="DL81" i="186"/>
  <c r="DN81" i="186" s="1"/>
  <c r="DR81" i="186" s="1"/>
  <c r="DA83" i="186"/>
  <c r="DL85" i="186"/>
  <c r="DN85" i="186" s="1"/>
  <c r="DR85" i="186" s="1"/>
  <c r="BD39" i="184"/>
  <c r="FI79" i="184" s="1"/>
  <c r="BD28" i="184"/>
  <c r="FI68" i="184" s="1"/>
  <c r="BD30" i="184"/>
  <c r="FI70" i="184" s="1"/>
  <c r="AZ44" i="184"/>
  <c r="FH84" i="184" s="1"/>
  <c r="BE23" i="184"/>
  <c r="BA27" i="184"/>
  <c r="BE17" i="184"/>
  <c r="AZ20" i="184"/>
  <c r="FH60" i="184" s="1"/>
  <c r="AR45" i="184"/>
  <c r="FF85" i="184" s="1"/>
  <c r="AZ14" i="184"/>
  <c r="FH54" i="184" s="1"/>
  <c r="AZ22" i="184"/>
  <c r="FH62" i="184" s="1"/>
  <c r="BD42" i="184"/>
  <c r="FI82" i="184" s="1"/>
  <c r="AS44" i="184"/>
  <c r="AW39" i="184"/>
  <c r="BD45" i="184"/>
  <c r="FI85" i="184" s="1"/>
  <c r="BD41" i="184"/>
  <c r="FI81" i="184" s="1"/>
  <c r="BA25" i="184"/>
  <c r="BA39" i="184"/>
  <c r="BA28" i="184"/>
  <c r="AZ30" i="184"/>
  <c r="FH70" i="184" s="1"/>
  <c r="BD18" i="184"/>
  <c r="FI58" i="184" s="1"/>
  <c r="AV44" i="184"/>
  <c r="FG84" i="184" s="1"/>
  <c r="BE35" i="184"/>
  <c r="AZ17" i="184"/>
  <c r="FH57" i="184" s="1"/>
  <c r="BD38" i="184"/>
  <c r="FI78" i="184" s="1"/>
  <c r="BE43" i="184"/>
  <c r="AV37" i="184"/>
  <c r="FG77" i="184" s="1"/>
  <c r="AZ23" i="184"/>
  <c r="FH63" i="184" s="1"/>
  <c r="BA21" i="184"/>
  <c r="BD27" i="184"/>
  <c r="FI67" i="184" s="1"/>
  <c r="BD22" i="184"/>
  <c r="FI62" i="184" s="1"/>
  <c r="BD14" i="184"/>
  <c r="FI54" i="184" s="1"/>
  <c r="BD20" i="184"/>
  <c r="FI60" i="184" s="1"/>
  <c r="AR39" i="184"/>
  <c r="AS39" i="184" s="1"/>
  <c r="FF79" i="184" s="1"/>
  <c r="BD15" i="184"/>
  <c r="FI55" i="184" s="1"/>
  <c r="BE37" i="184"/>
  <c r="AW45" i="184"/>
  <c r="AS26" i="184"/>
  <c r="FF66" i="184" s="1"/>
  <c r="BE29" i="184"/>
  <c r="AV26" i="186"/>
  <c r="FG74" i="185"/>
  <c r="H44" i="183"/>
  <c r="BE36" i="184"/>
  <c r="AS41" i="184"/>
  <c r="BE17" i="185"/>
  <c r="BA22" i="185"/>
  <c r="BE28" i="185"/>
  <c r="BA40" i="185"/>
  <c r="BA30" i="186"/>
  <c r="AS39" i="186"/>
  <c r="AS43" i="186"/>
  <c r="EE76" i="186"/>
  <c r="EG76" i="186" s="1"/>
  <c r="DL76" i="186" s="1"/>
  <c r="DM76" i="186" s="1"/>
  <c r="BD27" i="186"/>
  <c r="FI67" i="186" s="1"/>
  <c r="BD22" i="183"/>
  <c r="FI62" i="183" s="1"/>
  <c r="AZ36" i="184"/>
  <c r="FH76" i="184" s="1"/>
  <c r="BD40" i="185"/>
  <c r="FI80" i="185" s="1"/>
  <c r="BD45" i="185"/>
  <c r="FI85" i="185" s="1"/>
  <c r="EE85" i="185"/>
  <c r="EG85" i="185" s="1"/>
  <c r="DL85" i="185" s="1"/>
  <c r="AZ20" i="186"/>
  <c r="FH60" i="186" s="1"/>
  <c r="DL77" i="186"/>
  <c r="DM77" i="186" s="1"/>
  <c r="DQ77" i="186" s="1"/>
  <c r="EV83" i="186"/>
  <c r="BD16" i="183"/>
  <c r="FI56" i="183" s="1"/>
  <c r="BD23" i="183"/>
  <c r="FI63" i="183" s="1"/>
  <c r="AV14" i="184"/>
  <c r="FG54" i="184" s="1"/>
  <c r="BA33" i="184"/>
  <c r="AZ34" i="184"/>
  <c r="FH74" i="184" s="1"/>
  <c r="AZ43" i="184"/>
  <c r="FH83" i="184" s="1"/>
  <c r="AZ27" i="185"/>
  <c r="FH67" i="185" s="1"/>
  <c r="BD35" i="185"/>
  <c r="FI75" i="185" s="1"/>
  <c r="EF85" i="185"/>
  <c r="AZ17" i="186"/>
  <c r="FH57" i="186" s="1"/>
  <c r="AV34" i="186"/>
  <c r="FG74" i="186" s="1"/>
  <c r="AV36" i="186"/>
  <c r="FG76" i="186" s="1"/>
  <c r="EQ38" i="186"/>
  <c r="BD42" i="186"/>
  <c r="FI82" i="186" s="1"/>
  <c r="EF73" i="186"/>
  <c r="AZ35" i="183"/>
  <c r="FH75" i="183" s="1"/>
  <c r="BD41" i="183"/>
  <c r="FI81" i="183" s="1"/>
  <c r="AS42" i="185"/>
  <c r="BD44" i="185"/>
  <c r="FI84" i="185" s="1"/>
  <c r="EE81" i="185"/>
  <c r="EG81" i="185" s="1"/>
  <c r="DL81" i="185" s="1"/>
  <c r="DM81" i="185" s="1"/>
  <c r="DQ81" i="185" s="1"/>
  <c r="BD27" i="183"/>
  <c r="FI67" i="183" s="1"/>
  <c r="AV30" i="183"/>
  <c r="FG70" i="183" s="1"/>
  <c r="AR33" i="183"/>
  <c r="FF73" i="183" s="1"/>
  <c r="AV39" i="183"/>
  <c r="FG79" i="183" s="1"/>
  <c r="EV85" i="183"/>
  <c r="AZ16" i="184"/>
  <c r="FH56" i="184" s="1"/>
  <c r="AZ18" i="184"/>
  <c r="FH58" i="184" s="1"/>
  <c r="BA31" i="184"/>
  <c r="AZ42" i="184"/>
  <c r="FH82" i="184" s="1"/>
  <c r="EQ42" i="184"/>
  <c r="BD14" i="185"/>
  <c r="FI54" i="185" s="1"/>
  <c r="AZ16" i="185"/>
  <c r="FH56" i="185" s="1"/>
  <c r="BD38" i="185"/>
  <c r="FI78" i="185" s="1"/>
  <c r="AV43" i="185"/>
  <c r="FG83" i="185" s="1"/>
  <c r="AR40" i="186"/>
  <c r="FF80" i="186" s="1"/>
  <c r="AZ41" i="186"/>
  <c r="FH81" i="186" s="1"/>
  <c r="EF77" i="186"/>
  <c r="EF82" i="186"/>
  <c r="G44" i="183"/>
  <c r="EQ44" i="186"/>
  <c r="EV85" i="186"/>
  <c r="FO54" i="185"/>
  <c r="AF14" i="185" s="1"/>
  <c r="FP54" i="184"/>
  <c r="FN54" i="183"/>
  <c r="FO73" i="185"/>
  <c r="AF33" i="185" s="1"/>
  <c r="FN73" i="185"/>
  <c r="AA23" i="170"/>
  <c r="FO72" i="184"/>
  <c r="AF32" i="184" s="1"/>
  <c r="AA27" i="170"/>
  <c r="AB19" i="170"/>
  <c r="AC27" i="170"/>
  <c r="AC35" i="170"/>
  <c r="FO66" i="185"/>
  <c r="AF26" i="185" s="1"/>
  <c r="FO74" i="185"/>
  <c r="AF34" i="185" s="1"/>
  <c r="AC43" i="170"/>
  <c r="AA46" i="170"/>
  <c r="FN57" i="183"/>
  <c r="FN61" i="186"/>
  <c r="FN57" i="186"/>
  <c r="FO66" i="186"/>
  <c r="AF26" i="186" s="1"/>
  <c r="FO69" i="186"/>
  <c r="AF29" i="186" s="1"/>
  <c r="FO70" i="185"/>
  <c r="FX70" i="185" s="1"/>
  <c r="FN69" i="185"/>
  <c r="FN80" i="185"/>
  <c r="FN71" i="184"/>
  <c r="AB15" i="170"/>
  <c r="AA18" i="170"/>
  <c r="AC23" i="170"/>
  <c r="AA26" i="170"/>
  <c r="AC31" i="170"/>
  <c r="AC39" i="170"/>
  <c r="AC47" i="170"/>
  <c r="FN55" i="183"/>
  <c r="FN60" i="183"/>
  <c r="FO79" i="184"/>
  <c r="AF39" i="184" s="1"/>
  <c r="FN67" i="185"/>
  <c r="FN64" i="183"/>
  <c r="FN65" i="186"/>
  <c r="FN59" i="184"/>
  <c r="FP74" i="184"/>
  <c r="AE14" i="170"/>
  <c r="AE22" i="170"/>
  <c r="AE30" i="170"/>
  <c r="AD38" i="170"/>
  <c r="FP67" i="183"/>
  <c r="FO67" i="184"/>
  <c r="AF27" i="184" s="1"/>
  <c r="FN75" i="185"/>
  <c r="FN73" i="184"/>
  <c r="FN58" i="183"/>
  <c r="FO55" i="184"/>
  <c r="AF15" i="184" s="1"/>
  <c r="J44" i="185"/>
  <c r="L44" i="185"/>
  <c r="BU44" i="185" s="1"/>
  <c r="K44" i="185"/>
  <c r="AA17" i="170"/>
  <c r="AC20" i="170"/>
  <c r="AA25" i="170"/>
  <c r="AC28" i="170"/>
  <c r="AA33" i="170"/>
  <c r="AC36" i="170"/>
  <c r="AA41" i="170"/>
  <c r="AC44" i="170"/>
  <c r="AA49" i="170"/>
  <c r="AR24" i="183"/>
  <c r="AS24" i="183" s="1"/>
  <c r="AS28" i="183"/>
  <c r="FF68" i="183" s="1"/>
  <c r="AZ34" i="183"/>
  <c r="FH74" i="183" s="1"/>
  <c r="FO69" i="183"/>
  <c r="AF29" i="183" s="1"/>
  <c r="FP69" i="183"/>
  <c r="AD15" i="170"/>
  <c r="AE16" i="170"/>
  <c r="AD23" i="170"/>
  <c r="AE24" i="170"/>
  <c r="AD31" i="170"/>
  <c r="AE32" i="170"/>
  <c r="AD39" i="170"/>
  <c r="AE40" i="170"/>
  <c r="AD47" i="170"/>
  <c r="AE48" i="170"/>
  <c r="AS23" i="183"/>
  <c r="FF63" i="183" s="1"/>
  <c r="AS27" i="183"/>
  <c r="FF67" i="183" s="1"/>
  <c r="B48" i="183"/>
  <c r="X24" i="183" s="1"/>
  <c r="FN65" i="183"/>
  <c r="EO68" i="183"/>
  <c r="Q44" i="184"/>
  <c r="R44" i="184"/>
  <c r="AE15" i="170"/>
  <c r="AE17" i="170"/>
  <c r="AF18" i="170"/>
  <c r="AF25" i="170"/>
  <c r="AF26" i="170"/>
  <c r="AE31" i="170"/>
  <c r="AF33" i="170"/>
  <c r="AF34" i="170"/>
  <c r="AE39" i="170"/>
  <c r="AC41" i="170"/>
  <c r="AF42" i="170"/>
  <c r="AE47" i="170"/>
  <c r="AC49" i="170"/>
  <c r="AR35" i="183"/>
  <c r="FF75" i="183" s="1"/>
  <c r="FN56" i="183"/>
  <c r="AE34" i="170"/>
  <c r="AE42" i="170"/>
  <c r="AA13" i="170"/>
  <c r="AB16" i="170"/>
  <c r="AA21" i="170"/>
  <c r="AC24" i="170"/>
  <c r="AE29" i="170"/>
  <c r="AC32" i="170"/>
  <c r="AA37" i="170"/>
  <c r="AC40" i="170"/>
  <c r="AA45" i="170"/>
  <c r="AC48" i="170"/>
  <c r="BD20" i="183"/>
  <c r="FI60" i="183" s="1"/>
  <c r="L41" i="184"/>
  <c r="BU41" i="184" s="1"/>
  <c r="K41" i="184"/>
  <c r="J41" i="184"/>
  <c r="P44" i="186"/>
  <c r="O44" i="186"/>
  <c r="AD19" i="170"/>
  <c r="AE20" i="170"/>
  <c r="AD27" i="170"/>
  <c r="AE28" i="170"/>
  <c r="AD35" i="170"/>
  <c r="AE36" i="170"/>
  <c r="AD43" i="170"/>
  <c r="AE44" i="170"/>
  <c r="EQ44" i="183"/>
  <c r="FN62" i="183"/>
  <c r="AF13" i="170"/>
  <c r="AF14" i="170"/>
  <c r="AE19" i="170"/>
  <c r="AC21" i="170"/>
  <c r="AF22" i="170"/>
  <c r="AC29" i="170"/>
  <c r="AF30" i="170"/>
  <c r="AE35" i="170"/>
  <c r="AF37" i="170"/>
  <c r="AF38" i="170"/>
  <c r="AE43" i="170"/>
  <c r="AC45" i="170"/>
  <c r="AF46" i="170"/>
  <c r="EO80" i="183"/>
  <c r="DG84" i="183"/>
  <c r="EO84" i="183"/>
  <c r="DS85" i="183"/>
  <c r="DT85" i="183" s="1"/>
  <c r="AS37" i="184"/>
  <c r="FF77" i="184" s="1"/>
  <c r="EO57" i="184"/>
  <c r="FO58" i="184"/>
  <c r="AF18" i="184" s="1"/>
  <c r="EO60" i="184"/>
  <c r="EO61" i="184"/>
  <c r="FN63" i="184"/>
  <c r="FO66" i="184"/>
  <c r="AF26" i="184" s="1"/>
  <c r="FO70" i="184"/>
  <c r="AF30" i="184" s="1"/>
  <c r="FO71" i="184"/>
  <c r="AF31" i="184" s="1"/>
  <c r="DI81" i="184"/>
  <c r="EW81" i="184" s="1"/>
  <c r="FB81" i="184"/>
  <c r="DD82" i="184"/>
  <c r="EI82" i="184"/>
  <c r="EQ45" i="185"/>
  <c r="FO69" i="185"/>
  <c r="AF29" i="185" s="1"/>
  <c r="FB81" i="185"/>
  <c r="DA82" i="185"/>
  <c r="DI83" i="185"/>
  <c r="EW83" i="185" s="1"/>
  <c r="FD84" i="185"/>
  <c r="DA85" i="185"/>
  <c r="EI85" i="185"/>
  <c r="EQ36" i="186"/>
  <c r="EQ39" i="186"/>
  <c r="EO62" i="186"/>
  <c r="FO65" i="186"/>
  <c r="AF25" i="186" s="1"/>
  <c r="EO70" i="186"/>
  <c r="DB73" i="186"/>
  <c r="FE74" i="186"/>
  <c r="DD75" i="186"/>
  <c r="ET75" i="186"/>
  <c r="CX76" i="186"/>
  <c r="N36" i="186" s="1"/>
  <c r="EO78" i="186"/>
  <c r="DH79" i="186"/>
  <c r="FD79" i="186"/>
  <c r="DD80" i="186"/>
  <c r="DZ81" i="186"/>
  <c r="P41" i="186" s="1"/>
  <c r="DL82" i="186"/>
  <c r="DN82" i="186" s="1"/>
  <c r="EA82" i="186"/>
  <c r="DG84" i="186"/>
  <c r="FN66" i="183"/>
  <c r="DH84" i="183"/>
  <c r="ET84" i="183"/>
  <c r="DG85" i="183"/>
  <c r="ET85" i="183"/>
  <c r="FO54" i="184"/>
  <c r="AF14" i="184" s="1"/>
  <c r="FO59" i="184"/>
  <c r="AF19" i="184" s="1"/>
  <c r="FD81" i="184"/>
  <c r="CW83" i="184"/>
  <c r="M43" i="184" s="1"/>
  <c r="DS84" i="184"/>
  <c r="DU84" i="184" s="1"/>
  <c r="DG84" i="184"/>
  <c r="EI84" i="184"/>
  <c r="CW85" i="184"/>
  <c r="M45" i="184" s="1"/>
  <c r="EO59" i="185"/>
  <c r="FN70" i="185"/>
  <c r="ET71" i="185"/>
  <c r="FD81" i="185"/>
  <c r="DC82" i="185"/>
  <c r="EV82" i="185" s="1"/>
  <c r="DJ83" i="185"/>
  <c r="L43" i="185" s="1"/>
  <c r="BU43" i="185" s="1"/>
  <c r="FE83" i="185"/>
  <c r="EE84" i="185"/>
  <c r="EG84" i="185" s="1"/>
  <c r="DL84" i="185" s="1"/>
  <c r="DN84" i="185" s="1"/>
  <c r="DC85" i="185"/>
  <c r="EV85" i="185" s="1"/>
  <c r="FO57" i="186"/>
  <c r="AF17" i="186" s="1"/>
  <c r="FO61" i="186"/>
  <c r="AF21" i="186" s="1"/>
  <c r="FN70" i="186"/>
  <c r="EO83" i="186"/>
  <c r="B48" i="184"/>
  <c r="EO55" i="184"/>
  <c r="EO63" i="184"/>
  <c r="FN66" i="184"/>
  <c r="FN70" i="184"/>
  <c r="ET79" i="184"/>
  <c r="FN79" i="184"/>
  <c r="CX83" i="184"/>
  <c r="N43" i="184" s="1"/>
  <c r="DH84" i="184"/>
  <c r="ET82" i="185"/>
  <c r="DS85" i="185"/>
  <c r="DT85" i="185" s="1"/>
  <c r="ET55" i="186"/>
  <c r="ET63" i="186"/>
  <c r="FN69" i="186"/>
  <c r="FB75" i="186"/>
  <c r="DB76" i="186"/>
  <c r="EH76" i="186"/>
  <c r="EJ76" i="186" s="1"/>
  <c r="DS76" i="186" s="1"/>
  <c r="DT76" i="186" s="1"/>
  <c r="DX76" i="186" s="1"/>
  <c r="EA77" i="186"/>
  <c r="CW81" i="186"/>
  <c r="M41" i="186" s="1"/>
  <c r="ET83" i="186"/>
  <c r="CW85" i="186"/>
  <c r="M45" i="186" s="1"/>
  <c r="EF85" i="186"/>
  <c r="ET68" i="183"/>
  <c r="EO72" i="183"/>
  <c r="EO83" i="183"/>
  <c r="CX85" i="183"/>
  <c r="N45" i="183" s="1"/>
  <c r="FB85" i="183"/>
  <c r="AS15" i="184"/>
  <c r="FF55" i="184" s="1"/>
  <c r="ET57" i="184"/>
  <c r="FN58" i="184"/>
  <c r="FO62" i="184"/>
  <c r="AF22" i="184" s="1"/>
  <c r="FO78" i="184"/>
  <c r="AF38" i="184" s="1"/>
  <c r="EA82" i="184"/>
  <c r="Q42" i="184" s="1"/>
  <c r="CV84" i="184"/>
  <c r="FC84" i="184"/>
  <c r="EO57" i="185"/>
  <c r="ET58" i="185"/>
  <c r="FN60" i="185"/>
  <c r="FN61" i="185"/>
  <c r="FO62" i="185"/>
  <c r="AF22" i="185" s="1"/>
  <c r="FN65" i="185"/>
  <c r="EO69" i="185"/>
  <c r="FN74" i="185"/>
  <c r="ET78" i="185"/>
  <c r="FN79" i="185"/>
  <c r="EH84" i="185"/>
  <c r="EJ84" i="185" s="1"/>
  <c r="DS84" i="185" s="1"/>
  <c r="DT84" i="185" s="1"/>
  <c r="DH85" i="185"/>
  <c r="ET67" i="186"/>
  <c r="EO74" i="186"/>
  <c r="DH75" i="186"/>
  <c r="FE75" i="186"/>
  <c r="DD76" i="186"/>
  <c r="CW77" i="186"/>
  <c r="M37" i="186" s="1"/>
  <c r="DZ78" i="186"/>
  <c r="ET80" i="186"/>
  <c r="CV84" i="186"/>
  <c r="FC84" i="183"/>
  <c r="FF61" i="184"/>
  <c r="AS29" i="184"/>
  <c r="FF69" i="184" s="1"/>
  <c r="FP62" i="184"/>
  <c r="EO77" i="184"/>
  <c r="FN77" i="184"/>
  <c r="FD84" i="184"/>
  <c r="ET85" i="184"/>
  <c r="FN56" i="185"/>
  <c r="FO61" i="185"/>
  <c r="AF21" i="185" s="1"/>
  <c r="FP62" i="185"/>
  <c r="FO65" i="185"/>
  <c r="AF25" i="185" s="1"/>
  <c r="FN66" i="185"/>
  <c r="FN72" i="185"/>
  <c r="EO73" i="185"/>
  <c r="EO76" i="185"/>
  <c r="DS81" i="185"/>
  <c r="DU81" i="185" s="1"/>
  <c r="DH81" i="185"/>
  <c r="FB82" i="185"/>
  <c r="ET85" i="185"/>
  <c r="ET59" i="186"/>
  <c r="ET70" i="186"/>
  <c r="DH74" i="186"/>
  <c r="CV75" i="186"/>
  <c r="DI75" i="186"/>
  <c r="EW75" i="186" s="1"/>
  <c r="EW76" i="186"/>
  <c r="EA78" i="186"/>
  <c r="FD78" i="186"/>
  <c r="DA79" i="186"/>
  <c r="DZ80" i="186"/>
  <c r="EF81" i="186"/>
  <c r="DG83" i="186"/>
  <c r="CX84" i="186"/>
  <c r="N44" i="186" s="1"/>
  <c r="EE84" i="183"/>
  <c r="EG84" i="183" s="1"/>
  <c r="DL84" i="183" s="1"/>
  <c r="FF65" i="184"/>
  <c r="FF73" i="184"/>
  <c r="FO75" i="184"/>
  <c r="AF35" i="184" s="1"/>
  <c r="EV85" i="184"/>
  <c r="FO56" i="185"/>
  <c r="AF16" i="185" s="1"/>
  <c r="FO57" i="185"/>
  <c r="AF17" i="185" s="1"/>
  <c r="FO58" i="185"/>
  <c r="AF18" i="185" s="1"/>
  <c r="FN71" i="185"/>
  <c r="FO78" i="185"/>
  <c r="AF38" i="185" s="1"/>
  <c r="EO81" i="185"/>
  <c r="FE82" i="185"/>
  <c r="CW84" i="185"/>
  <c r="M44" i="185" s="1"/>
  <c r="DZ84" i="185"/>
  <c r="CX85" i="185"/>
  <c r="N45" i="185" s="1"/>
  <c r="DB77" i="186"/>
  <c r="CX78" i="186"/>
  <c r="N38" i="186" s="1"/>
  <c r="DH83" i="186"/>
  <c r="FN67" i="184"/>
  <c r="FN75" i="184"/>
  <c r="FN57" i="185"/>
  <c r="FO77" i="185"/>
  <c r="AF37" i="185" s="1"/>
  <c r="FP78" i="185"/>
  <c r="ET81" i="185"/>
  <c r="EO57" i="186"/>
  <c r="EO65" i="186"/>
  <c r="DJ76" i="186"/>
  <c r="CX80" i="186"/>
  <c r="N40" i="186" s="1"/>
  <c r="CV83" i="186"/>
  <c r="DI83" i="186"/>
  <c r="EW83" i="186" s="1"/>
  <c r="FD83" i="186"/>
  <c r="FC84" i="186"/>
  <c r="DJ85" i="186"/>
  <c r="EO80" i="185"/>
  <c r="CX81" i="185"/>
  <c r="N41" i="185" s="1"/>
  <c r="EO55" i="186"/>
  <c r="EO61" i="186"/>
  <c r="EO69" i="186"/>
  <c r="FD74" i="186"/>
  <c r="EV79" i="186"/>
  <c r="DL80" i="186"/>
  <c r="DM80" i="186" s="1"/>
  <c r="EW81" i="186"/>
  <c r="EV82" i="186"/>
  <c r="CX83" i="186"/>
  <c r="N43" i="186" s="1"/>
  <c r="EW85" i="186"/>
  <c r="D1" i="196"/>
  <c r="EZ70" i="184"/>
  <c r="EX70" i="184" s="1"/>
  <c r="FA70" i="184"/>
  <c r="EY70" i="184" s="1"/>
  <c r="AO28" i="178"/>
  <c r="P27" i="178"/>
  <c r="P53" i="179"/>
  <c r="AO54" i="179"/>
  <c r="AO17" i="181"/>
  <c r="P16" i="181"/>
  <c r="P35" i="181"/>
  <c r="AO36" i="181"/>
  <c r="FC72" i="183"/>
  <c r="EN69" i="184"/>
  <c r="X29" i="184" s="1"/>
  <c r="CW69" i="184"/>
  <c r="M29" i="184" s="1"/>
  <c r="CW72" i="183"/>
  <c r="M32" i="183" s="1"/>
  <c r="EN72" i="183"/>
  <c r="X32" i="183" s="1"/>
  <c r="GE32" i="183" s="1"/>
  <c r="P26" i="179"/>
  <c r="AO27" i="179"/>
  <c r="GE30" i="183"/>
  <c r="GB30" i="183"/>
  <c r="GA30" i="183"/>
  <c r="P50" i="178"/>
  <c r="AO51" i="178"/>
  <c r="P21" i="179"/>
  <c r="AO22" i="179"/>
  <c r="P32" i="181"/>
  <c r="AO33" i="181"/>
  <c r="P33" i="181" s="1"/>
  <c r="EN77" i="183"/>
  <c r="X37" i="183" s="1"/>
  <c r="CW77" i="183"/>
  <c r="M37" i="183" s="1"/>
  <c r="ES81" i="183"/>
  <c r="Y41" i="183" s="1"/>
  <c r="CX81" i="183"/>
  <c r="N41" i="183" s="1"/>
  <c r="AO16" i="178"/>
  <c r="P15" i="178"/>
  <c r="EN69" i="183"/>
  <c r="X29" i="183" s="1"/>
  <c r="CW69" i="183"/>
  <c r="M29" i="183" s="1"/>
  <c r="P31" i="178"/>
  <c r="AO32" i="178"/>
  <c r="GB34" i="183"/>
  <c r="GA34" i="183"/>
  <c r="AA34" i="170"/>
  <c r="AC37" i="170"/>
  <c r="L44" i="183"/>
  <c r="BU44" i="183" s="1"/>
  <c r="J44" i="183"/>
  <c r="FO41" i="184"/>
  <c r="AF17" i="170"/>
  <c r="Z20" i="170"/>
  <c r="AD26" i="170"/>
  <c r="AC16" i="170"/>
  <c r="AE23" i="170"/>
  <c r="AE27" i="170"/>
  <c r="AA29" i="170"/>
  <c r="AB13" i="170"/>
  <c r="Z14" i="170"/>
  <c r="AF15" i="170"/>
  <c r="AD16" i="170"/>
  <c r="AB17" i="170"/>
  <c r="Z18" i="170"/>
  <c r="AF19" i="170"/>
  <c r="AD20" i="170"/>
  <c r="AB21" i="170"/>
  <c r="Z22" i="170"/>
  <c r="AF23" i="170"/>
  <c r="AD24" i="170"/>
  <c r="AB25" i="170"/>
  <c r="Z26" i="170"/>
  <c r="AF27" i="170"/>
  <c r="AD28" i="170"/>
  <c r="AB29" i="170"/>
  <c r="Z30" i="170"/>
  <c r="AF31" i="170"/>
  <c r="AD32" i="170"/>
  <c r="AB33" i="170"/>
  <c r="Z34" i="170"/>
  <c r="AF35" i="170"/>
  <c r="AD36" i="170"/>
  <c r="AB37" i="170"/>
  <c r="Z38" i="170"/>
  <c r="AF39" i="170"/>
  <c r="AD40" i="170"/>
  <c r="AB41" i="170"/>
  <c r="Z42" i="170"/>
  <c r="AF43" i="170"/>
  <c r="AD44" i="170"/>
  <c r="AB45" i="170"/>
  <c r="Z46" i="170"/>
  <c r="AF47" i="170"/>
  <c r="AD48" i="170"/>
  <c r="AB49" i="170"/>
  <c r="AO37" i="178"/>
  <c r="AO45" i="178"/>
  <c r="AO16" i="179"/>
  <c r="AO32" i="179"/>
  <c r="AO19" i="180"/>
  <c r="AO27" i="180"/>
  <c r="AO35" i="180"/>
  <c r="AO43" i="180"/>
  <c r="AO51" i="180"/>
  <c r="AO30" i="181"/>
  <c r="P30" i="181" s="1"/>
  <c r="AO46" i="181"/>
  <c r="IS12" i="183"/>
  <c r="JA12" i="183"/>
  <c r="JI12" i="183"/>
  <c r="FQ14" i="183"/>
  <c r="AS18" i="183"/>
  <c r="FF58" i="183" s="1"/>
  <c r="HI26" i="183"/>
  <c r="HS26" i="183"/>
  <c r="GF28" i="183"/>
  <c r="BJ28" i="183"/>
  <c r="BK29" i="183"/>
  <c r="BK30" i="183"/>
  <c r="BK31" i="183"/>
  <c r="GB31" i="183"/>
  <c r="BZ32" i="183"/>
  <c r="FO32" i="183"/>
  <c r="FQ36" i="183"/>
  <c r="BZ39" i="183"/>
  <c r="GB39" i="183"/>
  <c r="FF56" i="183"/>
  <c r="FO65" i="183"/>
  <c r="EU71" i="183"/>
  <c r="EO73" i="183"/>
  <c r="EB74" i="183"/>
  <c r="ET75" i="183"/>
  <c r="EO78" i="183"/>
  <c r="CW78" i="183"/>
  <c r="M38" i="183" s="1"/>
  <c r="EL80" i="183"/>
  <c r="EM80" i="183" s="1"/>
  <c r="BE40" i="183"/>
  <c r="BD40" i="183"/>
  <c r="FI80" i="183" s="1"/>
  <c r="DS84" i="183"/>
  <c r="EQ85" i="183"/>
  <c r="ER85" i="183" s="1"/>
  <c r="ES85" i="183" s="1"/>
  <c r="Y45" i="183" s="1"/>
  <c r="FQ19" i="184"/>
  <c r="FA62" i="184"/>
  <c r="EY62" i="184" s="1"/>
  <c r="EZ62" i="184"/>
  <c r="EX62" i="184" s="1"/>
  <c r="FO27" i="184"/>
  <c r="GF27" i="184"/>
  <c r="BK27" i="184"/>
  <c r="FO30" i="184"/>
  <c r="BZ37" i="184"/>
  <c r="GA39" i="184"/>
  <c r="GC43" i="184"/>
  <c r="GB43" i="184"/>
  <c r="GA43" i="184"/>
  <c r="GE43" i="184"/>
  <c r="GD43" i="184"/>
  <c r="EB54" i="184"/>
  <c r="EO65" i="184"/>
  <c r="EL65" i="184"/>
  <c r="EM65" i="184" s="1"/>
  <c r="ES69" i="184"/>
  <c r="Y29" i="184" s="1"/>
  <c r="ET70" i="184"/>
  <c r="CX70" i="184"/>
  <c r="N30" i="184" s="1"/>
  <c r="ET73" i="184"/>
  <c r="FB70" i="185"/>
  <c r="AA42" i="170"/>
  <c r="FQ32" i="183"/>
  <c r="FO63" i="183"/>
  <c r="FP68" i="183"/>
  <c r="FO68" i="183"/>
  <c r="FN68" i="183"/>
  <c r="EU74" i="183"/>
  <c r="EL74" i="183"/>
  <c r="EM74" i="183" s="1"/>
  <c r="EN74" i="183" s="1"/>
  <c r="X34" i="183" s="1"/>
  <c r="GE34" i="183" s="1"/>
  <c r="BA41" i="183"/>
  <c r="AZ41" i="183"/>
  <c r="FH81" i="183" s="1"/>
  <c r="FA72" i="184"/>
  <c r="EY72" i="184" s="1"/>
  <c r="EZ72" i="184"/>
  <c r="EX72" i="184" s="1"/>
  <c r="FP68" i="185"/>
  <c r="FO68" i="185"/>
  <c r="FN68" i="185"/>
  <c r="GA41" i="186"/>
  <c r="GE41" i="186"/>
  <c r="GC41" i="186"/>
  <c r="GB41" i="186"/>
  <c r="GD41" i="186"/>
  <c r="AD13" i="170"/>
  <c r="AB14" i="170"/>
  <c r="Z15" i="170"/>
  <c r="AF16" i="170"/>
  <c r="AD17" i="170"/>
  <c r="AB18" i="170"/>
  <c r="Z19" i="170"/>
  <c r="AF20" i="170"/>
  <c r="AD21" i="170"/>
  <c r="AB22" i="170"/>
  <c r="Z23" i="170"/>
  <c r="AF24" i="170"/>
  <c r="AD25" i="170"/>
  <c r="AB26" i="170"/>
  <c r="Z27" i="170"/>
  <c r="AF28" i="170"/>
  <c r="AD29" i="170"/>
  <c r="AB30" i="170"/>
  <c r="Z31" i="170"/>
  <c r="AF32" i="170"/>
  <c r="AD33" i="170"/>
  <c r="AB34" i="170"/>
  <c r="Z35" i="170"/>
  <c r="AF36" i="170"/>
  <c r="AD37" i="170"/>
  <c r="AB38" i="170"/>
  <c r="Z39" i="170"/>
  <c r="AF40" i="170"/>
  <c r="AD41" i="170"/>
  <c r="AB42" i="170"/>
  <c r="Z43" i="170"/>
  <c r="AF44" i="170"/>
  <c r="AD45" i="170"/>
  <c r="AB46" i="170"/>
  <c r="Z47" i="170"/>
  <c r="AF48" i="170"/>
  <c r="AD49" i="170"/>
  <c r="P49" i="178"/>
  <c r="P20" i="179"/>
  <c r="P52" i="179"/>
  <c r="I2" i="181"/>
  <c r="P34" i="181"/>
  <c r="P42" i="181"/>
  <c r="L17" i="182"/>
  <c r="N17" i="182" s="1"/>
  <c r="O17" i="182" s="1" a="1"/>
  <c r="O17" i="182" s="1"/>
  <c r="L33" i="182"/>
  <c r="Q1" i="183"/>
  <c r="AU1" i="183" s="1"/>
  <c r="HZ26" i="183"/>
  <c r="HR26" i="183"/>
  <c r="HJ26" i="183"/>
  <c r="IM12" i="183"/>
  <c r="IU12" i="183"/>
  <c r="JC12" i="183"/>
  <c r="JK12" i="183"/>
  <c r="BZ18" i="183"/>
  <c r="BZ24" i="183"/>
  <c r="HL26" i="183"/>
  <c r="HU26" i="183"/>
  <c r="ID26" i="183"/>
  <c r="AS29" i="183"/>
  <c r="FF69" i="183" s="1"/>
  <c r="FO30" i="183"/>
  <c r="BN31" i="183"/>
  <c r="BM31" i="183" s="1"/>
  <c r="BZ31" i="183"/>
  <c r="BN33" i="183"/>
  <c r="BM33" i="183" s="1"/>
  <c r="FQ34" i="183"/>
  <c r="EZ34" i="183"/>
  <c r="EY34" i="183"/>
  <c r="BN35" i="183"/>
  <c r="BO35" i="183" s="1"/>
  <c r="GB36" i="183"/>
  <c r="AS37" i="183"/>
  <c r="FO37" i="183"/>
  <c r="GF38" i="183"/>
  <c r="BK39" i="183"/>
  <c r="EY40" i="183"/>
  <c r="EZ40" i="183"/>
  <c r="BZ41" i="183"/>
  <c r="FO42" i="183"/>
  <c r="BJ42" i="183"/>
  <c r="GF42" i="183"/>
  <c r="K44" i="183"/>
  <c r="BJ45" i="183"/>
  <c r="BK45" i="183"/>
  <c r="FO59" i="183"/>
  <c r="EQ68" i="183"/>
  <c r="ER68" i="183" s="1"/>
  <c r="BA28" i="183"/>
  <c r="AZ28" i="183"/>
  <c r="FH68" i="183" s="1"/>
  <c r="EB69" i="183"/>
  <c r="EU70" i="183"/>
  <c r="EL70" i="183"/>
  <c r="EM70" i="183" s="1"/>
  <c r="EN70" i="183" s="1"/>
  <c r="X30" i="183" s="1"/>
  <c r="ET71" i="183"/>
  <c r="EO74" i="183"/>
  <c r="CW74" i="183"/>
  <c r="M34" i="183" s="1"/>
  <c r="CX76" i="183"/>
  <c r="N36" i="183" s="1"/>
  <c r="EL76" i="183"/>
  <c r="EM76" i="183" s="1"/>
  <c r="EZ77" i="183"/>
  <c r="EX77" i="183" s="1"/>
  <c r="AW37" i="183"/>
  <c r="AV37" i="183"/>
  <c r="FG77" i="183" s="1"/>
  <c r="EU83" i="183"/>
  <c r="BA44" i="183"/>
  <c r="AZ44" i="183"/>
  <c r="FH84" i="183" s="1"/>
  <c r="BQ14" i="184"/>
  <c r="BP14" i="184"/>
  <c r="BN14" i="184"/>
  <c r="BM14" i="184" s="1"/>
  <c r="AS14" i="184"/>
  <c r="FF54" i="184" s="1"/>
  <c r="BJ15" i="184"/>
  <c r="GF15" i="184"/>
  <c r="FQ23" i="184"/>
  <c r="FQ15" i="184"/>
  <c r="GB20" i="184"/>
  <c r="GA20" i="184"/>
  <c r="FO31" i="184"/>
  <c r="BJ31" i="184"/>
  <c r="GF31" i="184"/>
  <c r="BQ33" i="184"/>
  <c r="BP33" i="184"/>
  <c r="BN33" i="184"/>
  <c r="BO33" i="184" s="1"/>
  <c r="FO35" i="184"/>
  <c r="BJ35" i="184"/>
  <c r="GF35" i="184"/>
  <c r="FQ38" i="184"/>
  <c r="ET54" i="184"/>
  <c r="EQ54" i="184"/>
  <c r="ER54" i="184" s="1"/>
  <c r="ES55" i="184"/>
  <c r="Y15" i="184" s="1"/>
  <c r="EU58" i="184"/>
  <c r="EL58" i="184"/>
  <c r="EM58" i="184" s="1"/>
  <c r="EN58" i="184" s="1"/>
  <c r="X18" i="184" s="1"/>
  <c r="GE18" i="184" s="1"/>
  <c r="EQ58" i="184"/>
  <c r="ER58" i="184" s="1"/>
  <c r="ES58" i="184" s="1"/>
  <c r="Y18" i="184" s="1"/>
  <c r="AF23" i="184"/>
  <c r="ET69" i="184"/>
  <c r="CX69" i="184"/>
  <c r="N29" i="184" s="1"/>
  <c r="BA35" i="184"/>
  <c r="AZ35" i="184"/>
  <c r="FH75" i="184" s="1"/>
  <c r="AZ33" i="185"/>
  <c r="FH73" i="185" s="1"/>
  <c r="BA33" i="185"/>
  <c r="AA14" i="170"/>
  <c r="AC17" i="170"/>
  <c r="AA22" i="170"/>
  <c r="FO61" i="183"/>
  <c r="EO85" i="183"/>
  <c r="FD85" i="183"/>
  <c r="DF85" i="183"/>
  <c r="GF38" i="184"/>
  <c r="BJ38" i="184"/>
  <c r="FO38" i="184"/>
  <c r="EO70" i="184"/>
  <c r="AE13" i="170"/>
  <c r="AC14" i="170"/>
  <c r="AA15" i="170"/>
  <c r="AC18" i="170"/>
  <c r="AA19" i="170"/>
  <c r="AE21" i="170"/>
  <c r="AC22" i="170"/>
  <c r="AE25" i="170"/>
  <c r="AC26" i="170"/>
  <c r="AC30" i="170"/>
  <c r="AA31" i="170"/>
  <c r="AE33" i="170"/>
  <c r="AC34" i="170"/>
  <c r="AA35" i="170"/>
  <c r="AE37" i="170"/>
  <c r="AC38" i="170"/>
  <c r="AA39" i="170"/>
  <c r="AE41" i="170"/>
  <c r="AC42" i="170"/>
  <c r="AA43" i="170"/>
  <c r="AE45" i="170"/>
  <c r="AC46" i="170"/>
  <c r="AA47" i="170"/>
  <c r="AE49" i="170"/>
  <c r="AO22" i="178"/>
  <c r="AO41" i="179"/>
  <c r="AO49" i="179"/>
  <c r="I2" i="180"/>
  <c r="AO23" i="181"/>
  <c r="P23" i="181" s="1"/>
  <c r="Q2" i="183"/>
  <c r="AU2" i="183" s="1"/>
  <c r="IN12" i="183"/>
  <c r="IV12" i="183"/>
  <c r="JD12" i="183"/>
  <c r="FO40" i="183"/>
  <c r="FO39" i="183"/>
  <c r="FF54" i="183"/>
  <c r="AS15" i="183"/>
  <c r="FF55" i="183" s="1"/>
  <c r="BZ17" i="183"/>
  <c r="FQ19" i="183"/>
  <c r="AS20" i="183"/>
  <c r="FF60" i="183" s="1"/>
  <c r="FQ22" i="183"/>
  <c r="BZ23" i="183"/>
  <c r="FQ24" i="183"/>
  <c r="FQ26" i="183"/>
  <c r="HM26" i="183"/>
  <c r="HV26" i="183"/>
  <c r="BM28" i="183"/>
  <c r="FQ29" i="183"/>
  <c r="FO31" i="183"/>
  <c r="EZ32" i="183"/>
  <c r="BK33" i="183"/>
  <c r="FO35" i="183"/>
  <c r="GF35" i="183"/>
  <c r="FQ35" i="183"/>
  <c r="BZ36" i="183"/>
  <c r="FQ37" i="183"/>
  <c r="BJ38" i="183"/>
  <c r="BZ40" i="183"/>
  <c r="FQ42" i="183"/>
  <c r="FO44" i="183"/>
  <c r="BR45" i="183"/>
  <c r="FQ45" i="183"/>
  <c r="FO55" i="183"/>
  <c r="FO54" i="183"/>
  <c r="FQ54" i="183" s="1"/>
  <c r="FR54" i="183" s="1"/>
  <c r="FU55" i="183" s="1"/>
  <c r="FO57" i="183"/>
  <c r="FF59" i="183"/>
  <c r="EZ69" i="183"/>
  <c r="EX69" i="183" s="1"/>
  <c r="EO70" i="183"/>
  <c r="CW70" i="183"/>
  <c r="M30" i="183" s="1"/>
  <c r="FB71" i="183"/>
  <c r="ES72" i="183"/>
  <c r="Y32" i="183" s="1"/>
  <c r="EB73" i="183"/>
  <c r="EA85" i="183"/>
  <c r="FC85" i="183"/>
  <c r="BQ87" i="183"/>
  <c r="BP87" i="183"/>
  <c r="BO87" i="183"/>
  <c r="BN87" i="183"/>
  <c r="BM87" i="183"/>
  <c r="BR16" i="184"/>
  <c r="FC56" i="184"/>
  <c r="FO17" i="184"/>
  <c r="GF17" i="184"/>
  <c r="BJ17" i="184"/>
  <c r="GA21" i="184"/>
  <c r="FQ24" i="184"/>
  <c r="BZ27" i="184"/>
  <c r="FQ35" i="184"/>
  <c r="FJ56" i="184"/>
  <c r="FJ57" i="184"/>
  <c r="FP60" i="184"/>
  <c r="FO60" i="184"/>
  <c r="FN60" i="184"/>
  <c r="EU67" i="184"/>
  <c r="EL67" i="184"/>
  <c r="EM67" i="184" s="1"/>
  <c r="EQ67" i="184"/>
  <c r="ER67" i="184" s="1"/>
  <c r="ES67" i="184" s="1"/>
  <c r="Y27" i="184" s="1"/>
  <c r="ES78" i="184"/>
  <c r="Y38" i="184" s="1"/>
  <c r="ES74" i="185"/>
  <c r="Y34" i="185" s="1"/>
  <c r="CX74" i="185"/>
  <c r="N34" i="185" s="1"/>
  <c r="AC13" i="170"/>
  <c r="AC33" i="170"/>
  <c r="AA38" i="170"/>
  <c r="EU85" i="183"/>
  <c r="EU81" i="183"/>
  <c r="EU77" i="183"/>
  <c r="EU73" i="183"/>
  <c r="EU69" i="183"/>
  <c r="BR30" i="183"/>
  <c r="FC70" i="183"/>
  <c r="FQ38" i="183"/>
  <c r="EZ38" i="183"/>
  <c r="FQ32" i="184"/>
  <c r="FO43" i="184"/>
  <c r="Z16" i="170"/>
  <c r="AD18" i="170"/>
  <c r="AB27" i="170"/>
  <c r="AF29" i="170"/>
  <c r="AB31" i="170"/>
  <c r="AB35" i="170"/>
  <c r="Z36" i="170"/>
  <c r="AB39" i="170"/>
  <c r="Z40" i="170"/>
  <c r="AF41" i="170"/>
  <c r="AD42" i="170"/>
  <c r="AB43" i="170"/>
  <c r="Z44" i="170"/>
  <c r="AF45" i="170"/>
  <c r="AD46" i="170"/>
  <c r="AB47" i="170"/>
  <c r="Z48" i="170"/>
  <c r="AF49" i="170"/>
  <c r="AO41" i="178"/>
  <c r="AO36" i="179"/>
  <c r="AO15" i="180"/>
  <c r="AO23" i="180"/>
  <c r="AO31" i="180"/>
  <c r="AO47" i="180"/>
  <c r="AO26" i="181"/>
  <c r="P26" i="181" s="1"/>
  <c r="FA70" i="183"/>
  <c r="EY70" i="183" s="1"/>
  <c r="FQ31" i="183"/>
  <c r="FO33" i="183"/>
  <c r="FO34" i="183"/>
  <c r="BQ36" i="183"/>
  <c r="BP36" i="183"/>
  <c r="BP40" i="183"/>
  <c r="GF41" i="183"/>
  <c r="BJ41" i="183"/>
  <c r="FO41" i="183"/>
  <c r="GE44" i="183"/>
  <c r="GC44" i="183"/>
  <c r="GB44" i="183"/>
  <c r="FQ44" i="183"/>
  <c r="IA48" i="183"/>
  <c r="HZ48" i="183"/>
  <c r="HY48" i="183"/>
  <c r="HX48" i="183"/>
  <c r="HW48" i="183"/>
  <c r="FO66" i="183"/>
  <c r="CW68" i="183"/>
  <c r="M28" i="183" s="1"/>
  <c r="FB70" i="183"/>
  <c r="EZ70" i="183"/>
  <c r="EX70" i="183" s="1"/>
  <c r="BE32" i="183"/>
  <c r="BD32" i="183"/>
  <c r="FI72" i="183" s="1"/>
  <c r="EU79" i="183"/>
  <c r="EU80" i="183"/>
  <c r="EO81" i="183"/>
  <c r="EN81" i="183"/>
  <c r="X41" i="183" s="1"/>
  <c r="ET83" i="183"/>
  <c r="R44" i="183"/>
  <c r="Q44" i="183"/>
  <c r="BX87" i="183"/>
  <c r="BW87" i="183"/>
  <c r="EN72" i="184"/>
  <c r="X32" i="184" s="1"/>
  <c r="ES61" i="184"/>
  <c r="Y21" i="184" s="1"/>
  <c r="GA25" i="184"/>
  <c r="GB25" i="184"/>
  <c r="FO26" i="184"/>
  <c r="AS28" i="184"/>
  <c r="FF68" i="184" s="1"/>
  <c r="BD25" i="184"/>
  <c r="FI65" i="184" s="1"/>
  <c r="BE25" i="184"/>
  <c r="ES82" i="184"/>
  <c r="Y42" i="184" s="1"/>
  <c r="GB19" i="185"/>
  <c r="GA19" i="185"/>
  <c r="GE19" i="185"/>
  <c r="FO22" i="185"/>
  <c r="GF22" i="185"/>
  <c r="BJ22" i="185"/>
  <c r="ES66" i="185"/>
  <c r="Y26" i="185" s="1"/>
  <c r="CX66" i="185"/>
  <c r="N26" i="185" s="1"/>
  <c r="EN77" i="185"/>
  <c r="X37" i="185" s="1"/>
  <c r="CW77" i="185"/>
  <c r="M37" i="185" s="1"/>
  <c r="AC25" i="170"/>
  <c r="AA30" i="170"/>
  <c r="FQ26" i="184"/>
  <c r="GB44" i="184"/>
  <c r="GA44" i="184"/>
  <c r="GE44" i="184"/>
  <c r="GD44" i="184"/>
  <c r="GC44" i="184"/>
  <c r="AD14" i="170"/>
  <c r="AF21" i="170"/>
  <c r="AB23" i="170"/>
  <c r="Z24" i="170"/>
  <c r="Z28" i="170"/>
  <c r="AD30" i="170"/>
  <c r="AC15" i="170"/>
  <c r="AC19" i="170"/>
  <c r="AA24" i="170"/>
  <c r="AE26" i="170"/>
  <c r="AA28" i="170"/>
  <c r="AA40" i="170"/>
  <c r="AA44" i="170"/>
  <c r="AE46" i="170"/>
  <c r="AA48" i="170"/>
  <c r="EB80" i="183"/>
  <c r="EB76" i="183"/>
  <c r="EB72" i="183"/>
  <c r="EB68" i="183"/>
  <c r="EB83" i="183"/>
  <c r="EB79" i="183"/>
  <c r="EB75" i="183"/>
  <c r="EB71" i="183"/>
  <c r="BY14" i="183"/>
  <c r="FQ17" i="183"/>
  <c r="FQ23" i="183"/>
  <c r="BZ27" i="183"/>
  <c r="FQ28" i="183"/>
  <c r="GB32" i="183"/>
  <c r="GA32" i="183"/>
  <c r="FQ33" i="183"/>
  <c r="EZ33" i="183"/>
  <c r="BZ33" i="183"/>
  <c r="GB33" i="183"/>
  <c r="BQ35" i="183"/>
  <c r="BN36" i="183"/>
  <c r="BM36" i="183" s="1"/>
  <c r="GE37" i="183"/>
  <c r="GB37" i="183"/>
  <c r="GA37" i="183"/>
  <c r="BR38" i="183"/>
  <c r="FC78" i="183"/>
  <c r="BN40" i="183"/>
  <c r="BO40" i="183" s="1"/>
  <c r="BK42" i="183"/>
  <c r="FO43" i="183"/>
  <c r="GF43" i="183"/>
  <c r="FQ43" i="183"/>
  <c r="GA44" i="183"/>
  <c r="GE45" i="183"/>
  <c r="GD45" i="183"/>
  <c r="GB45" i="183"/>
  <c r="GA45" i="183"/>
  <c r="HV48" i="183"/>
  <c r="FO62" i="183"/>
  <c r="FO64" i="183"/>
  <c r="EN68" i="183"/>
  <c r="X28" i="183" s="1"/>
  <c r="EQ73" i="183"/>
  <c r="ER73" i="183" s="1"/>
  <c r="ES73" i="183" s="1"/>
  <c r="Y33" i="183" s="1"/>
  <c r="GE33" i="183" s="1"/>
  <c r="EU82" i="183"/>
  <c r="EL82" i="183"/>
  <c r="EM82" i="183" s="1"/>
  <c r="EN82" i="183" s="1"/>
  <c r="X42" i="183" s="1"/>
  <c r="CZ84" i="183"/>
  <c r="EU84" i="183"/>
  <c r="Q2" i="184"/>
  <c r="AU2" i="184" s="1"/>
  <c r="Q1" i="184"/>
  <c r="AU1" i="184" s="1"/>
  <c r="FQ22" i="184"/>
  <c r="FC70" i="184"/>
  <c r="BR30" i="184"/>
  <c r="EZ71" i="184"/>
  <c r="EX71" i="184" s="1"/>
  <c r="FA71" i="184"/>
  <c r="EY71" i="184" s="1"/>
  <c r="FO37" i="184"/>
  <c r="GF37" i="184"/>
  <c r="BJ37" i="184"/>
  <c r="FA82" i="184"/>
  <c r="EY82" i="184" s="1"/>
  <c r="EZ82" i="184"/>
  <c r="ES57" i="184"/>
  <c r="Y17" i="184" s="1"/>
  <c r="EL57" i="184"/>
  <c r="EM57" i="184" s="1"/>
  <c r="ES63" i="184"/>
  <c r="Y23" i="184" s="1"/>
  <c r="FP65" i="184"/>
  <c r="FO65" i="184"/>
  <c r="FN65" i="184"/>
  <c r="CW77" i="184"/>
  <c r="M37" i="184" s="1"/>
  <c r="BO31" i="186"/>
  <c r="BN31" i="186"/>
  <c r="BM31" i="186"/>
  <c r="FC71" i="186" s="1"/>
  <c r="BQ31" i="186"/>
  <c r="BP31" i="186"/>
  <c r="AD22" i="170"/>
  <c r="AD34" i="170"/>
  <c r="AA16" i="170"/>
  <c r="AE18" i="170"/>
  <c r="AA20" i="170"/>
  <c r="AA32" i="170"/>
  <c r="AA36" i="170"/>
  <c r="AE38" i="170"/>
  <c r="AB20" i="170"/>
  <c r="AB24" i="170"/>
  <c r="AB28" i="170"/>
  <c r="AB32" i="170"/>
  <c r="AB36" i="170"/>
  <c r="AB40" i="170"/>
  <c r="AB44" i="170"/>
  <c r="AB48" i="170"/>
  <c r="I4" i="180"/>
  <c r="BK44" i="183"/>
  <c r="BZ38" i="183"/>
  <c r="BK36" i="183"/>
  <c r="BZ30" i="183"/>
  <c r="BK28" i="183"/>
  <c r="BZ45" i="183"/>
  <c r="BK43" i="183"/>
  <c r="BZ37" i="183"/>
  <c r="BK35" i="183"/>
  <c r="BZ29" i="183"/>
  <c r="BZ26" i="183"/>
  <c r="BZ43" i="183"/>
  <c r="BK41" i="183"/>
  <c r="BZ35" i="183"/>
  <c r="BZ42" i="183"/>
  <c r="BK40" i="183"/>
  <c r="BZ34" i="183"/>
  <c r="IQ12" i="183"/>
  <c r="IY12" i="183"/>
  <c r="JG12" i="183"/>
  <c r="BZ14" i="183"/>
  <c r="FQ16" i="183"/>
  <c r="BZ25" i="183"/>
  <c r="HG26" i="183"/>
  <c r="HP26" i="183"/>
  <c r="HY26" i="183"/>
  <c r="FQ27" i="183"/>
  <c r="BP28" i="183"/>
  <c r="BZ28" i="183"/>
  <c r="BJ29" i="183"/>
  <c r="BQ31" i="183"/>
  <c r="BP31" i="183"/>
  <c r="EZ31" i="183"/>
  <c r="BP32" i="183"/>
  <c r="BO32" i="183"/>
  <c r="BK32" i="183"/>
  <c r="BQ33" i="183"/>
  <c r="EY33" i="183"/>
  <c r="BN34" i="183"/>
  <c r="BM34" i="183" s="1"/>
  <c r="BJ34" i="183"/>
  <c r="BJ37" i="183"/>
  <c r="BK37" i="183"/>
  <c r="FQ39" i="183"/>
  <c r="EZ39" i="183"/>
  <c r="EY39" i="183"/>
  <c r="BQ40" i="183"/>
  <c r="FQ40" i="183"/>
  <c r="BO41" i="183"/>
  <c r="BN41" i="183"/>
  <c r="BM41" i="183" s="1"/>
  <c r="AS42" i="183"/>
  <c r="EZ83" i="183"/>
  <c r="EX83" i="183" s="1"/>
  <c r="BQ44" i="183"/>
  <c r="BP44" i="183"/>
  <c r="BZ44" i="183"/>
  <c r="GD44" i="183"/>
  <c r="IB48" i="183"/>
  <c r="FO60" i="183"/>
  <c r="FN61" i="183"/>
  <c r="FN63" i="183"/>
  <c r="FK72" i="183"/>
  <c r="FB73" i="183"/>
  <c r="EU75" i="183"/>
  <c r="EU76" i="183"/>
  <c r="EO77" i="183"/>
  <c r="FC77" i="183"/>
  <c r="CX77" i="183"/>
  <c r="N37" i="183" s="1"/>
  <c r="EB78" i="183"/>
  <c r="ET79" i="183"/>
  <c r="EO82" i="183"/>
  <c r="CW82" i="183"/>
  <c r="M42" i="183" s="1"/>
  <c r="EZ85" i="183"/>
  <c r="AW45" i="183"/>
  <c r="AV45" i="183"/>
  <c r="FG85" i="183" s="1"/>
  <c r="BZ42" i="184"/>
  <c r="BK40" i="184"/>
  <c r="BZ34" i="184"/>
  <c r="BK32" i="184"/>
  <c r="BZ26" i="184"/>
  <c r="BK24" i="184"/>
  <c r="BZ18" i="184"/>
  <c r="BZ41" i="184"/>
  <c r="BZ40" i="184"/>
  <c r="BK38" i="184"/>
  <c r="BZ32" i="184"/>
  <c r="BK30" i="184"/>
  <c r="BZ24" i="184"/>
  <c r="BK22" i="184"/>
  <c r="BZ16" i="184"/>
  <c r="BK45" i="184"/>
  <c r="BZ39" i="184"/>
  <c r="BK37" i="184"/>
  <c r="BZ31" i="184"/>
  <c r="BK29" i="184"/>
  <c r="BK44" i="184"/>
  <c r="BZ38" i="184"/>
  <c r="BK36" i="184"/>
  <c r="BZ30" i="184"/>
  <c r="BK28" i="184"/>
  <c r="BZ22" i="184"/>
  <c r="BK20" i="184"/>
  <c r="BZ45" i="184"/>
  <c r="BK43" i="184"/>
  <c r="BK41" i="184"/>
  <c r="BZ29" i="184"/>
  <c r="BZ28" i="184"/>
  <c r="BZ25" i="184"/>
  <c r="BZ14" i="184"/>
  <c r="BK35" i="184"/>
  <c r="BK33" i="184"/>
  <c r="BK25" i="184"/>
  <c r="BK18" i="184"/>
  <c r="BZ17" i="184"/>
  <c r="BK16" i="184"/>
  <c r="BZ44" i="184"/>
  <c r="BZ33" i="184"/>
  <c r="BK31" i="184"/>
  <c r="BZ23" i="184"/>
  <c r="BK15" i="184"/>
  <c r="BZ43" i="184"/>
  <c r="BK42" i="184"/>
  <c r="BK39" i="184"/>
  <c r="BZ35" i="184"/>
  <c r="BK26" i="184"/>
  <c r="BK23" i="184"/>
  <c r="BZ19" i="184"/>
  <c r="BK19" i="184"/>
  <c r="BK17" i="184"/>
  <c r="BZ21" i="184"/>
  <c r="FO44" i="184"/>
  <c r="FO36" i="184"/>
  <c r="FO28" i="184"/>
  <c r="FO42" i="184"/>
  <c r="FO40" i="184"/>
  <c r="FO32" i="184"/>
  <c r="FO20" i="184"/>
  <c r="FO34" i="184"/>
  <c r="FO22" i="184"/>
  <c r="FO18" i="184"/>
  <c r="FQ14" i="184"/>
  <c r="FO16" i="184"/>
  <c r="BO29" i="184"/>
  <c r="BM29" i="184"/>
  <c r="BQ29" i="184"/>
  <c r="BK34" i="184"/>
  <c r="BA41" i="184"/>
  <c r="EQ43" i="184"/>
  <c r="FO45" i="184"/>
  <c r="GF45" i="184"/>
  <c r="BJ45" i="184"/>
  <c r="ES70" i="184"/>
  <c r="Y30" i="184" s="1"/>
  <c r="EU78" i="184"/>
  <c r="EL78" i="184"/>
  <c r="EM78" i="184" s="1"/>
  <c r="EN78" i="184" s="1"/>
  <c r="X38" i="184" s="1"/>
  <c r="BR29" i="183"/>
  <c r="BA36" i="183"/>
  <c r="AZ36" i="183"/>
  <c r="FH76" i="183" s="1"/>
  <c r="Z32" i="170"/>
  <c r="IR12" i="183"/>
  <c r="IZ12" i="183"/>
  <c r="JH12" i="183"/>
  <c r="FG54" i="183"/>
  <c r="HH26" i="183"/>
  <c r="HQ26" i="183"/>
  <c r="IA26" i="183"/>
  <c r="GF29" i="183"/>
  <c r="BJ30" i="183"/>
  <c r="BM32" i="183"/>
  <c r="AW33" i="183"/>
  <c r="BK34" i="183"/>
  <c r="EZ35" i="183"/>
  <c r="FO36" i="183"/>
  <c r="FA78" i="183"/>
  <c r="EY78" i="183" s="1"/>
  <c r="BQ39" i="183"/>
  <c r="BP39" i="183"/>
  <c r="BN39" i="183"/>
  <c r="BO39" i="183" s="1"/>
  <c r="BM43" i="183"/>
  <c r="BM44" i="183"/>
  <c r="IC48" i="183"/>
  <c r="FO56" i="183"/>
  <c r="FO58" i="183"/>
  <c r="FN59" i="183"/>
  <c r="FO67" i="183"/>
  <c r="EU68" i="183"/>
  <c r="EO69" i="183"/>
  <c r="FC69" i="183"/>
  <c r="CX69" i="183"/>
  <c r="N29" i="183" s="1"/>
  <c r="CW73" i="183"/>
  <c r="M33" i="183" s="1"/>
  <c r="EQ74" i="183"/>
  <c r="ER74" i="183" s="1"/>
  <c r="ES74" i="183" s="1"/>
  <c r="Y34" i="183" s="1"/>
  <c r="EU78" i="183"/>
  <c r="EL78" i="183"/>
  <c r="EM78" i="183" s="1"/>
  <c r="EN78" i="183" s="1"/>
  <c r="X38" i="183" s="1"/>
  <c r="EQ80" i="183"/>
  <c r="ER80" i="183" s="1"/>
  <c r="EB81" i="183"/>
  <c r="ET81" i="183"/>
  <c r="AS41" i="183"/>
  <c r="AR41" i="183"/>
  <c r="FF81" i="183" s="1"/>
  <c r="FA85" i="183"/>
  <c r="EY85" i="183" s="1"/>
  <c r="EB80" i="184"/>
  <c r="EB79" i="184"/>
  <c r="EB75" i="184"/>
  <c r="EB71" i="184"/>
  <c r="EB77" i="184"/>
  <c r="EB73" i="184"/>
  <c r="EB74" i="184"/>
  <c r="EB69" i="184"/>
  <c r="EB65" i="184"/>
  <c r="EB61" i="184"/>
  <c r="EB57" i="184"/>
  <c r="EB68" i="184"/>
  <c r="EB64" i="184"/>
  <c r="EB60" i="184"/>
  <c r="EB56" i="184"/>
  <c r="EB67" i="184"/>
  <c r="EB63" i="184"/>
  <c r="EB59" i="184"/>
  <c r="EB55" i="184"/>
  <c r="EB76" i="184"/>
  <c r="EB78" i="184"/>
  <c r="EB58" i="184"/>
  <c r="EB70" i="184"/>
  <c r="EB72" i="184"/>
  <c r="EB62" i="184"/>
  <c r="FQ16" i="184"/>
  <c r="BP18" i="184"/>
  <c r="BN18" i="184"/>
  <c r="BO18" i="184" s="1"/>
  <c r="FQ18" i="184"/>
  <c r="GB18" i="184"/>
  <c r="GA18" i="184"/>
  <c r="BJ25" i="184"/>
  <c r="FO25" i="184"/>
  <c r="FF67" i="184"/>
  <c r="BJ27" i="184"/>
  <c r="FQ34" i="184"/>
  <c r="BQ37" i="184"/>
  <c r="BP37" i="184"/>
  <c r="BN37" i="184"/>
  <c r="BO37" i="184" s="1"/>
  <c r="FJ68" i="184"/>
  <c r="FJ74" i="184"/>
  <c r="FJ75" i="184"/>
  <c r="FP80" i="184"/>
  <c r="FO80" i="184"/>
  <c r="FN80" i="184"/>
  <c r="BQ43" i="183"/>
  <c r="EQ71" i="183"/>
  <c r="ER71" i="183" s="1"/>
  <c r="ES71" i="183" s="1"/>
  <c r="Y31" i="183" s="1"/>
  <c r="EQ75" i="183"/>
  <c r="ER75" i="183" s="1"/>
  <c r="ES75" i="183" s="1"/>
  <c r="Y35" i="183" s="1"/>
  <c r="EQ79" i="183"/>
  <c r="ER79" i="183" s="1"/>
  <c r="ES79" i="183" s="1"/>
  <c r="Y39" i="183" s="1"/>
  <c r="EQ83" i="183"/>
  <c r="ER83" i="183" s="1"/>
  <c r="ES83" i="183" s="1"/>
  <c r="Y43" i="183" s="1"/>
  <c r="DI84" i="183"/>
  <c r="EW84" i="183" s="1"/>
  <c r="EE85" i="183"/>
  <c r="EG85" i="183" s="1"/>
  <c r="DL85" i="183" s="1"/>
  <c r="HF12" i="184"/>
  <c r="HN12" i="184"/>
  <c r="HV12" i="184"/>
  <c r="ID12" i="184"/>
  <c r="IS12" i="184"/>
  <c r="JA12" i="184"/>
  <c r="JI12" i="184"/>
  <c r="BQ17" i="184"/>
  <c r="FO19" i="184"/>
  <c r="BJ19" i="184"/>
  <c r="BP20" i="184"/>
  <c r="BN20" i="184"/>
  <c r="FQ20" i="184"/>
  <c r="BQ20" i="184"/>
  <c r="BR24" i="184"/>
  <c r="BQ25" i="184"/>
  <c r="BO25" i="184"/>
  <c r="BQ27" i="184"/>
  <c r="BN27" i="184"/>
  <c r="BM27" i="184" s="1"/>
  <c r="BR32" i="184"/>
  <c r="FC72" i="184"/>
  <c r="FQ33" i="184"/>
  <c r="BQ35" i="184"/>
  <c r="BO35" i="184"/>
  <c r="BN35" i="184"/>
  <c r="BM35" i="184" s="1"/>
  <c r="GA36" i="184"/>
  <c r="BR40" i="184"/>
  <c r="FC80" i="184"/>
  <c r="FQ41" i="184"/>
  <c r="BO45" i="184"/>
  <c r="BN45" i="184"/>
  <c r="BM45" i="184"/>
  <c r="BP45" i="184"/>
  <c r="EU54" i="184"/>
  <c r="EL54" i="184"/>
  <c r="EM54" i="184" s="1"/>
  <c r="EN54" i="184" s="1"/>
  <c r="X14" i="184" s="1"/>
  <c r="EU55" i="184"/>
  <c r="EL55" i="184"/>
  <c r="EM55" i="184" s="1"/>
  <c r="FB56" i="184"/>
  <c r="CX57" i="184"/>
  <c r="N17" i="184" s="1"/>
  <c r="EO58" i="184"/>
  <c r="ET58" i="184"/>
  <c r="EL60" i="184"/>
  <c r="EM60" i="184" s="1"/>
  <c r="EU63" i="184"/>
  <c r="EL63" i="184"/>
  <c r="EM63" i="184" s="1"/>
  <c r="FB64" i="184"/>
  <c r="EU66" i="184"/>
  <c r="EL66" i="184"/>
  <c r="EM66" i="184" s="1"/>
  <c r="EN66" i="184" s="1"/>
  <c r="X26" i="184" s="1"/>
  <c r="EU68" i="184"/>
  <c r="FB70" i="184"/>
  <c r="EN74" i="184"/>
  <c r="X34" i="184" s="1"/>
  <c r="GE34" i="184" s="1"/>
  <c r="AS36" i="184"/>
  <c r="FF76" i="184" s="1"/>
  <c r="EN81" i="184"/>
  <c r="X41" i="184" s="1"/>
  <c r="FO23" i="185"/>
  <c r="GF23" i="185"/>
  <c r="BJ23" i="185"/>
  <c r="GB32" i="185"/>
  <c r="GA32" i="185"/>
  <c r="EA85" i="185"/>
  <c r="FC85" i="185"/>
  <c r="CX70" i="183"/>
  <c r="N30" i="183" s="1"/>
  <c r="ET70" i="183"/>
  <c r="FJ70" i="183"/>
  <c r="ET74" i="183"/>
  <c r="CX78" i="183"/>
  <c r="N38" i="183" s="1"/>
  <c r="ET78" i="183"/>
  <c r="CX82" i="183"/>
  <c r="N42" i="183" s="1"/>
  <c r="ET82" i="183"/>
  <c r="DB84" i="183"/>
  <c r="CZ85" i="183"/>
  <c r="EU85" i="184"/>
  <c r="EU81" i="184"/>
  <c r="EU77" i="184"/>
  <c r="EU84" i="184"/>
  <c r="EU72" i="184"/>
  <c r="HG12" i="184"/>
  <c r="HO12" i="184"/>
  <c r="HW12" i="184"/>
  <c r="IL12" i="184"/>
  <c r="IT12" i="184"/>
  <c r="JB12" i="184"/>
  <c r="JJ12" i="184"/>
  <c r="FA56" i="184"/>
  <c r="EY56" i="184" s="1"/>
  <c r="EZ56" i="184"/>
  <c r="EX56" i="184" s="1"/>
  <c r="FO23" i="184"/>
  <c r="BJ23" i="184"/>
  <c r="AS24" i="184"/>
  <c r="FF64" i="184" s="1"/>
  <c r="BP27" i="184"/>
  <c r="AS32" i="184"/>
  <c r="FF72" i="184" s="1"/>
  <c r="AS34" i="184"/>
  <c r="FF74" i="184" s="1"/>
  <c r="GE41" i="184"/>
  <c r="GD41" i="184"/>
  <c r="GC41" i="184"/>
  <c r="GB41" i="184"/>
  <c r="GA41" i="184"/>
  <c r="BQ43" i="184"/>
  <c r="BP43" i="184"/>
  <c r="BO43" i="184"/>
  <c r="BN43" i="184"/>
  <c r="BM43" i="184"/>
  <c r="FQ43" i="184"/>
  <c r="EZ43" i="184"/>
  <c r="EY43" i="184"/>
  <c r="BP44" i="184"/>
  <c r="BO44" i="184"/>
  <c r="BN44" i="184"/>
  <c r="BM44" i="184"/>
  <c r="BR44" i="184" s="1"/>
  <c r="BQ45" i="184"/>
  <c r="EO54" i="184"/>
  <c r="EU56" i="184"/>
  <c r="FP61" i="184"/>
  <c r="FO61" i="184"/>
  <c r="FN61" i="184"/>
  <c r="AS22" i="184"/>
  <c r="FF62" i="184" s="1"/>
  <c r="EU64" i="184"/>
  <c r="CX65" i="184"/>
  <c r="N25" i="184" s="1"/>
  <c r="ET67" i="184"/>
  <c r="FP68" i="184"/>
  <c r="FO68" i="184"/>
  <c r="FN68" i="184"/>
  <c r="FJ72" i="184"/>
  <c r="BE34" i="184"/>
  <c r="BD34" i="184"/>
  <c r="FI74" i="184" s="1"/>
  <c r="EL79" i="184"/>
  <c r="EM79" i="184" s="1"/>
  <c r="EO79" i="184"/>
  <c r="DM84" i="184"/>
  <c r="DN84" i="184"/>
  <c r="BE44" i="184"/>
  <c r="BD44" i="184"/>
  <c r="FI84" i="184" s="1"/>
  <c r="EA85" i="184"/>
  <c r="FC85" i="184"/>
  <c r="FO27" i="185"/>
  <c r="EU70" i="185"/>
  <c r="EQ70" i="185"/>
  <c r="ER70" i="185" s="1"/>
  <c r="EL70" i="185"/>
  <c r="EM70" i="185" s="1"/>
  <c r="EN70" i="185" s="1"/>
  <c r="X30" i="185" s="1"/>
  <c r="ET77" i="185"/>
  <c r="CX77" i="185"/>
  <c r="N37" i="185" s="1"/>
  <c r="HH12" i="184"/>
  <c r="HP12" i="184"/>
  <c r="HX12" i="184"/>
  <c r="IM12" i="184"/>
  <c r="IU12" i="184"/>
  <c r="JC12" i="184"/>
  <c r="JK12" i="184"/>
  <c r="GB16" i="184"/>
  <c r="BQ19" i="184"/>
  <c r="BN19" i="184"/>
  <c r="BM19" i="184" s="1"/>
  <c r="FO21" i="184"/>
  <c r="BJ21" i="184"/>
  <c r="FA64" i="184"/>
  <c r="EY64" i="184" s="1"/>
  <c r="EZ64" i="184"/>
  <c r="EX64" i="184" s="1"/>
  <c r="AW25" i="184"/>
  <c r="FQ27" i="184"/>
  <c r="FQ28" i="184"/>
  <c r="GB33" i="184"/>
  <c r="GA33" i="184"/>
  <c r="FQ36" i="184"/>
  <c r="ET55" i="184"/>
  <c r="FP56" i="184"/>
  <c r="FO56" i="184"/>
  <c r="FN56" i="184"/>
  <c r="ET60" i="184"/>
  <c r="EU62" i="184"/>
  <c r="EL62" i="184"/>
  <c r="EM62" i="184" s="1"/>
  <c r="EN62" i="184" s="1"/>
  <c r="X22" i="184" s="1"/>
  <c r="GE22" i="184" s="1"/>
  <c r="ET63" i="184"/>
  <c r="FP64" i="184"/>
  <c r="FO64" i="184"/>
  <c r="FN64" i="184"/>
  <c r="EO66" i="184"/>
  <c r="ET66" i="184"/>
  <c r="EU69" i="184"/>
  <c r="ES74" i="184"/>
  <c r="Y34" i="184" s="1"/>
  <c r="ES80" i="184"/>
  <c r="Y40" i="184" s="1"/>
  <c r="EU80" i="184"/>
  <c r="DF85" i="184"/>
  <c r="BA45" i="184"/>
  <c r="AZ45" i="184"/>
  <c r="FH85" i="184" s="1"/>
  <c r="FC67" i="185"/>
  <c r="FB67" i="185"/>
  <c r="BR27" i="185"/>
  <c r="FQ30" i="185"/>
  <c r="FQ36" i="185"/>
  <c r="CX63" i="185"/>
  <c r="N23" i="185" s="1"/>
  <c r="ES63" i="185"/>
  <c r="Y23" i="185" s="1"/>
  <c r="CZ81" i="185"/>
  <c r="BJ36" i="183"/>
  <c r="GA40" i="183"/>
  <c r="EZ41" i="183"/>
  <c r="FQ41" i="183"/>
  <c r="BM42" i="183"/>
  <c r="EY42" i="183"/>
  <c r="BJ44" i="183"/>
  <c r="FN69" i="183"/>
  <c r="CX71" i="183"/>
  <c r="N31" i="183" s="1"/>
  <c r="EL71" i="183"/>
  <c r="EM71" i="183" s="1"/>
  <c r="CX75" i="183"/>
  <c r="N35" i="183" s="1"/>
  <c r="EL75" i="183"/>
  <c r="EM75" i="183" s="1"/>
  <c r="EL79" i="183"/>
  <c r="EM79" i="183" s="1"/>
  <c r="CX83" i="183"/>
  <c r="N43" i="183" s="1"/>
  <c r="EL83" i="183"/>
  <c r="EM83" i="183" s="1"/>
  <c r="CV84" i="183"/>
  <c r="HI12" i="184"/>
  <c r="HQ12" i="184"/>
  <c r="HY12" i="184"/>
  <c r="IN12" i="184"/>
  <c r="IV12" i="184"/>
  <c r="JD12" i="184"/>
  <c r="FQ45" i="184"/>
  <c r="GF14" i="184"/>
  <c r="FF56" i="184"/>
  <c r="AS17" i="184"/>
  <c r="FF57" i="184" s="1"/>
  <c r="BN17" i="184"/>
  <c r="BM17" i="184" s="1"/>
  <c r="AR18" i="184"/>
  <c r="AS18" i="184" s="1"/>
  <c r="BP19" i="184"/>
  <c r="GF19" i="184"/>
  <c r="BJ22" i="184"/>
  <c r="BM23" i="184"/>
  <c r="FB63" i="184" s="1"/>
  <c r="BQ23" i="184"/>
  <c r="BO23" i="184"/>
  <c r="FQ25" i="184"/>
  <c r="GB26" i="184"/>
  <c r="FF75" i="184"/>
  <c r="BM38" i="184"/>
  <c r="FA78" i="184" s="1"/>
  <c r="EY78" i="184" s="1"/>
  <c r="FO39" i="184"/>
  <c r="BJ39" i="184"/>
  <c r="FQ44" i="184"/>
  <c r="EZ44" i="184"/>
  <c r="EY44" i="184"/>
  <c r="EU57" i="184"/>
  <c r="FJ60" i="184"/>
  <c r="EL61" i="184"/>
  <c r="EM61" i="184" s="1"/>
  <c r="ET65" i="184"/>
  <c r="EL68" i="184"/>
  <c r="EM68" i="184" s="1"/>
  <c r="BA29" i="184"/>
  <c r="AZ29" i="184"/>
  <c r="FH69" i="184" s="1"/>
  <c r="EQ71" i="184"/>
  <c r="ER71" i="184" s="1"/>
  <c r="ES71" i="184" s="1"/>
  <c r="Y31" i="184" s="1"/>
  <c r="EL71" i="184"/>
  <c r="EM71" i="184" s="1"/>
  <c r="EL73" i="184"/>
  <c r="EM73" i="184" s="1"/>
  <c r="EU74" i="184"/>
  <c r="FQ29" i="185"/>
  <c r="FQ21" i="185"/>
  <c r="FO14" i="185"/>
  <c r="GF14" i="185"/>
  <c r="BJ14" i="185"/>
  <c r="FQ45" i="185"/>
  <c r="FQ42" i="185"/>
  <c r="FQ34" i="185"/>
  <c r="FQ26" i="185"/>
  <c r="FQ18" i="185"/>
  <c r="FQ40" i="185"/>
  <c r="FQ16" i="185"/>
  <c r="FQ33" i="185"/>
  <c r="FQ25" i="185"/>
  <c r="FQ24" i="185"/>
  <c r="FQ17" i="185"/>
  <c r="FQ19" i="185"/>
  <c r="FO26" i="185"/>
  <c r="FO34" i="185"/>
  <c r="FO33" i="185"/>
  <c r="FO25" i="185"/>
  <c r="FO41" i="185"/>
  <c r="FO42" i="185"/>
  <c r="GA45" i="185"/>
  <c r="GD45" i="185"/>
  <c r="GC45" i="185"/>
  <c r="GB45" i="185"/>
  <c r="GE45" i="185"/>
  <c r="FA73" i="186"/>
  <c r="EY73" i="186" s="1"/>
  <c r="EZ73" i="186"/>
  <c r="FJ56" i="186"/>
  <c r="EZ42" i="183"/>
  <c r="HJ12" i="184"/>
  <c r="HR12" i="184"/>
  <c r="HZ12" i="184"/>
  <c r="IO12" i="184"/>
  <c r="IW12" i="184"/>
  <c r="BN15" i="184"/>
  <c r="BO15" i="184" s="1"/>
  <c r="BP17" i="184"/>
  <c r="FQ17" i="184"/>
  <c r="BO21" i="184"/>
  <c r="EZ61" i="184" s="1"/>
  <c r="EX61" i="184" s="1"/>
  <c r="BM21" i="184"/>
  <c r="FB61" i="184" s="1"/>
  <c r="FC62" i="184"/>
  <c r="BR22" i="184"/>
  <c r="FA63" i="184"/>
  <c r="EY63" i="184" s="1"/>
  <c r="EZ63" i="184"/>
  <c r="EX63" i="184" s="1"/>
  <c r="GF23" i="184"/>
  <c r="BD24" i="184"/>
  <c r="FI64" i="184" s="1"/>
  <c r="BM25" i="184"/>
  <c r="BP28" i="184"/>
  <c r="BN28" i="184"/>
  <c r="BO28" i="184" s="1"/>
  <c r="FO29" i="184"/>
  <c r="GF29" i="184"/>
  <c r="BJ29" i="184"/>
  <c r="GF30" i="184"/>
  <c r="BJ30" i="184"/>
  <c r="FQ30" i="184"/>
  <c r="BD32" i="184"/>
  <c r="FI72" i="184" s="1"/>
  <c r="GB34" i="184"/>
  <c r="GA34" i="184"/>
  <c r="BP35" i="184"/>
  <c r="BP36" i="184"/>
  <c r="BN36" i="184"/>
  <c r="BO36" i="184" s="1"/>
  <c r="FA79" i="184"/>
  <c r="EY79" i="184" s="1"/>
  <c r="EZ79" i="184"/>
  <c r="EX79" i="184" s="1"/>
  <c r="FQ39" i="184"/>
  <c r="BD40" i="184"/>
  <c r="FI80" i="184" s="1"/>
  <c r="FQ40" i="184"/>
  <c r="EL56" i="184"/>
  <c r="EM56" i="184" s="1"/>
  <c r="EU59" i="184"/>
  <c r="EL59" i="184"/>
  <c r="EM59" i="184" s="1"/>
  <c r="CX61" i="184"/>
  <c r="N21" i="184" s="1"/>
  <c r="EO62" i="184"/>
  <c r="ET62" i="184"/>
  <c r="CX62" i="184"/>
  <c r="N22" i="184" s="1"/>
  <c r="CW62" i="184"/>
  <c r="M22" i="184" s="1"/>
  <c r="EL64" i="184"/>
  <c r="EM64" i="184" s="1"/>
  <c r="FC64" i="184"/>
  <c r="EU65" i="184"/>
  <c r="EQ66" i="184"/>
  <c r="ER66" i="184" s="1"/>
  <c r="ES66" i="184" s="1"/>
  <c r="Y26" i="184" s="1"/>
  <c r="FP69" i="184"/>
  <c r="FO69" i="184"/>
  <c r="FN69" i="184"/>
  <c r="EU71" i="184"/>
  <c r="EU73" i="184"/>
  <c r="EN75" i="184"/>
  <c r="X35" i="184" s="1"/>
  <c r="CW75" i="184"/>
  <c r="M35" i="184" s="1"/>
  <c r="BA37" i="184"/>
  <c r="AZ37" i="184"/>
  <c r="FH77" i="184" s="1"/>
  <c r="EO82" i="184"/>
  <c r="FD82" i="184"/>
  <c r="CW82" i="184"/>
  <c r="M42" i="184" s="1"/>
  <c r="CZ84" i="184"/>
  <c r="EN85" i="184"/>
  <c r="X45" i="184" s="1"/>
  <c r="BP28" i="185"/>
  <c r="BN28" i="185"/>
  <c r="BO28" i="185" s="1"/>
  <c r="BQ28" i="185"/>
  <c r="FQ41" i="185"/>
  <c r="ES54" i="185"/>
  <c r="Y14" i="185" s="1"/>
  <c r="CX54" i="185"/>
  <c r="N14" i="185" s="1"/>
  <c r="FO63" i="185"/>
  <c r="FN63" i="185"/>
  <c r="FP63" i="185"/>
  <c r="EZ78" i="184"/>
  <c r="EX78" i="184" s="1"/>
  <c r="FB79" i="184"/>
  <c r="FA80" i="184"/>
  <c r="EY80" i="184" s="1"/>
  <c r="EZ80" i="184"/>
  <c r="EX80" i="184" s="1"/>
  <c r="FQ42" i="184"/>
  <c r="EZ42" i="184"/>
  <c r="GD42" i="184"/>
  <c r="GC42" i="184"/>
  <c r="GB42" i="184"/>
  <c r="GA42" i="184"/>
  <c r="FP57" i="184"/>
  <c r="FO57" i="184"/>
  <c r="FN57" i="184"/>
  <c r="FB62" i="184"/>
  <c r="EU70" i="184"/>
  <c r="EL70" i="184"/>
  <c r="EM70" i="184" s="1"/>
  <c r="EN70" i="184" s="1"/>
  <c r="X30" i="184" s="1"/>
  <c r="CX71" i="184"/>
  <c r="N31" i="184" s="1"/>
  <c r="ET77" i="184"/>
  <c r="CX77" i="184"/>
  <c r="N37" i="184" s="1"/>
  <c r="EN77" i="184"/>
  <c r="X37" i="184" s="1"/>
  <c r="AF37" i="184"/>
  <c r="EA81" i="184"/>
  <c r="FC81" i="184"/>
  <c r="AW41" i="184"/>
  <c r="AV41" i="184"/>
  <c r="FG81" i="184" s="1"/>
  <c r="BR41" i="185"/>
  <c r="ES58" i="185"/>
  <c r="Y18" i="185" s="1"/>
  <c r="GE18" i="185" s="1"/>
  <c r="CX58" i="185"/>
  <c r="N18" i="185" s="1"/>
  <c r="EZ67" i="185"/>
  <c r="EX67" i="185" s="1"/>
  <c r="FQ28" i="185"/>
  <c r="BO37" i="185"/>
  <c r="BN37" i="185"/>
  <c r="BM37" i="185" s="1"/>
  <c r="BP37" i="185"/>
  <c r="BQ37" i="185"/>
  <c r="FQ38" i="185"/>
  <c r="FO39" i="185"/>
  <c r="GF39" i="185"/>
  <c r="BJ39" i="185"/>
  <c r="GD42" i="185"/>
  <c r="GC42" i="185"/>
  <c r="GB42" i="185"/>
  <c r="GA42" i="185"/>
  <c r="GE42" i="185"/>
  <c r="ES59" i="185"/>
  <c r="Y19" i="185" s="1"/>
  <c r="CX59" i="185"/>
  <c r="N19" i="185" s="1"/>
  <c r="ET61" i="185"/>
  <c r="EO61" i="185"/>
  <c r="EL61" i="185"/>
  <c r="EM61" i="185" s="1"/>
  <c r="FJ64" i="185"/>
  <c r="FJ65" i="185"/>
  <c r="CW68" i="185"/>
  <c r="M28" i="185" s="1"/>
  <c r="EN68" i="185"/>
  <c r="X28" i="185" s="1"/>
  <c r="DU82" i="185"/>
  <c r="DT82" i="185"/>
  <c r="GB24" i="184"/>
  <c r="BN26" i="184"/>
  <c r="BQ31" i="184"/>
  <c r="BR31" i="184" s="1"/>
  <c r="GB32" i="184"/>
  <c r="BN34" i="184"/>
  <c r="BQ39" i="184"/>
  <c r="BR39" i="184" s="1"/>
  <c r="GB40" i="184"/>
  <c r="BO41" i="184"/>
  <c r="BR41" i="184" s="1"/>
  <c r="BN42" i="184"/>
  <c r="BR42" i="184" s="1"/>
  <c r="HU48" i="184"/>
  <c r="IC48" i="184"/>
  <c r="IK48" i="184"/>
  <c r="IS48" i="184"/>
  <c r="FP55" i="184"/>
  <c r="FJ58" i="184"/>
  <c r="FP59" i="184"/>
  <c r="FJ62" i="184"/>
  <c r="FP63" i="184"/>
  <c r="FP67" i="184"/>
  <c r="FJ70" i="184"/>
  <c r="EO72" i="184"/>
  <c r="EQ76" i="184"/>
  <c r="ER76" i="184" s="1"/>
  <c r="ES76" i="184" s="1"/>
  <c r="Y36" i="184" s="1"/>
  <c r="FO76" i="184"/>
  <c r="FN76" i="184"/>
  <c r="EU79" i="184"/>
  <c r="DA83" i="184"/>
  <c r="B48" i="185"/>
  <c r="FO15" i="185"/>
  <c r="GF15" i="185"/>
  <c r="BJ15" i="185"/>
  <c r="FQ22" i="185"/>
  <c r="GB24" i="185"/>
  <c r="BR43" i="185"/>
  <c r="GC43" i="185"/>
  <c r="GB43" i="185"/>
  <c r="GA43" i="185"/>
  <c r="GD43" i="185"/>
  <c r="GB44" i="185"/>
  <c r="GC44" i="185"/>
  <c r="GA44" i="185"/>
  <c r="GD44" i="185"/>
  <c r="IQ48" i="185"/>
  <c r="CX55" i="185"/>
  <c r="N15" i="185" s="1"/>
  <c r="BA37" i="185"/>
  <c r="AZ37" i="185"/>
  <c r="FH77" i="185" s="1"/>
  <c r="BN14" i="186"/>
  <c r="BO14" i="186" s="1"/>
  <c r="BM14" i="186"/>
  <c r="BQ14" i="186"/>
  <c r="BP14" i="186"/>
  <c r="FQ20" i="186"/>
  <c r="FO28" i="186"/>
  <c r="FO20" i="186"/>
  <c r="FO26" i="186"/>
  <c r="BN23" i="186"/>
  <c r="BO23" i="186" s="1"/>
  <c r="BQ23" i="186"/>
  <c r="BP23" i="186"/>
  <c r="FQ36" i="186"/>
  <c r="BP41" i="184"/>
  <c r="HV48" i="184"/>
  <c r="ID48" i="184"/>
  <c r="IL48" i="184"/>
  <c r="IT48" i="184"/>
  <c r="EQ56" i="184"/>
  <c r="ER56" i="184" s="1"/>
  <c r="ES56" i="184" s="1"/>
  <c r="Y16" i="184" s="1"/>
  <c r="EQ60" i="184"/>
  <c r="ER60" i="184" s="1"/>
  <c r="ES60" i="184" s="1"/>
  <c r="Y20" i="184" s="1"/>
  <c r="EQ64" i="184"/>
  <c r="ER64" i="184" s="1"/>
  <c r="ES64" i="184" s="1"/>
  <c r="Y24" i="184" s="1"/>
  <c r="EQ68" i="184"/>
  <c r="ER68" i="184" s="1"/>
  <c r="ES68" i="184" s="1"/>
  <c r="Y28" i="184" s="1"/>
  <c r="EQ72" i="184"/>
  <c r="ER72" i="184" s="1"/>
  <c r="ES72" i="184" s="1"/>
  <c r="Y32" i="184" s="1"/>
  <c r="EO78" i="184"/>
  <c r="CW78" i="184"/>
  <c r="M38" i="184" s="1"/>
  <c r="ET80" i="184"/>
  <c r="EV82" i="184"/>
  <c r="BR18" i="185"/>
  <c r="FC58" i="185"/>
  <c r="GB18" i="185"/>
  <c r="GA18" i="185"/>
  <c r="BR19" i="185"/>
  <c r="FQ35" i="185"/>
  <c r="GB35" i="185"/>
  <c r="GA35" i="185"/>
  <c r="FO43" i="185"/>
  <c r="FQ44" i="185"/>
  <c r="EZ44" i="185"/>
  <c r="EY44" i="185"/>
  <c r="ET57" i="185"/>
  <c r="CX57" i="185"/>
  <c r="N17" i="185" s="1"/>
  <c r="FJ58" i="185"/>
  <c r="AZ25" i="185"/>
  <c r="FH65" i="185" s="1"/>
  <c r="BA25" i="185"/>
  <c r="EN76" i="185"/>
  <c r="X36" i="185" s="1"/>
  <c r="AW24" i="186"/>
  <c r="FG64" i="186" s="1"/>
  <c r="AS38" i="184"/>
  <c r="FF78" i="184" s="1"/>
  <c r="EY45" i="184"/>
  <c r="HW48" i="184"/>
  <c r="IE48" i="184"/>
  <c r="IM48" i="184"/>
  <c r="CX55" i="184"/>
  <c r="N15" i="184" s="1"/>
  <c r="CX59" i="184"/>
  <c r="N19" i="184" s="1"/>
  <c r="CX63" i="184"/>
  <c r="N23" i="184" s="1"/>
  <c r="CX67" i="184"/>
  <c r="N27" i="184" s="1"/>
  <c r="EO71" i="184"/>
  <c r="FN72" i="184"/>
  <c r="ET76" i="184"/>
  <c r="FB78" i="184"/>
  <c r="FK81" i="184"/>
  <c r="FJ80" i="184"/>
  <c r="EQ81" i="184"/>
  <c r="ER81" i="184" s="1"/>
  <c r="ES81" i="184" s="1"/>
  <c r="Y41" i="184" s="1"/>
  <c r="EE83" i="184"/>
  <c r="EG83" i="184" s="1"/>
  <c r="DL83" i="184" s="1"/>
  <c r="EF83" i="184"/>
  <c r="EN83" i="184"/>
  <c r="X43" i="184" s="1"/>
  <c r="DF83" i="184"/>
  <c r="EQ85" i="184"/>
  <c r="ER85" i="184" s="1"/>
  <c r="ES85" i="184" s="1"/>
  <c r="Y45" i="184" s="1"/>
  <c r="JI12" i="185"/>
  <c r="JA12" i="185"/>
  <c r="IS12" i="185"/>
  <c r="ID12" i="185"/>
  <c r="HV12" i="185"/>
  <c r="HN12" i="185"/>
  <c r="HF12" i="185"/>
  <c r="JH12" i="185"/>
  <c r="IZ12" i="185"/>
  <c r="IR12" i="185"/>
  <c r="IC12" i="185"/>
  <c r="HU12" i="185"/>
  <c r="HM12" i="185"/>
  <c r="HD12" i="185"/>
  <c r="JG12" i="185"/>
  <c r="IY12" i="185"/>
  <c r="IQ12" i="185"/>
  <c r="IB12" i="185"/>
  <c r="HT12" i="185"/>
  <c r="HL12" i="185"/>
  <c r="JF12" i="185"/>
  <c r="IX12" i="185"/>
  <c r="IP12" i="185"/>
  <c r="IA12" i="185"/>
  <c r="HS12" i="185"/>
  <c r="HK12" i="185"/>
  <c r="JE12" i="185"/>
  <c r="IW12" i="185"/>
  <c r="IO12" i="185"/>
  <c r="HZ12" i="185"/>
  <c r="HR12" i="185"/>
  <c r="HJ12" i="185"/>
  <c r="JJ12" i="185"/>
  <c r="JB12" i="185"/>
  <c r="IT12" i="185"/>
  <c r="IL12" i="185"/>
  <c r="HW12" i="185"/>
  <c r="HO12" i="185"/>
  <c r="HG12" i="185"/>
  <c r="ED79" i="185"/>
  <c r="HH12" i="185"/>
  <c r="IU12" i="185"/>
  <c r="BP20" i="185"/>
  <c r="BN20" i="185"/>
  <c r="BO20" i="185" s="1"/>
  <c r="BM20" i="185"/>
  <c r="BQ20" i="185"/>
  <c r="FQ27" i="185"/>
  <c r="AS28" i="185"/>
  <c r="FF68" i="185" s="1"/>
  <c r="BO29" i="185"/>
  <c r="BN29" i="185"/>
  <c r="BM29" i="185" s="1"/>
  <c r="FC69" i="185" s="1"/>
  <c r="BP29" i="185"/>
  <c r="FO31" i="185"/>
  <c r="GF31" i="185"/>
  <c r="BJ31" i="185"/>
  <c r="FB59" i="185"/>
  <c r="EU62" i="185"/>
  <c r="EQ62" i="185"/>
  <c r="ER62" i="185" s="1"/>
  <c r="CW71" i="185"/>
  <c r="M31" i="185" s="1"/>
  <c r="EO71" i="185"/>
  <c r="ES78" i="185"/>
  <c r="Y38" i="185" s="1"/>
  <c r="CX78" i="185"/>
  <c r="N38" i="185" s="1"/>
  <c r="K42" i="185"/>
  <c r="J42" i="185"/>
  <c r="L42" i="185"/>
  <c r="BU42" i="185" s="1"/>
  <c r="EO83" i="185"/>
  <c r="FD83" i="185"/>
  <c r="CW83" i="185"/>
  <c r="M43" i="185" s="1"/>
  <c r="BN15" i="186"/>
  <c r="BM15" i="186" s="1"/>
  <c r="BQ15" i="186"/>
  <c r="BP15" i="186"/>
  <c r="FC64" i="186"/>
  <c r="BO27" i="186"/>
  <c r="EZ67" i="186" s="1"/>
  <c r="EX67" i="186" s="1"/>
  <c r="BM27" i="186"/>
  <c r="EZ36" i="186"/>
  <c r="EY36" i="186"/>
  <c r="HX48" i="184"/>
  <c r="IF48" i="184"/>
  <c r="IN48" i="184"/>
  <c r="CW72" i="184"/>
  <c r="M32" i="184" s="1"/>
  <c r="EU75" i="184"/>
  <c r="EO76" i="184"/>
  <c r="FC79" i="184"/>
  <c r="FB80" i="184"/>
  <c r="DD83" i="184"/>
  <c r="CV83" i="184"/>
  <c r="DC83" i="184"/>
  <c r="EV83" i="184" s="1"/>
  <c r="FQ14" i="185"/>
  <c r="FO19" i="185"/>
  <c r="FQ20" i="185"/>
  <c r="GB27" i="185"/>
  <c r="GA27" i="185"/>
  <c r="FO30" i="185"/>
  <c r="GF30" i="185"/>
  <c r="BJ30" i="185"/>
  <c r="BR34" i="185"/>
  <c r="FB74" i="185"/>
  <c r="GB34" i="185"/>
  <c r="GA34" i="185"/>
  <c r="FC75" i="185"/>
  <c r="GB40" i="185"/>
  <c r="BP44" i="185"/>
  <c r="BO44" i="185"/>
  <c r="BN44" i="185"/>
  <c r="BM44" i="185"/>
  <c r="BQ44" i="185"/>
  <c r="IO48" i="185"/>
  <c r="IG48" i="185"/>
  <c r="HY48" i="185"/>
  <c r="HQ48" i="185"/>
  <c r="IR48" i="185"/>
  <c r="IN48" i="185"/>
  <c r="IE48" i="185"/>
  <c r="HV48" i="185"/>
  <c r="IM48" i="185"/>
  <c r="ID48" i="185"/>
  <c r="HU48" i="185"/>
  <c r="IL48" i="185"/>
  <c r="IC48" i="185"/>
  <c r="HT48" i="185"/>
  <c r="IK48" i="185"/>
  <c r="IB48" i="185"/>
  <c r="HS48" i="185"/>
  <c r="IT48" i="185"/>
  <c r="IJ48" i="185"/>
  <c r="IA48" i="185"/>
  <c r="HR48" i="185"/>
  <c r="IP48" i="185"/>
  <c r="IF48" i="185"/>
  <c r="HW48" i="185"/>
  <c r="EQ56" i="185"/>
  <c r="ER56" i="185" s="1"/>
  <c r="ES56" i="185" s="1"/>
  <c r="Y16" i="185" s="1"/>
  <c r="FB57" i="185"/>
  <c r="EL57" i="185"/>
  <c r="EM57" i="185" s="1"/>
  <c r="FJ60" i="185"/>
  <c r="EL62" i="185"/>
  <c r="EM62" i="185" s="1"/>
  <c r="EN62" i="185" s="1"/>
  <c r="X22" i="185" s="1"/>
  <c r="EQ65" i="185"/>
  <c r="ER65" i="185" s="1"/>
  <c r="ES65" i="185" s="1"/>
  <c r="Y25" i="185" s="1"/>
  <c r="EU65" i="185"/>
  <c r="FC73" i="185"/>
  <c r="FJ76" i="185"/>
  <c r="FJ77" i="185"/>
  <c r="EO82" i="185"/>
  <c r="FD82" i="185"/>
  <c r="CW82" i="185"/>
  <c r="M42" i="185" s="1"/>
  <c r="GB21" i="186"/>
  <c r="GA21" i="186"/>
  <c r="HQ48" i="184"/>
  <c r="HY48" i="184"/>
  <c r="IG48" i="184"/>
  <c r="CX56" i="184"/>
  <c r="N16" i="184" s="1"/>
  <c r="CX60" i="184"/>
  <c r="N20" i="184" s="1"/>
  <c r="CX64" i="184"/>
  <c r="N24" i="184" s="1"/>
  <c r="CX68" i="184"/>
  <c r="N28" i="184" s="1"/>
  <c r="EQ73" i="184"/>
  <c r="ER73" i="184" s="1"/>
  <c r="ES73" i="184" s="1"/>
  <c r="Y33" i="184" s="1"/>
  <c r="FO73" i="184"/>
  <c r="FP73" i="184"/>
  <c r="EO74" i="184"/>
  <c r="CW74" i="184"/>
  <c r="M34" i="184" s="1"/>
  <c r="FN74" i="184"/>
  <c r="FJ76" i="184"/>
  <c r="EQ77" i="184"/>
  <c r="ER77" i="184" s="1"/>
  <c r="ES77" i="184" s="1"/>
  <c r="Y37" i="184" s="1"/>
  <c r="CX81" i="184"/>
  <c r="N41" i="184" s="1"/>
  <c r="DI82" i="184"/>
  <c r="EW82" i="184" s="1"/>
  <c r="DH82" i="184"/>
  <c r="DG82" i="184"/>
  <c r="DJ82" i="184"/>
  <c r="EU82" i="184"/>
  <c r="EL82" i="184"/>
  <c r="EM82" i="184" s="1"/>
  <c r="EN82" i="184" s="1"/>
  <c r="X42" i="184" s="1"/>
  <c r="EU83" i="184"/>
  <c r="EH83" i="184"/>
  <c r="EJ83" i="184" s="1"/>
  <c r="DS83" i="184" s="1"/>
  <c r="EQ84" i="184"/>
  <c r="ER84" i="184" s="1"/>
  <c r="ES84" i="184" s="1"/>
  <c r="Y44" i="184" s="1"/>
  <c r="CX85" i="184"/>
  <c r="N45" i="184" s="1"/>
  <c r="HP12" i="185"/>
  <c r="JC12" i="185"/>
  <c r="GB16" i="185"/>
  <c r="BN21" i="185"/>
  <c r="BO21" i="185" s="1"/>
  <c r="BP21" i="185"/>
  <c r="BR26" i="185"/>
  <c r="FB66" i="185"/>
  <c r="GB26" i="185"/>
  <c r="GA26" i="185"/>
  <c r="GE26" i="185"/>
  <c r="AS27" i="185"/>
  <c r="FF67" i="185" s="1"/>
  <c r="BP36" i="185"/>
  <c r="BN36" i="185"/>
  <c r="BM36" i="185" s="1"/>
  <c r="BQ36" i="185"/>
  <c r="FO38" i="185"/>
  <c r="GF38" i="185"/>
  <c r="BJ38" i="185"/>
  <c r="FQ43" i="185"/>
  <c r="EZ43" i="185"/>
  <c r="EY43" i="185"/>
  <c r="HX48" i="185"/>
  <c r="ET54" i="185"/>
  <c r="FJ61" i="185"/>
  <c r="EL65" i="185"/>
  <c r="EM65" i="185" s="1"/>
  <c r="FB73" i="185"/>
  <c r="FO40" i="186"/>
  <c r="CX72" i="184"/>
  <c r="N32" i="184" s="1"/>
  <c r="FB72" i="184"/>
  <c r="CX76" i="184"/>
  <c r="N36" i="184" s="1"/>
  <c r="EL76" i="184"/>
  <c r="EM76" i="184" s="1"/>
  <c r="EN76" i="184" s="1"/>
  <c r="X36" i="184" s="1"/>
  <c r="GE36" i="184" s="1"/>
  <c r="FP77" i="184"/>
  <c r="FN78" i="184"/>
  <c r="CX80" i="184"/>
  <c r="N40" i="184" s="1"/>
  <c r="EL80" i="184"/>
  <c r="EM80" i="184" s="1"/>
  <c r="EN80" i="184" s="1"/>
  <c r="X40" i="184" s="1"/>
  <c r="GE40" i="184" s="1"/>
  <c r="CV81" i="184"/>
  <c r="DD81" i="184"/>
  <c r="DB82" i="184"/>
  <c r="DZ82" i="184"/>
  <c r="CZ83" i="184"/>
  <c r="DH83" i="184"/>
  <c r="CX84" i="184"/>
  <c r="N44" i="184" s="1"/>
  <c r="DF84" i="184"/>
  <c r="EL84" i="184"/>
  <c r="EM84" i="184" s="1"/>
  <c r="EN84" i="184" s="1"/>
  <c r="X44" i="184" s="1"/>
  <c r="CV85" i="184"/>
  <c r="DD85" i="184"/>
  <c r="EU84" i="185"/>
  <c r="EU80" i="185"/>
  <c r="EU83" i="185"/>
  <c r="EU79" i="185"/>
  <c r="EU75" i="185"/>
  <c r="EU71" i="185"/>
  <c r="EU67" i="185"/>
  <c r="BN14" i="185"/>
  <c r="BO14" i="185" s="1"/>
  <c r="BN15" i="185"/>
  <c r="BO15" i="185" s="1"/>
  <c r="FQ15" i="185"/>
  <c r="BM16" i="185"/>
  <c r="FO16" i="185"/>
  <c r="BK17" i="185"/>
  <c r="GF17" i="185"/>
  <c r="BZ19" i="185"/>
  <c r="GB21" i="185"/>
  <c r="BO22" i="185"/>
  <c r="EZ62" i="185" s="1"/>
  <c r="EX62" i="185" s="1"/>
  <c r="BN23" i="185"/>
  <c r="BO23" i="185" s="1"/>
  <c r="FQ23" i="185"/>
  <c r="BM24" i="185"/>
  <c r="FB64" i="185" s="1"/>
  <c r="FO24" i="185"/>
  <c r="BK25" i="185"/>
  <c r="GF25" i="185"/>
  <c r="FF66" i="185"/>
  <c r="BZ27" i="185"/>
  <c r="GB29" i="185"/>
  <c r="BO30" i="185"/>
  <c r="EZ70" i="185" s="1"/>
  <c r="EX70" i="185" s="1"/>
  <c r="BN31" i="185"/>
  <c r="BO31" i="185" s="1"/>
  <c r="FQ31" i="185"/>
  <c r="BM32" i="185"/>
  <c r="FB72" i="185" s="1"/>
  <c r="FO32" i="185"/>
  <c r="BK33" i="185"/>
  <c r="GF33" i="185"/>
  <c r="BZ35" i="185"/>
  <c r="GB37" i="185"/>
  <c r="BO38" i="185"/>
  <c r="BN39" i="185"/>
  <c r="BO39" i="185" s="1"/>
  <c r="FQ39" i="185"/>
  <c r="BM40" i="185"/>
  <c r="FB80" i="185" s="1"/>
  <c r="FO40" i="185"/>
  <c r="BK41" i="185"/>
  <c r="GF41" i="185"/>
  <c r="BZ43" i="185"/>
  <c r="BN45" i="185"/>
  <c r="EO54" i="185"/>
  <c r="ET55" i="185"/>
  <c r="EU57" i="185"/>
  <c r="ET59" i="185"/>
  <c r="FO60" i="185"/>
  <c r="EO64" i="185"/>
  <c r="ET64" i="185"/>
  <c r="FC66" i="185"/>
  <c r="FJ72" i="185"/>
  <c r="EB75" i="185"/>
  <c r="ET76" i="185"/>
  <c r="DA83" i="185"/>
  <c r="DC83" i="185"/>
  <c r="EV83" i="185" s="1"/>
  <c r="DD84" i="185"/>
  <c r="CV84" i="185"/>
  <c r="DC84" i="185"/>
  <c r="EV84" i="185" s="1"/>
  <c r="DA84" i="185"/>
  <c r="FO15" i="186"/>
  <c r="GF15" i="186"/>
  <c r="BJ15" i="186"/>
  <c r="BO19" i="186"/>
  <c r="BM19" i="186"/>
  <c r="FO24" i="186"/>
  <c r="GB28" i="186"/>
  <c r="GA28" i="186"/>
  <c r="FQ30" i="186"/>
  <c r="FO31" i="186"/>
  <c r="GF31" i="186"/>
  <c r="BJ31" i="186"/>
  <c r="FQ33" i="186"/>
  <c r="EQ75" i="184"/>
  <c r="ER75" i="184" s="1"/>
  <c r="EQ79" i="184"/>
  <c r="ER79" i="184" s="1"/>
  <c r="EO80" i="184"/>
  <c r="EE81" i="184"/>
  <c r="EG81" i="184" s="1"/>
  <c r="DL81" i="184" s="1"/>
  <c r="EA83" i="184"/>
  <c r="EQ83" i="184"/>
  <c r="ER83" i="184" s="1"/>
  <c r="ES83" i="184" s="1"/>
  <c r="Y43" i="184" s="1"/>
  <c r="DI84" i="184"/>
  <c r="EW84" i="184" s="1"/>
  <c r="EO84" i="184"/>
  <c r="EE85" i="184"/>
  <c r="EG85" i="184" s="1"/>
  <c r="DL85" i="184" s="1"/>
  <c r="BQ14" i="185"/>
  <c r="BQ15" i="185"/>
  <c r="BP16" i="185"/>
  <c r="BO17" i="185"/>
  <c r="BR17" i="185" s="1"/>
  <c r="BK20" i="185"/>
  <c r="BZ22" i="185"/>
  <c r="BQ23" i="185"/>
  <c r="BP24" i="185"/>
  <c r="BO25" i="185"/>
  <c r="BK28" i="185"/>
  <c r="BZ30" i="185"/>
  <c r="BQ31" i="185"/>
  <c r="BP32" i="185"/>
  <c r="BO33" i="185"/>
  <c r="BR33" i="185" s="1"/>
  <c r="BK36" i="185"/>
  <c r="FF77" i="185"/>
  <c r="GE37" i="185"/>
  <c r="BZ38" i="185"/>
  <c r="BQ39" i="185"/>
  <c r="BP40" i="185"/>
  <c r="BK44" i="185"/>
  <c r="FO45" i="185"/>
  <c r="CW55" i="185"/>
  <c r="M15" i="185" s="1"/>
  <c r="FO55" i="185"/>
  <c r="EL56" i="185"/>
  <c r="EM56" i="185" s="1"/>
  <c r="EU56" i="185"/>
  <c r="FC57" i="185"/>
  <c r="CW59" i="185"/>
  <c r="M19" i="185" s="1"/>
  <c r="FO59" i="185"/>
  <c r="EL60" i="185"/>
  <c r="EM60" i="185" s="1"/>
  <c r="EN60" i="185" s="1"/>
  <c r="X20" i="185" s="1"/>
  <c r="GE20" i="185" s="1"/>
  <c r="EQ60" i="185"/>
  <c r="ER60" i="185" s="1"/>
  <c r="ES60" i="185" s="1"/>
  <c r="Y20" i="185" s="1"/>
  <c r="EB60" i="185"/>
  <c r="CW62" i="185"/>
  <c r="M22" i="185" s="1"/>
  <c r="CW63" i="185"/>
  <c r="M23" i="185" s="1"/>
  <c r="EB63" i="185"/>
  <c r="EQ67" i="185"/>
  <c r="ER67" i="185" s="1"/>
  <c r="ET68" i="185"/>
  <c r="ET73" i="185"/>
  <c r="CW75" i="185"/>
  <c r="M35" i="185" s="1"/>
  <c r="ET75" i="185"/>
  <c r="EL79" i="185"/>
  <c r="EM79" i="185" s="1"/>
  <c r="EN79" i="185" s="1"/>
  <c r="X39" i="185" s="1"/>
  <c r="FQ15" i="186"/>
  <c r="FC56" i="186"/>
  <c r="FO22" i="186"/>
  <c r="FO25" i="186"/>
  <c r="GF25" i="186"/>
  <c r="BJ25" i="186"/>
  <c r="FQ28" i="186"/>
  <c r="FQ31" i="186"/>
  <c r="FQ37" i="186"/>
  <c r="FQ40" i="186"/>
  <c r="EZ40" i="186"/>
  <c r="EY40" i="186"/>
  <c r="ES54" i="186"/>
  <c r="Y14" i="186" s="1"/>
  <c r="CX54" i="186"/>
  <c r="N14" i="186" s="1"/>
  <c r="EQ70" i="186"/>
  <c r="ER70" i="186" s="1"/>
  <c r="EU70" i="186"/>
  <c r="EL70" i="186"/>
  <c r="EM70" i="186" s="1"/>
  <c r="EN70" i="186" s="1"/>
  <c r="X30" i="186" s="1"/>
  <c r="CX74" i="184"/>
  <c r="N34" i="184" s="1"/>
  <c r="ET74" i="184"/>
  <c r="CX78" i="184"/>
  <c r="N38" i="184" s="1"/>
  <c r="ET78" i="184"/>
  <c r="CZ81" i="184"/>
  <c r="CX82" i="184"/>
  <c r="N42" i="184" s="1"/>
  <c r="ET82" i="184"/>
  <c r="CZ85" i="184"/>
  <c r="EB77" i="185"/>
  <c r="EB73" i="185"/>
  <c r="EB69" i="185"/>
  <c r="EB65" i="185"/>
  <c r="EB61" i="185"/>
  <c r="EB57" i="185"/>
  <c r="EB80" i="185"/>
  <c r="EB76" i="185"/>
  <c r="EB72" i="185"/>
  <c r="EB68" i="185"/>
  <c r="EB64" i="185"/>
  <c r="EB54" i="185"/>
  <c r="BZ14" i="185"/>
  <c r="BZ15" i="185"/>
  <c r="BP17" i="185"/>
  <c r="FO20" i="185"/>
  <c r="BK21" i="185"/>
  <c r="BZ23" i="185"/>
  <c r="BP25" i="185"/>
  <c r="FO28" i="185"/>
  <c r="BK29" i="185"/>
  <c r="BZ31" i="185"/>
  <c r="FO36" i="185"/>
  <c r="BK37" i="185"/>
  <c r="FF78" i="185"/>
  <c r="BZ39" i="185"/>
  <c r="FA81" i="185"/>
  <c r="EY81" i="185" s="1"/>
  <c r="EZ81" i="185"/>
  <c r="FO44" i="185"/>
  <c r="EO55" i="185"/>
  <c r="EB56" i="185"/>
  <c r="EZ59" i="185"/>
  <c r="EX59" i="185" s="1"/>
  <c r="EO60" i="185"/>
  <c r="FC62" i="185"/>
  <c r="EB62" i="185"/>
  <c r="CX65" i="185"/>
  <c r="N25" i="185" s="1"/>
  <c r="ET65" i="185"/>
  <c r="EB66" i="185"/>
  <c r="EO70" i="185"/>
  <c r="CW70" i="185"/>
  <c r="M30" i="185" s="1"/>
  <c r="FP72" i="185"/>
  <c r="FO72" i="185"/>
  <c r="EU74" i="185"/>
  <c r="FB75" i="185"/>
  <c r="EU76" i="185"/>
  <c r="ES77" i="185"/>
  <c r="Y37" i="185" s="1"/>
  <c r="EB78" i="185"/>
  <c r="ES81" i="185"/>
  <c r="Y41" i="185" s="1"/>
  <c r="DF81" i="185"/>
  <c r="EA82" i="185"/>
  <c r="FC82" i="185"/>
  <c r="CZ84" i="185"/>
  <c r="BM17" i="186"/>
  <c r="BO17" i="186"/>
  <c r="FA59" i="186"/>
  <c r="EY59" i="186" s="1"/>
  <c r="EZ59" i="186"/>
  <c r="EX59" i="186" s="1"/>
  <c r="FQ19" i="186"/>
  <c r="BQ21" i="186"/>
  <c r="BP21" i="186"/>
  <c r="BN21" i="186"/>
  <c r="BO21" i="186" s="1"/>
  <c r="BQ29" i="186"/>
  <c r="BP29" i="186"/>
  <c r="BO29" i="186"/>
  <c r="BN29" i="186"/>
  <c r="BM29" i="186"/>
  <c r="FB69" i="186" s="1"/>
  <c r="GB29" i="186"/>
  <c r="GA29" i="186"/>
  <c r="FB72" i="186"/>
  <c r="FA75" i="186"/>
  <c r="EY75" i="186" s="1"/>
  <c r="EZ75" i="186"/>
  <c r="BJ45" i="186"/>
  <c r="GF45" i="186"/>
  <c r="FO45" i="186"/>
  <c r="EL67" i="186"/>
  <c r="EM67" i="186" s="1"/>
  <c r="EO67" i="186"/>
  <c r="CX67" i="186"/>
  <c r="N27" i="186" s="1"/>
  <c r="ES67" i="186"/>
  <c r="Y27" i="186" s="1"/>
  <c r="DA81" i="184"/>
  <c r="DA85" i="184"/>
  <c r="BZ16" i="185"/>
  <c r="FA58" i="185"/>
  <c r="EY58" i="185" s="1"/>
  <c r="FO21" i="185"/>
  <c r="BK22" i="185"/>
  <c r="BZ24" i="185"/>
  <c r="FA66" i="185"/>
  <c r="EY66" i="185" s="1"/>
  <c r="FO29" i="185"/>
  <c r="BK30" i="185"/>
  <c r="BZ32" i="185"/>
  <c r="FA74" i="185"/>
  <c r="EY74" i="185" s="1"/>
  <c r="FO37" i="185"/>
  <c r="BK38" i="185"/>
  <c r="BZ40" i="185"/>
  <c r="FA82" i="185"/>
  <c r="EY82" i="185" s="1"/>
  <c r="FB56" i="185"/>
  <c r="ET56" i="185"/>
  <c r="EU58" i="185"/>
  <c r="ET60" i="185"/>
  <c r="CX60" i="185"/>
  <c r="N20" i="185" s="1"/>
  <c r="CW60" i="185"/>
  <c r="M20" i="185" s="1"/>
  <c r="EU63" i="185"/>
  <c r="FJ63" i="185"/>
  <c r="FC65" i="185"/>
  <c r="EU66" i="185"/>
  <c r="EZ66" i="185"/>
  <c r="EX66" i="185" s="1"/>
  <c r="CW67" i="185"/>
  <c r="M27" i="185" s="1"/>
  <c r="FC70" i="185"/>
  <c r="EU78" i="185"/>
  <c r="EO79" i="185"/>
  <c r="CW79" i="185"/>
  <c r="M39" i="185" s="1"/>
  <c r="ET79" i="185"/>
  <c r="FF79" i="185"/>
  <c r="CW80" i="185"/>
  <c r="M40" i="185" s="1"/>
  <c r="GB19" i="186"/>
  <c r="GA19" i="186"/>
  <c r="FQ27" i="186"/>
  <c r="FO30" i="186"/>
  <c r="GE35" i="186"/>
  <c r="GD35" i="186"/>
  <c r="GC35" i="186"/>
  <c r="GA35" i="186"/>
  <c r="BR36" i="186"/>
  <c r="CX55" i="186"/>
  <c r="N15" i="186" s="1"/>
  <c r="DB81" i="184"/>
  <c r="EH81" i="184"/>
  <c r="EJ81" i="184" s="1"/>
  <c r="DS81" i="184" s="1"/>
  <c r="CZ82" i="184"/>
  <c r="DB85" i="184"/>
  <c r="EH85" i="184"/>
  <c r="EJ85" i="184" s="1"/>
  <c r="DS85" i="184" s="1"/>
  <c r="BZ17" i="185"/>
  <c r="BK23" i="185"/>
  <c r="BZ25" i="185"/>
  <c r="FA67" i="185"/>
  <c r="EY67" i="185" s="1"/>
  <c r="BK31" i="185"/>
  <c r="BZ33" i="185"/>
  <c r="GA36" i="185"/>
  <c r="FQ37" i="185"/>
  <c r="BM38" i="185"/>
  <c r="FA78" i="185" s="1"/>
  <c r="EY78" i="185" s="1"/>
  <c r="BK39" i="185"/>
  <c r="BJ40" i="185"/>
  <c r="BZ41" i="185"/>
  <c r="FA83" i="185"/>
  <c r="EY83" i="185" s="1"/>
  <c r="BK45" i="185"/>
  <c r="EU54" i="185"/>
  <c r="FX54" i="185" s="1"/>
  <c r="EL64" i="185"/>
  <c r="EM64" i="185" s="1"/>
  <c r="FP64" i="185"/>
  <c r="FO64" i="185"/>
  <c r="CX69" i="185"/>
  <c r="N29" i="185" s="1"/>
  <c r="EL69" i="185"/>
  <c r="EM69" i="185" s="1"/>
  <c r="EN71" i="185"/>
  <c r="X31" i="185" s="1"/>
  <c r="EB71" i="185"/>
  <c r="CW72" i="185"/>
  <c r="M32" i="185" s="1"/>
  <c r="ET72" i="185"/>
  <c r="EQ73" i="185"/>
  <c r="ER73" i="185" s="1"/>
  <c r="ES73" i="185" s="1"/>
  <c r="Y33" i="185" s="1"/>
  <c r="EO74" i="185"/>
  <c r="FP76" i="185"/>
  <c r="FO76" i="185"/>
  <c r="EB79" i="185"/>
  <c r="EZ82" i="185"/>
  <c r="EZ83" i="185"/>
  <c r="EQ85" i="185"/>
  <c r="ER85" i="185" s="1"/>
  <c r="ES85" i="185" s="1"/>
  <c r="Y45" i="185" s="1"/>
  <c r="EB70" i="186"/>
  <c r="EB68" i="186"/>
  <c r="EB64" i="186"/>
  <c r="EB60" i="186"/>
  <c r="EB67" i="186"/>
  <c r="EB63" i="186"/>
  <c r="EB59" i="186"/>
  <c r="EB55" i="186"/>
  <c r="EB54" i="186"/>
  <c r="EB66" i="186"/>
  <c r="EB62" i="186"/>
  <c r="EB58" i="186"/>
  <c r="EB72" i="186"/>
  <c r="EB69" i="186"/>
  <c r="EB65" i="186"/>
  <c r="EB61" i="186"/>
  <c r="EB57" i="186"/>
  <c r="EB56" i="186"/>
  <c r="EB71" i="186"/>
  <c r="FO17" i="186"/>
  <c r="GF17" i="186"/>
  <c r="BJ17" i="186"/>
  <c r="FQ22" i="186"/>
  <c r="GB27" i="186"/>
  <c r="GA27" i="186"/>
  <c r="EZ38" i="186"/>
  <c r="EY38" i="186"/>
  <c r="P36" i="186"/>
  <c r="O36" i="186"/>
  <c r="BK16" i="185"/>
  <c r="BZ18" i="185"/>
  <c r="BK24" i="185"/>
  <c r="FF65" i="185"/>
  <c r="BZ26" i="185"/>
  <c r="BK32" i="185"/>
  <c r="BZ34" i="185"/>
  <c r="BK40" i="185"/>
  <c r="BM45" i="185"/>
  <c r="BR45" i="185" s="1"/>
  <c r="FN54" i="185"/>
  <c r="FN55" i="185"/>
  <c r="FJ56" i="185"/>
  <c r="CW58" i="185"/>
  <c r="M18" i="185" s="1"/>
  <c r="EB58" i="185"/>
  <c r="FN58" i="185"/>
  <c r="FC59" i="185"/>
  <c r="FN59" i="185"/>
  <c r="EU61" i="185"/>
  <c r="FB65" i="185"/>
  <c r="EO66" i="185"/>
  <c r="CW66" i="185"/>
  <c r="M26" i="185" s="1"/>
  <c r="EO67" i="185"/>
  <c r="EU68" i="185"/>
  <c r="FJ69" i="185"/>
  <c r="EQ71" i="185"/>
  <c r="ER71" i="185" s="1"/>
  <c r="FC74" i="185"/>
  <c r="EL74" i="185"/>
  <c r="EM74" i="185" s="1"/>
  <c r="EN74" i="185" s="1"/>
  <c r="X34" i="185" s="1"/>
  <c r="GE34" i="185" s="1"/>
  <c r="EO78" i="185"/>
  <c r="CW78" i="185"/>
  <c r="M38" i="185" s="1"/>
  <c r="ET80" i="185"/>
  <c r="EA81" i="185"/>
  <c r="FC81" i="185"/>
  <c r="DF84" i="185"/>
  <c r="FQ45" i="186"/>
  <c r="FQ32" i="186"/>
  <c r="FQ24" i="186"/>
  <c r="FQ16" i="186"/>
  <c r="FQ44" i="186"/>
  <c r="FQ14" i="186"/>
  <c r="FQ43" i="186"/>
  <c r="FO14" i="186"/>
  <c r="GF14" i="186"/>
  <c r="BJ14" i="186"/>
  <c r="FQ26" i="186"/>
  <c r="FQ18" i="186"/>
  <c r="FQ17" i="186"/>
  <c r="GB20" i="186"/>
  <c r="GA20" i="186"/>
  <c r="FO23" i="186"/>
  <c r="GF23" i="186"/>
  <c r="BJ23" i="186"/>
  <c r="BM25" i="186"/>
  <c r="BO25" i="186"/>
  <c r="FA65" i="186" s="1"/>
  <c r="EY65" i="186" s="1"/>
  <c r="FO33" i="186"/>
  <c r="GF33" i="186"/>
  <c r="BJ33" i="186"/>
  <c r="BR33" i="186"/>
  <c r="GC39" i="186"/>
  <c r="GB39" i="186"/>
  <c r="GA39" i="186"/>
  <c r="GD39" i="186"/>
  <c r="GE39" i="186"/>
  <c r="FO67" i="185"/>
  <c r="EU69" i="185"/>
  <c r="FO71" i="185"/>
  <c r="EO72" i="185"/>
  <c r="EU73" i="185"/>
  <c r="EQ75" i="185"/>
  <c r="ER75" i="185" s="1"/>
  <c r="ES75" i="185" s="1"/>
  <c r="Y35" i="185" s="1"/>
  <c r="GE35" i="185" s="1"/>
  <c r="FO75" i="185"/>
  <c r="EU77" i="185"/>
  <c r="EQ79" i="185"/>
  <c r="ER79" i="185" s="1"/>
  <c r="ES79" i="185" s="1"/>
  <c r="Y39" i="185" s="1"/>
  <c r="FO79" i="185"/>
  <c r="DG81" i="185"/>
  <c r="EU81" i="185"/>
  <c r="FK81" i="185"/>
  <c r="EQ83" i="185"/>
  <c r="ER83" i="185" s="1"/>
  <c r="ES83" i="185" s="1"/>
  <c r="Y43" i="185" s="1"/>
  <c r="FE84" i="185"/>
  <c r="DG85" i="185"/>
  <c r="EU85" i="185"/>
  <c r="HJ12" i="186"/>
  <c r="HR12" i="186"/>
  <c r="HZ12" i="186"/>
  <c r="IO12" i="186"/>
  <c r="IW12" i="186"/>
  <c r="JE12" i="186"/>
  <c r="B48" i="186"/>
  <c r="BP16" i="186"/>
  <c r="BR16" i="186" s="1"/>
  <c r="GB16" i="186"/>
  <c r="BN18" i="186"/>
  <c r="FO19" i="186"/>
  <c r="BK20" i="186"/>
  <c r="BZ22" i="186"/>
  <c r="BP24" i="186"/>
  <c r="GB24" i="186"/>
  <c r="BN26" i="186"/>
  <c r="FO27" i="186"/>
  <c r="BK28" i="186"/>
  <c r="BZ30" i="186"/>
  <c r="BP32" i="186"/>
  <c r="GB32" i="186"/>
  <c r="BN34" i="186"/>
  <c r="BQ35" i="186"/>
  <c r="FO36" i="186"/>
  <c r="BM37" i="186"/>
  <c r="FO37" i="186"/>
  <c r="BR38" i="186"/>
  <c r="FO38" i="186"/>
  <c r="BO41" i="186"/>
  <c r="EZ81" i="186" s="1"/>
  <c r="BN41" i="186"/>
  <c r="BM41" i="186"/>
  <c r="GA44" i="186"/>
  <c r="GE44" i="186"/>
  <c r="GD44" i="186"/>
  <c r="GB44" i="186"/>
  <c r="ID48" i="186"/>
  <c r="FJ57" i="186"/>
  <c r="FP60" i="186"/>
  <c r="FO60" i="186"/>
  <c r="FN60" i="186"/>
  <c r="FB65" i="186"/>
  <c r="ES74" i="186"/>
  <c r="Y34" i="186" s="1"/>
  <c r="EO76" i="186"/>
  <c r="FD76" i="186"/>
  <c r="CW76" i="186"/>
  <c r="M36" i="186" s="1"/>
  <c r="E36" i="186"/>
  <c r="CZ78" i="186"/>
  <c r="EV78" i="186"/>
  <c r="DF79" i="186"/>
  <c r="EQ64" i="185"/>
  <c r="ER64" i="185" s="1"/>
  <c r="ES64" i="185" s="1"/>
  <c r="Y24" i="185" s="1"/>
  <c r="EQ68" i="185"/>
  <c r="ER68" i="185" s="1"/>
  <c r="ES68" i="185" s="1"/>
  <c r="Y28" i="185" s="1"/>
  <c r="EQ72" i="185"/>
  <c r="ER72" i="185" s="1"/>
  <c r="ES72" i="185" s="1"/>
  <c r="Y32" i="185" s="1"/>
  <c r="GE32" i="185" s="1"/>
  <c r="EQ76" i="185"/>
  <c r="ER76" i="185" s="1"/>
  <c r="ES76" i="185" s="1"/>
  <c r="Y36" i="185" s="1"/>
  <c r="EQ80" i="185"/>
  <c r="ER80" i="185" s="1"/>
  <c r="ES80" i="185" s="1"/>
  <c r="Y40" i="185" s="1"/>
  <c r="GE40" i="185" s="1"/>
  <c r="FO80" i="185"/>
  <c r="DI81" i="185"/>
  <c r="EW81" i="185" s="1"/>
  <c r="DG82" i="185"/>
  <c r="EE82" i="185"/>
  <c r="EG82" i="185" s="1"/>
  <c r="DL82" i="185" s="1"/>
  <c r="EU82" i="185"/>
  <c r="EQ84" i="185"/>
  <c r="ER84" i="185" s="1"/>
  <c r="ES84" i="185" s="1"/>
  <c r="Y44" i="185" s="1"/>
  <c r="DI85" i="185"/>
  <c r="EW85" i="185" s="1"/>
  <c r="BK44" i="186"/>
  <c r="BZ38" i="186"/>
  <c r="BK36" i="186"/>
  <c r="BZ45" i="186"/>
  <c r="BK43" i="186"/>
  <c r="BZ37" i="186"/>
  <c r="BZ44" i="186"/>
  <c r="BK42" i="186"/>
  <c r="BZ36" i="186"/>
  <c r="BZ42" i="186"/>
  <c r="BK40" i="186"/>
  <c r="HL12" i="186"/>
  <c r="HT12" i="186"/>
  <c r="IB12" i="186"/>
  <c r="IQ12" i="186"/>
  <c r="IY12" i="186"/>
  <c r="JG12" i="186"/>
  <c r="FO39" i="186"/>
  <c r="BZ16" i="186"/>
  <c r="BP18" i="186"/>
  <c r="GB18" i="186"/>
  <c r="BN20" i="186"/>
  <c r="BM20" i="186" s="1"/>
  <c r="FO21" i="186"/>
  <c r="BK22" i="186"/>
  <c r="GF22" i="186"/>
  <c r="BZ24" i="186"/>
  <c r="BP26" i="186"/>
  <c r="GB26" i="186"/>
  <c r="BN28" i="186"/>
  <c r="BM28" i="186" s="1"/>
  <c r="FO29" i="186"/>
  <c r="BK30" i="186"/>
  <c r="GF30" i="186"/>
  <c r="BZ32" i="186"/>
  <c r="BP34" i="186"/>
  <c r="GF34" i="186"/>
  <c r="FA76" i="186"/>
  <c r="EY76" i="186" s="1"/>
  <c r="EZ76" i="186"/>
  <c r="GA36" i="186"/>
  <c r="BO37" i="186"/>
  <c r="GA37" i="186"/>
  <c r="GA38" i="186"/>
  <c r="BQ39" i="186"/>
  <c r="BP39" i="186"/>
  <c r="BO39" i="186"/>
  <c r="BM39" i="186"/>
  <c r="BZ41" i="186"/>
  <c r="EZ85" i="186"/>
  <c r="FA85" i="186"/>
  <c r="EY85" i="186" s="1"/>
  <c r="IH48" i="186"/>
  <c r="EL54" i="186"/>
  <c r="EM54" i="186" s="1"/>
  <c r="EN54" i="186" s="1"/>
  <c r="X14" i="186" s="1"/>
  <c r="FF54" i="186"/>
  <c r="EQ60" i="186"/>
  <c r="ER60" i="186" s="1"/>
  <c r="ES60" i="186" s="1"/>
  <c r="Y20" i="186" s="1"/>
  <c r="CW63" i="186"/>
  <c r="M23" i="186" s="1"/>
  <c r="EN63" i="186"/>
  <c r="X23" i="186" s="1"/>
  <c r="EQ63" i="186"/>
  <c r="ER63" i="186" s="1"/>
  <c r="EQ69" i="186"/>
  <c r="ER69" i="186" s="1"/>
  <c r="ES69" i="186" s="1"/>
  <c r="Y29" i="186" s="1"/>
  <c r="ES78" i="186"/>
  <c r="Y38" i="186" s="1"/>
  <c r="CX75" i="185"/>
  <c r="N35" i="185" s="1"/>
  <c r="FN77" i="185"/>
  <c r="CX79" i="185"/>
  <c r="N39" i="185" s="1"/>
  <c r="FP80" i="185"/>
  <c r="DB81" i="185"/>
  <c r="CZ82" i="185"/>
  <c r="DH82" i="185"/>
  <c r="CX83" i="185"/>
  <c r="N43" i="185" s="1"/>
  <c r="DF83" i="185"/>
  <c r="DB85" i="185"/>
  <c r="HD12" i="186"/>
  <c r="HM12" i="186"/>
  <c r="HU12" i="186"/>
  <c r="IC12" i="186"/>
  <c r="IR12" i="186"/>
  <c r="IZ12" i="186"/>
  <c r="JH12" i="186"/>
  <c r="BK14" i="186"/>
  <c r="AS15" i="186"/>
  <c r="FF55" i="186" s="1"/>
  <c r="BK15" i="186"/>
  <c r="BJ16" i="186"/>
  <c r="BZ17" i="186"/>
  <c r="FQ21" i="186"/>
  <c r="BM22" i="186"/>
  <c r="FA62" i="186" s="1"/>
  <c r="EY62" i="186" s="1"/>
  <c r="AS23" i="186"/>
  <c r="FF63" i="186" s="1"/>
  <c r="BK23" i="186"/>
  <c r="FF64" i="186"/>
  <c r="BJ24" i="186"/>
  <c r="BZ25" i="186"/>
  <c r="BO28" i="186"/>
  <c r="FQ29" i="186"/>
  <c r="BM30" i="186"/>
  <c r="BK31" i="186"/>
  <c r="FF72" i="186"/>
  <c r="BJ32" i="186"/>
  <c r="BZ33" i="186"/>
  <c r="BZ34" i="186"/>
  <c r="GB36" i="186"/>
  <c r="BP37" i="186"/>
  <c r="FA78" i="186"/>
  <c r="EY78" i="186" s="1"/>
  <c r="EZ78" i="186"/>
  <c r="BK39" i="186"/>
  <c r="BK41" i="186"/>
  <c r="FO42" i="186"/>
  <c r="GF42" i="186"/>
  <c r="IL48" i="186"/>
  <c r="CW54" i="186"/>
  <c r="M14" i="186" s="1"/>
  <c r="EQ55" i="186"/>
  <c r="ER55" i="186" s="1"/>
  <c r="ES55" i="186" s="1"/>
  <c r="Y15" i="186" s="1"/>
  <c r="EO63" i="186"/>
  <c r="EU64" i="186"/>
  <c r="EU66" i="186"/>
  <c r="EL66" i="186"/>
  <c r="EM66" i="186" s="1"/>
  <c r="FJ68" i="186"/>
  <c r="CZ77" i="186"/>
  <c r="L43" i="186"/>
  <c r="BU43" i="186" s="1"/>
  <c r="J43" i="186"/>
  <c r="ES83" i="186"/>
  <c r="Y43" i="186" s="1"/>
  <c r="DI82" i="185"/>
  <c r="EW82" i="185" s="1"/>
  <c r="EE83" i="185"/>
  <c r="EG83" i="185" s="1"/>
  <c r="DL83" i="185" s="1"/>
  <c r="HF12" i="186"/>
  <c r="HN12" i="186"/>
  <c r="HV12" i="186"/>
  <c r="ID12" i="186"/>
  <c r="IS12" i="186"/>
  <c r="JA12" i="186"/>
  <c r="JI12" i="186"/>
  <c r="BP20" i="186"/>
  <c r="BK24" i="186"/>
  <c r="BZ26" i="186"/>
  <c r="BP28" i="186"/>
  <c r="BK32" i="186"/>
  <c r="FO34" i="186"/>
  <c r="BK35" i="186"/>
  <c r="GE37" i="186"/>
  <c r="GD37" i="186"/>
  <c r="GC37" i="186"/>
  <c r="GD38" i="186"/>
  <c r="GC38" i="186"/>
  <c r="GB38" i="186"/>
  <c r="FO43" i="186"/>
  <c r="GF43" i="186"/>
  <c r="BJ43" i="186"/>
  <c r="FO44" i="186"/>
  <c r="FO56" i="186"/>
  <c r="FN56" i="186"/>
  <c r="CW59" i="186"/>
  <c r="M19" i="186" s="1"/>
  <c r="EN59" i="186"/>
  <c r="X19" i="186" s="1"/>
  <c r="GE19" i="186" s="1"/>
  <c r="CX59" i="186"/>
  <c r="N19" i="186" s="1"/>
  <c r="ES59" i="186"/>
  <c r="Y19" i="186" s="1"/>
  <c r="EU62" i="186"/>
  <c r="EL62" i="186"/>
  <c r="EM62" i="186" s="1"/>
  <c r="ES66" i="186"/>
  <c r="Y26" i="186" s="1"/>
  <c r="FC67" i="186"/>
  <c r="ET69" i="186"/>
  <c r="CX69" i="186"/>
  <c r="N29" i="186" s="1"/>
  <c r="DM74" i="186"/>
  <c r="DN74" i="186"/>
  <c r="CZ75" i="186"/>
  <c r="EN75" i="186"/>
  <c r="X35" i="186" s="1"/>
  <c r="ES77" i="186"/>
  <c r="Y37" i="186" s="1"/>
  <c r="CX68" i="185"/>
  <c r="N28" i="185" s="1"/>
  <c r="CX72" i="185"/>
  <c r="N32" i="185" s="1"/>
  <c r="CX76" i="185"/>
  <c r="N36" i="185" s="1"/>
  <c r="CV81" i="185"/>
  <c r="CZ83" i="185"/>
  <c r="CX84" i="185"/>
  <c r="N44" i="185" s="1"/>
  <c r="CV85" i="185"/>
  <c r="DF84" i="186"/>
  <c r="DF80" i="186"/>
  <c r="DF83" i="186"/>
  <c r="CZ82" i="186"/>
  <c r="DF76" i="186"/>
  <c r="EU83" i="186"/>
  <c r="EU79" i="186"/>
  <c r="EU84" i="186"/>
  <c r="EU67" i="186"/>
  <c r="EU63" i="186"/>
  <c r="EU59" i="186"/>
  <c r="EU55" i="186"/>
  <c r="EU75" i="186"/>
  <c r="EU72" i="186"/>
  <c r="EU71" i="186"/>
  <c r="EU80" i="186"/>
  <c r="EU76" i="186"/>
  <c r="HG12" i="186"/>
  <c r="HO12" i="186"/>
  <c r="HW12" i="186"/>
  <c r="IL12" i="186"/>
  <c r="IT12" i="186"/>
  <c r="JB12" i="186"/>
  <c r="JJ12" i="186"/>
  <c r="BK17" i="186"/>
  <c r="BZ19" i="186"/>
  <c r="BK25" i="186"/>
  <c r="BZ27" i="186"/>
  <c r="BK33" i="186"/>
  <c r="FQ34" i="186"/>
  <c r="EZ34" i="186"/>
  <c r="EY34" i="186"/>
  <c r="BN35" i="186"/>
  <c r="GE36" i="186"/>
  <c r="BP40" i="186"/>
  <c r="BO40" i="186"/>
  <c r="BN40" i="186"/>
  <c r="BZ40" i="186"/>
  <c r="BQ41" i="186"/>
  <c r="HV48" i="186"/>
  <c r="EL55" i="186"/>
  <c r="EM55" i="186" s="1"/>
  <c r="EU56" i="186"/>
  <c r="EO59" i="186"/>
  <c r="EQ61" i="186"/>
  <c r="ER61" i="186" s="1"/>
  <c r="ES61" i="186" s="1"/>
  <c r="Y21" i="186" s="1"/>
  <c r="EQ62" i="186"/>
  <c r="ER62" i="186" s="1"/>
  <c r="ES62" i="186" s="1"/>
  <c r="Y22" i="186" s="1"/>
  <c r="FJ64" i="186"/>
  <c r="ET66" i="186"/>
  <c r="FP68" i="186"/>
  <c r="FO68" i="186"/>
  <c r="FN68" i="186"/>
  <c r="ES71" i="186"/>
  <c r="Y31" i="186" s="1"/>
  <c r="CX71" i="186"/>
  <c r="N31" i="186" s="1"/>
  <c r="FC72" i="186"/>
  <c r="EF75" i="186"/>
  <c r="EE75" i="186"/>
  <c r="EG75" i="186" s="1"/>
  <c r="DL75" i="186" s="1"/>
  <c r="DF75" i="186"/>
  <c r="EN76" i="186"/>
  <c r="X36" i="186" s="1"/>
  <c r="HH12" i="186"/>
  <c r="HP12" i="186"/>
  <c r="HX12" i="186"/>
  <c r="IM12" i="186"/>
  <c r="IU12" i="186"/>
  <c r="JC12" i="186"/>
  <c r="FG54" i="186"/>
  <c r="FG55" i="186"/>
  <c r="BK26" i="186"/>
  <c r="BZ28" i="186"/>
  <c r="FA70" i="186"/>
  <c r="EY70" i="186" s="1"/>
  <c r="EZ70" i="186"/>
  <c r="EX70" i="186" s="1"/>
  <c r="BK34" i="186"/>
  <c r="FO35" i="186"/>
  <c r="BJ35" i="186"/>
  <c r="EY39" i="186"/>
  <c r="FQ39" i="186"/>
  <c r="FO41" i="186"/>
  <c r="BJ41" i="186"/>
  <c r="BP43" i="186"/>
  <c r="BM43" i="186"/>
  <c r="BQ43" i="186"/>
  <c r="BK45" i="186"/>
  <c r="EU54" i="186"/>
  <c r="ET57" i="186"/>
  <c r="CX57" i="186"/>
  <c r="N17" i="186" s="1"/>
  <c r="EU58" i="186"/>
  <c r="EL58" i="186"/>
  <c r="EM58" i="186" s="1"/>
  <c r="FJ60" i="186"/>
  <c r="ET65" i="186"/>
  <c r="CX65" i="186"/>
  <c r="N25" i="186" s="1"/>
  <c r="EN71" i="186"/>
  <c r="X31" i="186" s="1"/>
  <c r="DI77" i="186"/>
  <c r="EW77" i="186" s="1"/>
  <c r="DG77" i="186"/>
  <c r="DJ77" i="186"/>
  <c r="DH77" i="186"/>
  <c r="EU77" i="186"/>
  <c r="EL77" i="186"/>
  <c r="EM77" i="186" s="1"/>
  <c r="EN77" i="186" s="1"/>
  <c r="X37" i="186" s="1"/>
  <c r="FQ42" i="186"/>
  <c r="EZ42" i="186"/>
  <c r="EY42" i="186"/>
  <c r="IN48" i="186"/>
  <c r="IF48" i="186"/>
  <c r="HX48" i="186"/>
  <c r="IS48" i="186"/>
  <c r="IK48" i="186"/>
  <c r="IC48" i="186"/>
  <c r="HU48" i="186"/>
  <c r="IR48" i="186"/>
  <c r="IJ48" i="186"/>
  <c r="IB48" i="186"/>
  <c r="HT48" i="186"/>
  <c r="IQ48" i="186"/>
  <c r="II48" i="186"/>
  <c r="IA48" i="186"/>
  <c r="HS48" i="186"/>
  <c r="IO48" i="186"/>
  <c r="IG48" i="186"/>
  <c r="HY48" i="186"/>
  <c r="HQ48" i="186"/>
  <c r="FP54" i="186"/>
  <c r="FX54" i="186" s="1"/>
  <c r="FN54" i="186"/>
  <c r="CW56" i="186"/>
  <c r="M16" i="186" s="1"/>
  <c r="EO56" i="186"/>
  <c r="FB57" i="186"/>
  <c r="EQ58" i="186"/>
  <c r="ER58" i="186" s="1"/>
  <c r="ES58" i="186" s="1"/>
  <c r="Y18" i="186" s="1"/>
  <c r="FC59" i="186"/>
  <c r="ET61" i="186"/>
  <c r="CX61" i="186"/>
  <c r="N21" i="186" s="1"/>
  <c r="EQ68" i="186"/>
  <c r="ER68" i="186" s="1"/>
  <c r="CZ73" i="186"/>
  <c r="DF74" i="186"/>
  <c r="ES75" i="186"/>
  <c r="Y35" i="186" s="1"/>
  <c r="EN79" i="186"/>
  <c r="X39" i="186" s="1"/>
  <c r="FE81" i="186"/>
  <c r="ET81" i="186"/>
  <c r="CX81" i="186"/>
  <c r="N41" i="186" s="1"/>
  <c r="ES82" i="186"/>
  <c r="Y42" i="186" s="1"/>
  <c r="FA84" i="186"/>
  <c r="EY84" i="186" s="1"/>
  <c r="EZ84" i="186"/>
  <c r="CX56" i="186"/>
  <c r="N16" i="186" s="1"/>
  <c r="EL56" i="186"/>
  <c r="EM56" i="186" s="1"/>
  <c r="EN56" i="186" s="1"/>
  <c r="X16" i="186" s="1"/>
  <c r="GE16" i="186" s="1"/>
  <c r="ET56" i="186"/>
  <c r="FB56" i="186"/>
  <c r="FN58" i="186"/>
  <c r="CX60" i="186"/>
  <c r="N20" i="186" s="1"/>
  <c r="EL60" i="186"/>
  <c r="EM60" i="186" s="1"/>
  <c r="EN60" i="186" s="1"/>
  <c r="X20" i="186" s="1"/>
  <c r="GE20" i="186" s="1"/>
  <c r="ET60" i="186"/>
  <c r="FB60" i="186"/>
  <c r="FN62" i="186"/>
  <c r="CX64" i="186"/>
  <c r="N24" i="186" s="1"/>
  <c r="EL64" i="186"/>
  <c r="EM64" i="186" s="1"/>
  <c r="EN64" i="186" s="1"/>
  <c r="X24" i="186" s="1"/>
  <c r="GE24" i="186" s="1"/>
  <c r="ET64" i="186"/>
  <c r="FB64" i="186"/>
  <c r="FN66" i="186"/>
  <c r="EL68" i="186"/>
  <c r="EM68" i="186" s="1"/>
  <c r="EN68" i="186" s="1"/>
  <c r="X28" i="186" s="1"/>
  <c r="ET68" i="186"/>
  <c r="FO70" i="186"/>
  <c r="DZ73" i="186"/>
  <c r="EF74" i="186"/>
  <c r="EQ76" i="186"/>
  <c r="ER76" i="186" s="1"/>
  <c r="ES76" i="186" s="1"/>
  <c r="Y36" i="186" s="1"/>
  <c r="DD77" i="186"/>
  <c r="EO79" i="186"/>
  <c r="EV84" i="186"/>
  <c r="EY41" i="186"/>
  <c r="FN55" i="186"/>
  <c r="EL57" i="186"/>
  <c r="EM57" i="186" s="1"/>
  <c r="FP58" i="186"/>
  <c r="FX58" i="186" s="1"/>
  <c r="FN59" i="186"/>
  <c r="EL61" i="186"/>
  <c r="EM61" i="186" s="1"/>
  <c r="FP62" i="186"/>
  <c r="FX62" i="186" s="1"/>
  <c r="FN63" i="186"/>
  <c r="EL65" i="186"/>
  <c r="EM65" i="186" s="1"/>
  <c r="FP66" i="186"/>
  <c r="FN67" i="186"/>
  <c r="EL69" i="186"/>
  <c r="EM69" i="186" s="1"/>
  <c r="FJ69" i="186"/>
  <c r="CW70" i="186"/>
  <c r="M30" i="186" s="1"/>
  <c r="FP70" i="186"/>
  <c r="EO71" i="186"/>
  <c r="FP72" i="186"/>
  <c r="DC73" i="186"/>
  <c r="EV73" i="186" s="1"/>
  <c r="CZ74" i="186"/>
  <c r="DJ74" i="186"/>
  <c r="EH74" i="186"/>
  <c r="EJ74" i="186" s="1"/>
  <c r="DS74" i="186" s="1"/>
  <c r="EV74" i="186"/>
  <c r="CV77" i="186"/>
  <c r="DL78" i="186"/>
  <c r="EH78" i="186"/>
  <c r="EJ78" i="186" s="1"/>
  <c r="DS78" i="186" s="1"/>
  <c r="FC79" i="186"/>
  <c r="EA79" i="186"/>
  <c r="DZ85" i="186"/>
  <c r="FB85" i="186"/>
  <c r="FE85" i="186"/>
  <c r="ET85" i="186"/>
  <c r="CX85" i="186"/>
  <c r="N45" i="186" s="1"/>
  <c r="GA40" i="186"/>
  <c r="GL40" i="186" s="1"/>
  <c r="EZ41" i="186"/>
  <c r="FQ41" i="186"/>
  <c r="BM42" i="186"/>
  <c r="BR42" i="186" s="1"/>
  <c r="BJ44" i="186"/>
  <c r="FO55" i="186"/>
  <c r="EU57" i="186"/>
  <c r="FO59" i="186"/>
  <c r="EO60" i="186"/>
  <c r="EU61" i="186"/>
  <c r="FO63" i="186"/>
  <c r="EO64" i="186"/>
  <c r="EU65" i="186"/>
  <c r="FO67" i="186"/>
  <c r="EO68" i="186"/>
  <c r="EU69" i="186"/>
  <c r="EQ72" i="186"/>
  <c r="ER72" i="186" s="1"/>
  <c r="DD73" i="186"/>
  <c r="DA74" i="186"/>
  <c r="EW74" i="186"/>
  <c r="FC75" i="186"/>
  <c r="FE77" i="186"/>
  <c r="ET77" i="186"/>
  <c r="CX77" i="186"/>
  <c r="N37" i="186" s="1"/>
  <c r="EH77" i="186"/>
  <c r="EJ77" i="186" s="1"/>
  <c r="DS77" i="186" s="1"/>
  <c r="DA78" i="186"/>
  <c r="DD78" i="186"/>
  <c r="CV78" i="186"/>
  <c r="DF78" i="186"/>
  <c r="CZ79" i="186"/>
  <c r="EW79" i="186"/>
  <c r="ES84" i="186"/>
  <c r="Y44" i="186" s="1"/>
  <c r="CX58" i="186"/>
  <c r="N18" i="186" s="1"/>
  <c r="CX62" i="186"/>
  <c r="N22" i="186" s="1"/>
  <c r="CX66" i="186"/>
  <c r="N26" i="186" s="1"/>
  <c r="FO71" i="186"/>
  <c r="FN71" i="186"/>
  <c r="DI73" i="186"/>
  <c r="EW73" i="186" s="1"/>
  <c r="DG73" i="186"/>
  <c r="EU73" i="186"/>
  <c r="EL73" i="186"/>
  <c r="EM73" i="186" s="1"/>
  <c r="EN73" i="186" s="1"/>
  <c r="X33" i="186" s="1"/>
  <c r="EQ73" i="186"/>
  <c r="ER73" i="186" s="1"/>
  <c r="ES73" i="186" s="1"/>
  <c r="Y33" i="186" s="1"/>
  <c r="FD73" i="186"/>
  <c r="DB74" i="186"/>
  <c r="FD75" i="186"/>
  <c r="DI78" i="186"/>
  <c r="EW78" i="186" s="1"/>
  <c r="DG78" i="186"/>
  <c r="EU78" i="186"/>
  <c r="DH78" i="186"/>
  <c r="EL78" i="186"/>
  <c r="EM78" i="186" s="1"/>
  <c r="EN78" i="186" s="1"/>
  <c r="X38" i="186" s="1"/>
  <c r="EF79" i="186"/>
  <c r="EQ80" i="186"/>
  <c r="ER80" i="186" s="1"/>
  <c r="ES80" i="186" s="1"/>
  <c r="Y40" i="186" s="1"/>
  <c r="DF82" i="186"/>
  <c r="FC83" i="186"/>
  <c r="EA83" i="186"/>
  <c r="CW84" i="186"/>
  <c r="M44" i="186" s="1"/>
  <c r="EO84" i="186"/>
  <c r="FD84" i="186"/>
  <c r="EO72" i="186"/>
  <c r="CW72" i="186"/>
  <c r="M32" i="186" s="1"/>
  <c r="FO72" i="186"/>
  <c r="CW80" i="186"/>
  <c r="M40" i="186" s="1"/>
  <c r="EO80" i="186"/>
  <c r="FD80" i="186"/>
  <c r="DI82" i="186"/>
  <c r="EW82" i="186" s="1"/>
  <c r="DG82" i="186"/>
  <c r="DJ82" i="186"/>
  <c r="EU82" i="186"/>
  <c r="EL82" i="186"/>
  <c r="EM82" i="186" s="1"/>
  <c r="EN82" i="186" s="1"/>
  <c r="X42" i="186" s="1"/>
  <c r="EN84" i="186"/>
  <c r="X44" i="186" s="1"/>
  <c r="CW71" i="186"/>
  <c r="M31" i="186" s="1"/>
  <c r="FE73" i="186"/>
  <c r="ET73" i="186"/>
  <c r="CX73" i="186"/>
  <c r="N33" i="186" s="1"/>
  <c r="DD74" i="186"/>
  <c r="CV74" i="186"/>
  <c r="DC81" i="186"/>
  <c r="EV81" i="186" s="1"/>
  <c r="DA81" i="186"/>
  <c r="DD81" i="186"/>
  <c r="CV81" i="186"/>
  <c r="FK74" i="186"/>
  <c r="FJ73" i="186"/>
  <c r="EU74" i="186"/>
  <c r="DC76" i="186"/>
  <c r="EV76" i="186" s="1"/>
  <c r="DA76" i="186"/>
  <c r="FC76" i="186"/>
  <c r="DC77" i="186"/>
  <c r="EV77" i="186" s="1"/>
  <c r="EQ79" i="186"/>
  <c r="ER79" i="186" s="1"/>
  <c r="ES79" i="186" s="1"/>
  <c r="Y39" i="186" s="1"/>
  <c r="EN80" i="186"/>
  <c r="X40" i="186" s="1"/>
  <c r="EQ81" i="186"/>
  <c r="ER81" i="186" s="1"/>
  <c r="ES81" i="186" s="1"/>
  <c r="Y41" i="186" s="1"/>
  <c r="EH81" i="186"/>
  <c r="EJ81" i="186" s="1"/>
  <c r="DS81" i="186" s="1"/>
  <c r="EE83" i="186"/>
  <c r="EG83" i="186" s="1"/>
  <c r="DL83" i="186" s="1"/>
  <c r="EF83" i="186"/>
  <c r="DB82" i="186"/>
  <c r="EH82" i="186"/>
  <c r="EJ82" i="186" s="1"/>
  <c r="DS82" i="186" s="1"/>
  <c r="CZ83" i="186"/>
  <c r="CV85" i="186"/>
  <c r="DD85" i="186"/>
  <c r="DF73" i="186"/>
  <c r="DB75" i="186"/>
  <c r="EH75" i="186"/>
  <c r="EJ75" i="186" s="1"/>
  <c r="DS75" i="186" s="1"/>
  <c r="CZ76" i="186"/>
  <c r="DH76" i="186"/>
  <c r="DF77" i="186"/>
  <c r="DB79" i="186"/>
  <c r="EH79" i="186"/>
  <c r="EJ79" i="186" s="1"/>
  <c r="DS79" i="186" s="1"/>
  <c r="CZ80" i="186"/>
  <c r="DH80" i="186"/>
  <c r="DF81" i="186"/>
  <c r="EL81" i="186"/>
  <c r="EM81" i="186" s="1"/>
  <c r="EN81" i="186" s="1"/>
  <c r="X41" i="186" s="1"/>
  <c r="CV82" i="186"/>
  <c r="DD82" i="186"/>
  <c r="DB83" i="186"/>
  <c r="EH83" i="186"/>
  <c r="EJ83" i="186" s="1"/>
  <c r="DS83" i="186" s="1"/>
  <c r="CZ84" i="186"/>
  <c r="DF85" i="186"/>
  <c r="EL85" i="186"/>
  <c r="EM85" i="186" s="1"/>
  <c r="EN85" i="186" s="1"/>
  <c r="X45" i="186" s="1"/>
  <c r="DA80" i="186"/>
  <c r="DG81" i="186"/>
  <c r="EU81" i="186"/>
  <c r="DA84" i="186"/>
  <c r="DG85" i="186"/>
  <c r="EU85" i="186"/>
  <c r="DB80" i="186"/>
  <c r="EH80" i="186"/>
  <c r="EJ80" i="186" s="1"/>
  <c r="DS80" i="186" s="1"/>
  <c r="CZ81" i="186"/>
  <c r="FD81" i="186"/>
  <c r="DB84" i="186"/>
  <c r="EH84" i="186"/>
  <c r="EJ84" i="186" s="1"/>
  <c r="DS84" i="186" s="1"/>
  <c r="CZ85" i="186"/>
  <c r="FD85" i="186"/>
  <c r="DA85" i="186"/>
  <c r="DB85" i="186"/>
  <c r="EH85" i="186"/>
  <c r="EJ85" i="186" s="1"/>
  <c r="DS85" i="186" s="1"/>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P16" i="230" l="1"/>
  <c r="AO17" i="230"/>
  <c r="P16" i="229"/>
  <c r="AO17" i="229"/>
  <c r="P16" i="228"/>
  <c r="AO17" i="228"/>
  <c r="P16" i="227"/>
  <c r="AO17" i="227"/>
  <c r="P16" i="226"/>
  <c r="AO17" i="226"/>
  <c r="P16" i="225"/>
  <c r="AO17" i="225"/>
  <c r="P16" i="224"/>
  <c r="AO17" i="224"/>
  <c r="P16" i="223"/>
  <c r="AO17" i="223"/>
  <c r="P16" i="222"/>
  <c r="AO17" i="222"/>
  <c r="P16" i="221"/>
  <c r="AO17" i="221"/>
  <c r="P16" i="220"/>
  <c r="AO17" i="220"/>
  <c r="P16" i="219"/>
  <c r="AO17" i="219"/>
  <c r="P16" i="218"/>
  <c r="AO17" i="218"/>
  <c r="P16" i="217"/>
  <c r="AO17" i="217"/>
  <c r="AO16" i="216"/>
  <c r="P16" i="216" s="1"/>
  <c r="AO17" i="216"/>
  <c r="P16" i="215"/>
  <c r="AO17" i="215"/>
  <c r="P16" i="214"/>
  <c r="AO17" i="214"/>
  <c r="P16" i="213"/>
  <c r="AO17" i="213"/>
  <c r="P16" i="212"/>
  <c r="AO17" i="212"/>
  <c r="AO16" i="211"/>
  <c r="P15" i="211"/>
  <c r="P16" i="210"/>
  <c r="AO17" i="210"/>
  <c r="P16" i="209"/>
  <c r="AO17" i="209"/>
  <c r="P16" i="208"/>
  <c r="AO17" i="208"/>
  <c r="P16" i="207"/>
  <c r="AO17" i="207"/>
  <c r="P16" i="206"/>
  <c r="AO17" i="206"/>
  <c r="P16" i="205"/>
  <c r="AO17" i="205"/>
  <c r="P16" i="204"/>
  <c r="AO17" i="204"/>
  <c r="AO16" i="203"/>
  <c r="P16" i="203" s="1"/>
  <c r="AO17" i="203"/>
  <c r="P16" i="202"/>
  <c r="AO17" i="202"/>
  <c r="P16" i="201"/>
  <c r="AO17" i="201"/>
  <c r="P16" i="200"/>
  <c r="AO17" i="200"/>
  <c r="P16" i="199"/>
  <c r="AO17" i="199"/>
  <c r="P16" i="198"/>
  <c r="AO17" i="198"/>
  <c r="P16" i="197"/>
  <c r="AO17" i="197"/>
  <c r="BR40" i="186"/>
  <c r="BR37" i="186"/>
  <c r="FA57" i="186"/>
  <c r="EY57" i="186" s="1"/>
  <c r="BR34" i="186"/>
  <c r="FB62" i="186"/>
  <c r="BR35" i="186"/>
  <c r="BO20" i="186"/>
  <c r="BM21" i="186"/>
  <c r="FB61" i="186" s="1"/>
  <c r="EZ65" i="186"/>
  <c r="EX65" i="186" s="1"/>
  <c r="BO15" i="186"/>
  <c r="FA81" i="186"/>
  <c r="EY81" i="186" s="1"/>
  <c r="EZ62" i="186"/>
  <c r="EX62" i="186" s="1"/>
  <c r="BO36" i="185"/>
  <c r="BM21" i="185"/>
  <c r="FC61" i="185" s="1"/>
  <c r="EZ73" i="185"/>
  <c r="EX73" i="185" s="1"/>
  <c r="BM23" i="185"/>
  <c r="FA63" i="185" s="1"/>
  <c r="EY63" i="185" s="1"/>
  <c r="BM28" i="185"/>
  <c r="EZ78" i="185"/>
  <c r="EX78" i="185" s="1"/>
  <c r="BR35" i="185"/>
  <c r="FA75" i="185"/>
  <c r="EY75" i="185" s="1"/>
  <c r="BR25" i="185"/>
  <c r="BM15" i="184"/>
  <c r="EZ55" i="184" s="1"/>
  <c r="EX55" i="184" s="1"/>
  <c r="BO14" i="184"/>
  <c r="BM36" i="184"/>
  <c r="FB76" i="184" s="1"/>
  <c r="BM28" i="184"/>
  <c r="EZ65" i="184"/>
  <c r="EX65" i="184" s="1"/>
  <c r="FA55" i="184"/>
  <c r="EY55" i="184" s="1"/>
  <c r="BO19" i="184"/>
  <c r="BR43" i="184"/>
  <c r="FC71" i="184"/>
  <c r="FA69" i="184"/>
  <c r="EY69" i="184" s="1"/>
  <c r="FA61" i="184"/>
  <c r="EY61" i="184" s="1"/>
  <c r="BM33" i="184"/>
  <c r="FA77" i="183"/>
  <c r="EY77" i="183" s="1"/>
  <c r="BO33" i="183"/>
  <c r="EZ73" i="183" s="1"/>
  <c r="EX73" i="183" s="1"/>
  <c r="FB78" i="183"/>
  <c r="BM39" i="183"/>
  <c r="FB79" i="183" s="1"/>
  <c r="FB77" i="183"/>
  <c r="BO36" i="183"/>
  <c r="BM35" i="183"/>
  <c r="AO40" i="181"/>
  <c r="P39" i="181"/>
  <c r="FX54" i="184"/>
  <c r="AG14" i="184" s="1"/>
  <c r="AH14" i="184" s="1"/>
  <c r="FD14" i="184" s="1"/>
  <c r="DN77" i="186"/>
  <c r="DP77" i="186" s="1"/>
  <c r="DT81" i="185"/>
  <c r="DM82" i="184"/>
  <c r="DU84" i="185"/>
  <c r="DW84" i="185" s="1"/>
  <c r="H45" i="183"/>
  <c r="I45" i="183"/>
  <c r="BS45" i="183" s="1"/>
  <c r="DN80" i="186"/>
  <c r="DN79" i="186"/>
  <c r="DR79" i="186" s="1"/>
  <c r="DT82" i="184"/>
  <c r="K43" i="185"/>
  <c r="J43" i="185"/>
  <c r="DM85" i="186"/>
  <c r="DP85" i="186"/>
  <c r="DT73" i="186"/>
  <c r="DV73" i="186" s="1"/>
  <c r="DV76" i="186"/>
  <c r="DU76" i="186"/>
  <c r="O43" i="185"/>
  <c r="DM81" i="186"/>
  <c r="DQ81" i="186" s="1"/>
  <c r="EN41" i="186" s="1"/>
  <c r="DP81" i="186"/>
  <c r="D42" i="185"/>
  <c r="GK42" i="185" s="1"/>
  <c r="DK82" i="185"/>
  <c r="FQ54" i="184"/>
  <c r="FR54" i="184" s="1"/>
  <c r="FU55" i="184" s="1"/>
  <c r="FQ57" i="185"/>
  <c r="FR57" i="185" s="1"/>
  <c r="FU58" i="185" s="1"/>
  <c r="DM82" i="186"/>
  <c r="DQ82" i="186" s="1"/>
  <c r="DU85" i="185"/>
  <c r="DY85" i="185" s="1"/>
  <c r="K45" i="183"/>
  <c r="R42" i="184"/>
  <c r="DM84" i="185"/>
  <c r="DU83" i="185"/>
  <c r="DW83" i="185" s="1"/>
  <c r="DT83" i="185"/>
  <c r="DX83" i="185" s="1"/>
  <c r="DK76" i="186"/>
  <c r="DW82" i="184"/>
  <c r="L45" i="183"/>
  <c r="BU45" i="183" s="1"/>
  <c r="O41" i="186"/>
  <c r="DO81" i="185"/>
  <c r="DN81" i="185"/>
  <c r="DR81" i="185" s="1"/>
  <c r="EN41" i="185" s="1"/>
  <c r="H43" i="186"/>
  <c r="D45" i="183"/>
  <c r="GK45" i="183" s="1"/>
  <c r="E45" i="183"/>
  <c r="G43" i="186"/>
  <c r="O44" i="184"/>
  <c r="GL44" i="186"/>
  <c r="O37" i="186"/>
  <c r="P37" i="186"/>
  <c r="DU85" i="183"/>
  <c r="DY85" i="183" s="1"/>
  <c r="G44" i="184"/>
  <c r="I44" i="184"/>
  <c r="BS44" i="184" s="1"/>
  <c r="L40" i="186"/>
  <c r="BU40" i="186" s="1"/>
  <c r="K40" i="186"/>
  <c r="J40" i="186"/>
  <c r="I44" i="186"/>
  <c r="BS44" i="186" s="1"/>
  <c r="H44" i="186"/>
  <c r="DK73" i="186"/>
  <c r="E33" i="186"/>
  <c r="D33" i="186"/>
  <c r="GK33" i="186" s="1"/>
  <c r="Q44" i="185"/>
  <c r="R44" i="185"/>
  <c r="R41" i="186"/>
  <c r="Q41" i="186"/>
  <c r="DR73" i="186"/>
  <c r="T33" i="186" s="1"/>
  <c r="DP73" i="186"/>
  <c r="DO77" i="186"/>
  <c r="DM73" i="186"/>
  <c r="L41" i="186"/>
  <c r="BU41" i="186" s="1"/>
  <c r="K41" i="186"/>
  <c r="J41" i="186"/>
  <c r="I39" i="186"/>
  <c r="BS39" i="186" s="1"/>
  <c r="H39" i="186"/>
  <c r="G39" i="186"/>
  <c r="L45" i="184"/>
  <c r="BU45" i="184" s="1"/>
  <c r="J45" i="184"/>
  <c r="K45" i="184"/>
  <c r="DK83" i="185"/>
  <c r="E43" i="185"/>
  <c r="D43" i="185"/>
  <c r="GK43" i="185" s="1"/>
  <c r="DT84" i="184"/>
  <c r="DX84" i="184" s="1"/>
  <c r="R43" i="185"/>
  <c r="Q43" i="185"/>
  <c r="H42" i="185"/>
  <c r="G42" i="185"/>
  <c r="I42" i="185"/>
  <c r="BS42" i="185" s="1"/>
  <c r="P42" i="186"/>
  <c r="O42" i="186"/>
  <c r="P34" i="186"/>
  <c r="O34" i="186"/>
  <c r="DK79" i="186"/>
  <c r="E39" i="186"/>
  <c r="D39" i="186"/>
  <c r="GK39" i="186" s="1"/>
  <c r="DK80" i="186"/>
  <c r="E40" i="186"/>
  <c r="D40" i="186"/>
  <c r="GK40" i="186" s="1"/>
  <c r="GM40" i="186" s="1"/>
  <c r="P44" i="183"/>
  <c r="O44" i="183"/>
  <c r="L43" i="184"/>
  <c r="BU43" i="184" s="1"/>
  <c r="J43" i="184"/>
  <c r="K43" i="184"/>
  <c r="L44" i="186"/>
  <c r="BU44" i="186" s="1"/>
  <c r="K44" i="186"/>
  <c r="J44" i="186"/>
  <c r="R33" i="186"/>
  <c r="Q33" i="186"/>
  <c r="DN76" i="186"/>
  <c r="DP76" i="186" s="1"/>
  <c r="G43" i="185"/>
  <c r="I43" i="185"/>
  <c r="BS43" i="185" s="1"/>
  <c r="H43" i="185"/>
  <c r="DK82" i="184"/>
  <c r="D42" i="184"/>
  <c r="GK42" i="184" s="1"/>
  <c r="E42" i="184"/>
  <c r="R45" i="186"/>
  <c r="Q45" i="186"/>
  <c r="AW26" i="186"/>
  <c r="FG66" i="186" s="1"/>
  <c r="DN84" i="186"/>
  <c r="DP84" i="186" s="1"/>
  <c r="FQ78" i="184"/>
  <c r="FR78" i="184" s="1"/>
  <c r="FU79" i="184" s="1"/>
  <c r="FQ65" i="183"/>
  <c r="FR65" i="183" s="1"/>
  <c r="FU66" i="183" s="1"/>
  <c r="FX73" i="185"/>
  <c r="AG33" i="185" s="1"/>
  <c r="AH33" i="185" s="1"/>
  <c r="FQ73" i="185"/>
  <c r="FR73" i="185" s="1"/>
  <c r="FU74" i="185" s="1"/>
  <c r="FX66" i="185"/>
  <c r="AG26" i="185" s="1"/>
  <c r="AH26" i="185" s="1"/>
  <c r="FQ65" i="185"/>
  <c r="FR65" i="185" s="1"/>
  <c r="FU66" i="185" s="1"/>
  <c r="FX65" i="185"/>
  <c r="AG25" i="185" s="1"/>
  <c r="AH25" i="185" s="1"/>
  <c r="FX57" i="185"/>
  <c r="AG17" i="185" s="1"/>
  <c r="AH17" i="185" s="1"/>
  <c r="FD17" i="185" s="1"/>
  <c r="FX57" i="186"/>
  <c r="AG17" i="186" s="1"/>
  <c r="AH17" i="186" s="1"/>
  <c r="FD17" i="186" s="1"/>
  <c r="FQ72" i="184"/>
  <c r="FR72" i="184" s="1"/>
  <c r="FU73" i="184" s="1"/>
  <c r="FX72" i="184"/>
  <c r="AG32" i="184" s="1"/>
  <c r="FQ60" i="185"/>
  <c r="FR60" i="185" s="1"/>
  <c r="FU61" i="185" s="1"/>
  <c r="FX75" i="184"/>
  <c r="AG35" i="184" s="1"/>
  <c r="FQ79" i="184"/>
  <c r="FR79" i="184" s="1"/>
  <c r="FU80" i="184" s="1"/>
  <c r="FX61" i="186"/>
  <c r="AG21" i="186" s="1"/>
  <c r="FQ55" i="183"/>
  <c r="FR55" i="183" s="1"/>
  <c r="FU56" i="183" s="1"/>
  <c r="FX77" i="185"/>
  <c r="AG37" i="185" s="1"/>
  <c r="AH37" i="185" s="1"/>
  <c r="FQ58" i="185"/>
  <c r="FR58" i="185" s="1"/>
  <c r="FU59" i="185" s="1"/>
  <c r="FX58" i="185"/>
  <c r="AG18" i="185" s="1"/>
  <c r="AH18" i="185" s="1"/>
  <c r="FQ61" i="186"/>
  <c r="FR61" i="186" s="1"/>
  <c r="FU62" i="186" s="1"/>
  <c r="FQ71" i="185"/>
  <c r="FR71" i="185" s="1"/>
  <c r="FU72" i="185" s="1"/>
  <c r="FX69" i="185"/>
  <c r="AG29" i="185" s="1"/>
  <c r="FQ66" i="184"/>
  <c r="FR66" i="184" s="1"/>
  <c r="FU67" i="184" s="1"/>
  <c r="FQ66" i="183"/>
  <c r="FR66" i="183" s="1"/>
  <c r="FU67" i="183" s="1"/>
  <c r="FX66" i="184"/>
  <c r="AG26" i="184" s="1"/>
  <c r="AH26" i="184" s="1"/>
  <c r="FD26" i="184" s="1"/>
  <c r="FX71" i="184"/>
  <c r="AG31" i="184" s="1"/>
  <c r="FQ79" i="185"/>
  <c r="FR79" i="185" s="1"/>
  <c r="FU80" i="185" s="1"/>
  <c r="FQ71" i="184"/>
  <c r="FR71" i="184" s="1"/>
  <c r="FU72" i="184" s="1"/>
  <c r="FQ67" i="185"/>
  <c r="FR67" i="185" s="1"/>
  <c r="FU68" i="185" s="1"/>
  <c r="FQ58" i="183"/>
  <c r="FR58" i="183" s="1"/>
  <c r="FU59" i="183" s="1"/>
  <c r="FQ63" i="184"/>
  <c r="FR63" i="184" s="1"/>
  <c r="FU64" i="184" s="1"/>
  <c r="FQ57" i="183"/>
  <c r="FR57" i="183" s="1"/>
  <c r="FU58" i="183" s="1"/>
  <c r="FX65" i="186"/>
  <c r="AG25" i="186" s="1"/>
  <c r="FQ67" i="183"/>
  <c r="FR67" i="183" s="1"/>
  <c r="FU68" i="183" s="1"/>
  <c r="FQ69" i="186"/>
  <c r="FR69" i="186" s="1"/>
  <c r="FU70" i="186" s="1"/>
  <c r="FQ66" i="185"/>
  <c r="FR66" i="185" s="1"/>
  <c r="FU67" i="185" s="1"/>
  <c r="FX69" i="186"/>
  <c r="AG29" i="186" s="1"/>
  <c r="FQ57" i="186"/>
  <c r="FR57" i="186" s="1"/>
  <c r="FU58" i="186" s="1"/>
  <c r="FQ65" i="186"/>
  <c r="FR65" i="186" s="1"/>
  <c r="FU66" i="186" s="1"/>
  <c r="FX58" i="184"/>
  <c r="AG18" i="184" s="1"/>
  <c r="FQ70" i="185"/>
  <c r="FR70" i="185" s="1"/>
  <c r="FU71" i="185" s="1"/>
  <c r="FX61" i="185"/>
  <c r="AG21" i="185" s="1"/>
  <c r="AH21" i="185" s="1"/>
  <c r="FQ56" i="183"/>
  <c r="FR56" i="183" s="1"/>
  <c r="FU57" i="183" s="1"/>
  <c r="AF30" i="185"/>
  <c r="FX67" i="184"/>
  <c r="AG27" i="184" s="1"/>
  <c r="AH27" i="184" s="1"/>
  <c r="FD27" i="184" s="1"/>
  <c r="FQ58" i="184"/>
  <c r="FR58" i="184" s="1"/>
  <c r="FU59" i="184" s="1"/>
  <c r="FQ74" i="185"/>
  <c r="FR74" i="185" s="1"/>
  <c r="FU75" i="185" s="1"/>
  <c r="FQ62" i="185"/>
  <c r="FR62" i="185" s="1"/>
  <c r="FU63" i="185" s="1"/>
  <c r="FQ59" i="183"/>
  <c r="FR59" i="183" s="1"/>
  <c r="FU60" i="183" s="1"/>
  <c r="FX74" i="185"/>
  <c r="AG34" i="185" s="1"/>
  <c r="AH34" i="185" s="1"/>
  <c r="FQ56" i="185"/>
  <c r="FR56" i="185" s="1"/>
  <c r="FU57" i="185" s="1"/>
  <c r="FX62" i="184"/>
  <c r="AG22" i="184" s="1"/>
  <c r="AH22" i="184" s="1"/>
  <c r="FQ76" i="185"/>
  <c r="FR76" i="185" s="1"/>
  <c r="FU77" i="185" s="1"/>
  <c r="FX78" i="185"/>
  <c r="AG38" i="185" s="1"/>
  <c r="FX69" i="183"/>
  <c r="AG29" i="183" s="1"/>
  <c r="AH29" i="183" s="1"/>
  <c r="FQ58" i="186"/>
  <c r="FR58" i="186" s="1"/>
  <c r="FU59" i="186" s="1"/>
  <c r="FQ78" i="185"/>
  <c r="FR78" i="185" s="1"/>
  <c r="FU79" i="185" s="1"/>
  <c r="FX70" i="184"/>
  <c r="AG30" i="184" s="1"/>
  <c r="FX79" i="184"/>
  <c r="AG39" i="184" s="1"/>
  <c r="AH39" i="184" s="1"/>
  <c r="FQ69" i="185"/>
  <c r="FR69" i="185" s="1"/>
  <c r="FU70" i="185" s="1"/>
  <c r="FQ70" i="186"/>
  <c r="FR70" i="186" s="1"/>
  <c r="FU71" i="186" s="1"/>
  <c r="FQ68" i="186"/>
  <c r="FR68" i="186" s="1"/>
  <c r="FU69" i="186" s="1"/>
  <c r="FQ66" i="186"/>
  <c r="FR66" i="186" s="1"/>
  <c r="FU67" i="186" s="1"/>
  <c r="FQ75" i="184"/>
  <c r="FR75" i="184" s="1"/>
  <c r="FU76" i="184" s="1"/>
  <c r="FQ68" i="184"/>
  <c r="FR68" i="184" s="1"/>
  <c r="FU69" i="184" s="1"/>
  <c r="FQ56" i="184"/>
  <c r="FR56" i="184" s="1"/>
  <c r="FU57" i="184" s="1"/>
  <c r="FX74" i="184"/>
  <c r="AG34" i="184" s="1"/>
  <c r="AH34" i="184" s="1"/>
  <c r="FQ62" i="184"/>
  <c r="FR62" i="184" s="1"/>
  <c r="FU63" i="184" s="1"/>
  <c r="FQ60" i="186"/>
  <c r="FR60" i="186" s="1"/>
  <c r="FU61" i="186" s="1"/>
  <c r="FX78" i="184"/>
  <c r="AG38" i="184" s="1"/>
  <c r="FQ71" i="186"/>
  <c r="FR71" i="186" s="1"/>
  <c r="FU72" i="186" s="1"/>
  <c r="FQ62" i="183"/>
  <c r="FR62" i="183" s="1"/>
  <c r="FU63" i="183" s="1"/>
  <c r="FX62" i="185"/>
  <c r="AG22" i="185" s="1"/>
  <c r="FX56" i="185"/>
  <c r="AG16" i="185" s="1"/>
  <c r="FQ80" i="184"/>
  <c r="FR80" i="184" s="1"/>
  <c r="FS81" i="184" s="1"/>
  <c r="FQ70" i="184"/>
  <c r="FR70" i="184" s="1"/>
  <c r="FU71" i="184" s="1"/>
  <c r="FQ67" i="186"/>
  <c r="FR67" i="186" s="1"/>
  <c r="FU68" i="186" s="1"/>
  <c r="FQ54" i="186"/>
  <c r="FF64" i="183"/>
  <c r="FQ62" i="186"/>
  <c r="FR62" i="186" s="1"/>
  <c r="FU63" i="186" s="1"/>
  <c r="GL45" i="183"/>
  <c r="K45" i="186"/>
  <c r="J45" i="186"/>
  <c r="L45" i="186"/>
  <c r="BU45" i="186" s="1"/>
  <c r="R38" i="186"/>
  <c r="Q38" i="186"/>
  <c r="DK84" i="186"/>
  <c r="E44" i="186"/>
  <c r="D44" i="186"/>
  <c r="GK44" i="186" s="1"/>
  <c r="FQ61" i="185"/>
  <c r="FR61" i="185" s="1"/>
  <c r="FU62" i="185" s="1"/>
  <c r="R42" i="186"/>
  <c r="Q42" i="186"/>
  <c r="FQ67" i="184"/>
  <c r="FR67" i="184" s="1"/>
  <c r="FU68" i="184" s="1"/>
  <c r="P38" i="186"/>
  <c r="O38" i="186"/>
  <c r="R37" i="186"/>
  <c r="Q37" i="186"/>
  <c r="I35" i="186"/>
  <c r="BS35" i="186" s="1"/>
  <c r="H35" i="186"/>
  <c r="G35" i="186"/>
  <c r="GL44" i="185"/>
  <c r="DK75" i="186"/>
  <c r="E35" i="186"/>
  <c r="D35" i="186"/>
  <c r="GK35" i="186" s="1"/>
  <c r="GL35" i="186"/>
  <c r="DK83" i="186"/>
  <c r="E43" i="186"/>
  <c r="D43" i="186"/>
  <c r="GK43" i="186" s="1"/>
  <c r="I36" i="186"/>
  <c r="BS36" i="186" s="1"/>
  <c r="H36" i="186"/>
  <c r="G36" i="186"/>
  <c r="I40" i="186"/>
  <c r="BS40" i="186" s="1"/>
  <c r="H40" i="186"/>
  <c r="G40" i="186"/>
  <c r="I42" i="184"/>
  <c r="BS42" i="184" s="1"/>
  <c r="H42" i="184"/>
  <c r="G42" i="184"/>
  <c r="FQ59" i="186"/>
  <c r="FR59" i="186" s="1"/>
  <c r="FU60" i="186" s="1"/>
  <c r="GL44" i="183"/>
  <c r="P40" i="186"/>
  <c r="O40" i="186"/>
  <c r="FQ56" i="186"/>
  <c r="FR56" i="186" s="1"/>
  <c r="FU57" i="186" s="1"/>
  <c r="L36" i="186"/>
  <c r="BU36" i="186" s="1"/>
  <c r="K36" i="186"/>
  <c r="J36" i="186"/>
  <c r="P44" i="185"/>
  <c r="O44" i="185"/>
  <c r="DK84" i="184"/>
  <c r="E44" i="184"/>
  <c r="D44" i="184"/>
  <c r="GK44" i="184" s="1"/>
  <c r="AG14" i="185"/>
  <c r="BR15" i="186"/>
  <c r="FB55" i="186"/>
  <c r="FC55" i="186"/>
  <c r="BR35" i="184"/>
  <c r="FB75" i="184"/>
  <c r="FC75" i="184"/>
  <c r="FC74" i="183"/>
  <c r="FB74" i="183"/>
  <c r="AG14" i="186"/>
  <c r="FB54" i="184"/>
  <c r="BR14" i="184"/>
  <c r="FC54" i="184"/>
  <c r="FC59" i="184"/>
  <c r="BR19" i="184"/>
  <c r="FB59" i="184"/>
  <c r="BR36" i="183"/>
  <c r="FC76" i="183"/>
  <c r="FB76" i="183"/>
  <c r="FC76" i="185"/>
  <c r="BR36" i="185"/>
  <c r="FB76" i="185"/>
  <c r="BR41" i="183"/>
  <c r="FC81" i="183"/>
  <c r="FB81" i="183"/>
  <c r="AG22" i="186"/>
  <c r="BR37" i="185"/>
  <c r="FC77" i="185"/>
  <c r="FB77" i="185"/>
  <c r="EZ81" i="183"/>
  <c r="EX81" i="183" s="1"/>
  <c r="FA75" i="183"/>
  <c r="EY75" i="183" s="1"/>
  <c r="EZ75" i="183"/>
  <c r="EX75" i="183" s="1"/>
  <c r="FC67" i="184"/>
  <c r="FB67" i="184"/>
  <c r="EN69" i="186"/>
  <c r="X29" i="186" s="1"/>
  <c r="GE29" i="186" s="1"/>
  <c r="CW69" i="186"/>
  <c r="M29" i="186" s="1"/>
  <c r="FA74" i="186"/>
  <c r="EY74" i="186" s="1"/>
  <c r="EZ74" i="186"/>
  <c r="DM85" i="184"/>
  <c r="DN85" i="184"/>
  <c r="FC60" i="185"/>
  <c r="BR20" i="185"/>
  <c r="AG30" i="185"/>
  <c r="AH30" i="185" s="1"/>
  <c r="FX61" i="184"/>
  <c r="AF21" i="184"/>
  <c r="DM84" i="183"/>
  <c r="DN84" i="183"/>
  <c r="DX85" i="183"/>
  <c r="DV85" i="183"/>
  <c r="DK82" i="186"/>
  <c r="E42" i="186"/>
  <c r="D42" i="186"/>
  <c r="GK42" i="186" s="1"/>
  <c r="FB60" i="185"/>
  <c r="GL42" i="185"/>
  <c r="GM42" i="185" s="1"/>
  <c r="FC82" i="183"/>
  <c r="BR42" i="183"/>
  <c r="GL44" i="184"/>
  <c r="FA54" i="184"/>
  <c r="EY54" i="184" s="1"/>
  <c r="EZ54" i="184"/>
  <c r="EX54" i="184" s="1"/>
  <c r="DU80" i="186"/>
  <c r="DT80" i="186"/>
  <c r="DU82" i="186"/>
  <c r="DT82" i="186"/>
  <c r="DQ85" i="186"/>
  <c r="EN45" i="186" s="1"/>
  <c r="DO85" i="186"/>
  <c r="FX72" i="186"/>
  <c r="AF32" i="186"/>
  <c r="CX72" i="186"/>
  <c r="N32" i="186" s="1"/>
  <c r="ES72" i="186"/>
  <c r="Y32" i="186" s="1"/>
  <c r="GE32" i="186" s="1"/>
  <c r="EN61" i="186"/>
  <c r="X21" i="186" s="1"/>
  <c r="GE21" i="186" s="1"/>
  <c r="CW61" i="186"/>
  <c r="M21" i="186" s="1"/>
  <c r="EN57" i="186"/>
  <c r="X17" i="186" s="1"/>
  <c r="CW57" i="186"/>
  <c r="M17" i="186" s="1"/>
  <c r="H37" i="186"/>
  <c r="I37" i="186"/>
  <c r="BS37" i="186" s="1"/>
  <c r="G37" i="186"/>
  <c r="EN62" i="186"/>
  <c r="X22" i="186" s="1"/>
  <c r="CW62" i="186"/>
  <c r="M22" i="186" s="1"/>
  <c r="FX56" i="186"/>
  <c r="AF16" i="186"/>
  <c r="DQ76" i="186"/>
  <c r="DO76" i="186"/>
  <c r="GD42" i="186"/>
  <c r="GB42" i="186"/>
  <c r="GA42" i="186"/>
  <c r="GC42" i="186"/>
  <c r="GE42" i="186"/>
  <c r="CX63" i="186"/>
  <c r="N23" i="186" s="1"/>
  <c r="ES63" i="186"/>
  <c r="Y23" i="186" s="1"/>
  <c r="FA79" i="186"/>
  <c r="EY79" i="186" s="1"/>
  <c r="EZ79" i="186"/>
  <c r="GB34" i="186"/>
  <c r="GA34" i="186"/>
  <c r="GD34" i="186"/>
  <c r="GE34" i="186"/>
  <c r="GC34" i="186"/>
  <c r="FX80" i="185"/>
  <c r="AF40" i="185"/>
  <c r="EZ72" i="186"/>
  <c r="EX72" i="186" s="1"/>
  <c r="FA72" i="186"/>
  <c r="EY72" i="186" s="1"/>
  <c r="FK82" i="185"/>
  <c r="FJ81" i="185"/>
  <c r="FC65" i="186"/>
  <c r="BR25" i="186"/>
  <c r="CW64" i="185"/>
  <c r="M24" i="185" s="1"/>
  <c r="EN64" i="185"/>
  <c r="X24" i="185" s="1"/>
  <c r="GE24" i="185" s="1"/>
  <c r="DT85" i="184"/>
  <c r="DU85" i="184"/>
  <c r="FA67" i="186"/>
  <c r="EY67" i="186" s="1"/>
  <c r="EZ57" i="186"/>
  <c r="EX57" i="186" s="1"/>
  <c r="EZ65" i="185"/>
  <c r="EX65" i="185" s="1"/>
  <c r="FA65" i="185"/>
  <c r="EY65" i="185" s="1"/>
  <c r="ES79" i="184"/>
  <c r="Y39" i="184" s="1"/>
  <c r="CX79" i="184"/>
  <c r="N39" i="184" s="1"/>
  <c r="GE25" i="185"/>
  <c r="GB25" i="185"/>
  <c r="GA25" i="185"/>
  <c r="GB17" i="185"/>
  <c r="GA17" i="185"/>
  <c r="H45" i="184"/>
  <c r="G45" i="184"/>
  <c r="I45" i="184"/>
  <c r="BS45" i="184" s="1"/>
  <c r="CW65" i="185"/>
  <c r="M25" i="185" s="1"/>
  <c r="EN65" i="185"/>
  <c r="X25" i="185" s="1"/>
  <c r="DV84" i="184"/>
  <c r="FB67" i="186"/>
  <c r="BR27" i="186"/>
  <c r="GB31" i="185"/>
  <c r="GA31" i="185"/>
  <c r="GL43" i="185"/>
  <c r="DX82" i="185"/>
  <c r="DV82" i="185"/>
  <c r="FA85" i="185"/>
  <c r="EY85" i="185" s="1"/>
  <c r="GE39" i="185"/>
  <c r="GB39" i="185"/>
  <c r="GA39" i="185"/>
  <c r="GE14" i="185"/>
  <c r="GA14" i="185"/>
  <c r="GB14" i="185"/>
  <c r="CX66" i="184"/>
  <c r="N26" i="184" s="1"/>
  <c r="FX64" i="184"/>
  <c r="AF24" i="184"/>
  <c r="DQ84" i="184"/>
  <c r="DO84" i="184"/>
  <c r="FQ61" i="184"/>
  <c r="FR61" i="184" s="1"/>
  <c r="FU62" i="184" s="1"/>
  <c r="GE29" i="183"/>
  <c r="GB29" i="183"/>
  <c r="GA29" i="183"/>
  <c r="FX60" i="183"/>
  <c r="AF20" i="183"/>
  <c r="FA84" i="183"/>
  <c r="EY84" i="183" s="1"/>
  <c r="EZ84" i="183"/>
  <c r="FA71" i="186"/>
  <c r="EY71" i="186" s="1"/>
  <c r="EZ71" i="186"/>
  <c r="EX71" i="186" s="1"/>
  <c r="FX65" i="184"/>
  <c r="AF25" i="184"/>
  <c r="EZ69" i="184"/>
  <c r="EX69" i="184" s="1"/>
  <c r="FC75" i="183"/>
  <c r="BR35" i="183"/>
  <c r="GE22" i="185"/>
  <c r="GA22" i="185"/>
  <c r="GB22" i="185"/>
  <c r="FC61" i="184"/>
  <c r="BY87" i="183"/>
  <c r="FX66" i="183"/>
  <c r="AF26" i="183"/>
  <c r="FA76" i="183"/>
  <c r="EY76" i="183" s="1"/>
  <c r="EZ76" i="183"/>
  <c r="EX76" i="183" s="1"/>
  <c r="EN67" i="184"/>
  <c r="X27" i="184" s="1"/>
  <c r="CW67" i="184"/>
  <c r="M27" i="184" s="1"/>
  <c r="BR87" i="183"/>
  <c r="FQ60" i="183"/>
  <c r="FR60" i="183" s="1"/>
  <c r="FU61" i="183" s="1"/>
  <c r="BR33" i="184"/>
  <c r="BR33" i="183"/>
  <c r="FX68" i="185"/>
  <c r="AF28" i="185"/>
  <c r="EN65" i="184"/>
  <c r="X25" i="184" s="1"/>
  <c r="GE25" i="184" s="1"/>
  <c r="CW65" i="184"/>
  <c r="M25" i="184" s="1"/>
  <c r="FX55" i="184"/>
  <c r="FC73" i="183"/>
  <c r="P27" i="180"/>
  <c r="AO28" i="180"/>
  <c r="P28" i="180" s="1"/>
  <c r="AO23" i="179"/>
  <c r="P22" i="179"/>
  <c r="EN65" i="186"/>
  <c r="X25" i="186" s="1"/>
  <c r="CW65" i="186"/>
  <c r="M25" i="186" s="1"/>
  <c r="AG18" i="186"/>
  <c r="AH18" i="186" s="1"/>
  <c r="FQ77" i="185"/>
  <c r="FR77" i="185" s="1"/>
  <c r="FU78" i="185" s="1"/>
  <c r="FQ59" i="185"/>
  <c r="FC78" i="185"/>
  <c r="P28" i="178"/>
  <c r="AO29" i="178"/>
  <c r="P29" i="178" s="1"/>
  <c r="DT81" i="186"/>
  <c r="DU81" i="186"/>
  <c r="FX59" i="186"/>
  <c r="AF19" i="186"/>
  <c r="FA64" i="186"/>
  <c r="EY64" i="186" s="1"/>
  <c r="EZ64" i="186"/>
  <c r="EX64" i="186" s="1"/>
  <c r="BR24" i="186"/>
  <c r="FA62" i="185"/>
  <c r="EY62" i="185" s="1"/>
  <c r="FB63" i="185"/>
  <c r="BR23" i="185"/>
  <c r="FC63" i="185"/>
  <c r="FQ73" i="184"/>
  <c r="GB14" i="184"/>
  <c r="GA14" i="184"/>
  <c r="BR44" i="183"/>
  <c r="T41" i="186"/>
  <c r="S41" i="186"/>
  <c r="DK74" i="186"/>
  <c r="E34" i="186"/>
  <c r="D34" i="186"/>
  <c r="GK34" i="186" s="1"/>
  <c r="DK78" i="186"/>
  <c r="E38" i="186"/>
  <c r="D38" i="186"/>
  <c r="GK38" i="186" s="1"/>
  <c r="P33" i="186"/>
  <c r="O33" i="186"/>
  <c r="EN58" i="186"/>
  <c r="X18" i="186" s="1"/>
  <c r="GE18" i="186" s="1"/>
  <c r="CW58" i="186"/>
  <c r="M18" i="186" s="1"/>
  <c r="BR43" i="186"/>
  <c r="FA80" i="186"/>
  <c r="EY80" i="186" s="1"/>
  <c r="EZ80" i="186"/>
  <c r="FA68" i="186"/>
  <c r="EY68" i="186" s="1"/>
  <c r="EZ68" i="186"/>
  <c r="EX68" i="186" s="1"/>
  <c r="DN83" i="185"/>
  <c r="DM83" i="185"/>
  <c r="FC62" i="186"/>
  <c r="BR22" i="186"/>
  <c r="CW68" i="186"/>
  <c r="M28" i="186" s="1"/>
  <c r="GL37" i="186"/>
  <c r="GB22" i="186"/>
  <c r="GA22" i="186"/>
  <c r="GE22" i="186"/>
  <c r="BR41" i="186"/>
  <c r="FA56" i="186"/>
  <c r="EY56" i="186" s="1"/>
  <c r="EZ56" i="186"/>
  <c r="EX56" i="186" s="1"/>
  <c r="GE33" i="186"/>
  <c r="GD33" i="186"/>
  <c r="GC33" i="186"/>
  <c r="GA33" i="186"/>
  <c r="GB33" i="186"/>
  <c r="CX71" i="185"/>
  <c r="N31" i="185" s="1"/>
  <c r="ES71" i="185"/>
  <c r="Y31" i="185" s="1"/>
  <c r="GE31" i="185" s="1"/>
  <c r="FQ55" i="185"/>
  <c r="DT81" i="184"/>
  <c r="DU81" i="184"/>
  <c r="DX85" i="185"/>
  <c r="DV85" i="185"/>
  <c r="BR32" i="186"/>
  <c r="FC57" i="186"/>
  <c r="BR17" i="186"/>
  <c r="GA31" i="186"/>
  <c r="GE31" i="186"/>
  <c r="GB31" i="186"/>
  <c r="DK84" i="185"/>
  <c r="E44" i="185"/>
  <c r="D44" i="185"/>
  <c r="GK44" i="185" s="1"/>
  <c r="AF20" i="185"/>
  <c r="FX60" i="185"/>
  <c r="FC80" i="185"/>
  <c r="BR40" i="185"/>
  <c r="FC72" i="185"/>
  <c r="BR32" i="185"/>
  <c r="GE38" i="185"/>
  <c r="GA38" i="185"/>
  <c r="GB38" i="185"/>
  <c r="FA73" i="185"/>
  <c r="EY73" i="185" s="1"/>
  <c r="DK83" i="184"/>
  <c r="E43" i="184"/>
  <c r="D43" i="184"/>
  <c r="GK43" i="184" s="1"/>
  <c r="ES62" i="185"/>
  <c r="Y22" i="185" s="1"/>
  <c r="CX62" i="185"/>
  <c r="N22" i="185" s="1"/>
  <c r="BM39" i="185"/>
  <c r="BM23" i="186"/>
  <c r="BO34" i="184"/>
  <c r="BM34" i="184"/>
  <c r="BR22" i="185"/>
  <c r="R41" i="184"/>
  <c r="Q41" i="184"/>
  <c r="FX63" i="185"/>
  <c r="AF23" i="185"/>
  <c r="EN59" i="184"/>
  <c r="X19" i="184" s="1"/>
  <c r="GE19" i="184" s="1"/>
  <c r="CW59" i="184"/>
  <c r="M19" i="184" s="1"/>
  <c r="FA68" i="184"/>
  <c r="EY68" i="184" s="1"/>
  <c r="EZ68" i="184"/>
  <c r="EX68" i="184" s="1"/>
  <c r="EN73" i="184"/>
  <c r="X33" i="184" s="1"/>
  <c r="GE33" i="184" s="1"/>
  <c r="CW73" i="184"/>
  <c r="M33" i="184" s="1"/>
  <c r="FQ57" i="184"/>
  <c r="FR57" i="184" s="1"/>
  <c r="FU58" i="184" s="1"/>
  <c r="FA59" i="184"/>
  <c r="EY59" i="184" s="1"/>
  <c r="EZ59" i="184"/>
  <c r="EX59" i="184" s="1"/>
  <c r="CW83" i="183"/>
  <c r="M43" i="183" s="1"/>
  <c r="EN83" i="183"/>
  <c r="X43" i="183" s="1"/>
  <c r="DX82" i="184"/>
  <c r="EO42" i="184" s="1"/>
  <c r="DV82" i="184"/>
  <c r="CW79" i="184"/>
  <c r="M39" i="184" s="1"/>
  <c r="EN79" i="184"/>
  <c r="X39" i="184" s="1"/>
  <c r="GE39" i="184" s="1"/>
  <c r="FX68" i="184"/>
  <c r="AF28" i="184"/>
  <c r="EZ85" i="184"/>
  <c r="FA85" i="184"/>
  <c r="EY85" i="184" s="1"/>
  <c r="BO27" i="184"/>
  <c r="BR27" i="184" s="1"/>
  <c r="FC83" i="183"/>
  <c r="BR43" i="183"/>
  <c r="FA79" i="183"/>
  <c r="EY79" i="183" s="1"/>
  <c r="EZ79" i="183"/>
  <c r="EX79" i="183" s="1"/>
  <c r="FA83" i="183"/>
  <c r="EY83" i="183" s="1"/>
  <c r="FA68" i="183"/>
  <c r="EY68" i="183" s="1"/>
  <c r="EZ68" i="183"/>
  <c r="EX68" i="183" s="1"/>
  <c r="FX64" i="183"/>
  <c r="AF24" i="183"/>
  <c r="GB43" i="183"/>
  <c r="GA43" i="183"/>
  <c r="GE43" i="183"/>
  <c r="GA41" i="183"/>
  <c r="GE41" i="183"/>
  <c r="GB41" i="183"/>
  <c r="AO32" i="180"/>
  <c r="P32" i="180" s="1"/>
  <c r="P31" i="180"/>
  <c r="AO42" i="179"/>
  <c r="P41" i="179"/>
  <c r="ES68" i="183"/>
  <c r="Y28" i="183" s="1"/>
  <c r="CX68" i="183"/>
  <c r="N28" i="183" s="1"/>
  <c r="BR30" i="185"/>
  <c r="FX65" i="183"/>
  <c r="AF25" i="183"/>
  <c r="BO34" i="183"/>
  <c r="P46" i="181"/>
  <c r="AO47" i="181"/>
  <c r="P16" i="179"/>
  <c r="AO17" i="179"/>
  <c r="BO18" i="186"/>
  <c r="BM18" i="186"/>
  <c r="FB78" i="185"/>
  <c r="BR38" i="185"/>
  <c r="DK85" i="184"/>
  <c r="E45" i="184"/>
  <c r="D45" i="184"/>
  <c r="GK45" i="184" s="1"/>
  <c r="I41" i="184"/>
  <c r="BS41" i="184" s="1"/>
  <c r="H41" i="184"/>
  <c r="G41" i="184"/>
  <c r="FB54" i="186"/>
  <c r="BR14" i="186"/>
  <c r="FC54" i="186"/>
  <c r="FX57" i="184"/>
  <c r="AF17" i="184"/>
  <c r="FC68" i="184"/>
  <c r="BR28" i="184"/>
  <c r="DK77" i="186"/>
  <c r="D37" i="186"/>
  <c r="GK37" i="186" s="1"/>
  <c r="E37" i="186"/>
  <c r="BR28" i="186"/>
  <c r="FC68" i="186"/>
  <c r="DK81" i="184"/>
  <c r="D41" i="184"/>
  <c r="GK41" i="184" s="1"/>
  <c r="E41" i="184"/>
  <c r="DU83" i="184"/>
  <c r="DT83" i="184"/>
  <c r="E44" i="183"/>
  <c r="D44" i="183"/>
  <c r="GK44" i="183" s="1"/>
  <c r="DK84" i="183"/>
  <c r="EZ82" i="183"/>
  <c r="EX82" i="183" s="1"/>
  <c r="AO50" i="179"/>
  <c r="P49" i="179"/>
  <c r="GE42" i="183"/>
  <c r="GA42" i="183"/>
  <c r="GB42" i="183"/>
  <c r="DU84" i="186"/>
  <c r="DT84" i="186"/>
  <c r="DU75" i="186"/>
  <c r="DT75" i="186"/>
  <c r="I34" i="186"/>
  <c r="BS34" i="186" s="1"/>
  <c r="G34" i="186"/>
  <c r="H34" i="186"/>
  <c r="I38" i="186"/>
  <c r="BS38" i="186" s="1"/>
  <c r="H38" i="186"/>
  <c r="G38" i="186"/>
  <c r="FX63" i="186"/>
  <c r="AF23" i="186"/>
  <c r="DQ84" i="186"/>
  <c r="DO84" i="186"/>
  <c r="DU74" i="186"/>
  <c r="DT74" i="186"/>
  <c r="ES68" i="186"/>
  <c r="Y28" i="186" s="1"/>
  <c r="GE28" i="186" s="1"/>
  <c r="CX68" i="186"/>
  <c r="N28" i="186" s="1"/>
  <c r="FA83" i="186"/>
  <c r="EY83" i="186" s="1"/>
  <c r="EZ83" i="186"/>
  <c r="DR80" i="186"/>
  <c r="DP80" i="186"/>
  <c r="EN66" i="186"/>
  <c r="X26" i="186" s="1"/>
  <c r="GE26" i="186" s="1"/>
  <c r="CW66" i="186"/>
  <c r="M26" i="186" s="1"/>
  <c r="FX60" i="186"/>
  <c r="AF20" i="186"/>
  <c r="FX75" i="185"/>
  <c r="AF35" i="185"/>
  <c r="FX71" i="185"/>
  <c r="AF31" i="185"/>
  <c r="GL39" i="186"/>
  <c r="GA23" i="186"/>
  <c r="GE23" i="186"/>
  <c r="GB23" i="186"/>
  <c r="CW74" i="185"/>
  <c r="M34" i="185" s="1"/>
  <c r="DV81" i="185"/>
  <c r="DX81" i="185"/>
  <c r="FB59" i="186"/>
  <c r="BR19" i="186"/>
  <c r="I44" i="185"/>
  <c r="BS44" i="185" s="1"/>
  <c r="H44" i="185"/>
  <c r="G44" i="185"/>
  <c r="FC64" i="185"/>
  <c r="BR24" i="185"/>
  <c r="BR16" i="185"/>
  <c r="FC56" i="185"/>
  <c r="I43" i="184"/>
  <c r="BS43" i="184" s="1"/>
  <c r="H43" i="184"/>
  <c r="G43" i="184"/>
  <c r="EZ69" i="185"/>
  <c r="EX69" i="185" s="1"/>
  <c r="FA69" i="185"/>
  <c r="EY69" i="185" s="1"/>
  <c r="FA60" i="185"/>
  <c r="EY60" i="185" s="1"/>
  <c r="EZ60" i="185"/>
  <c r="EX60" i="185" s="1"/>
  <c r="CW80" i="184"/>
  <c r="M40" i="184" s="1"/>
  <c r="FQ59" i="184"/>
  <c r="EZ81" i="184"/>
  <c r="FA81" i="184"/>
  <c r="EY81" i="184" s="1"/>
  <c r="FQ77" i="184"/>
  <c r="FR77" i="184" s="1"/>
  <c r="FU78" i="184" s="1"/>
  <c r="FQ63" i="185"/>
  <c r="FA76" i="184"/>
  <c r="EY76" i="184" s="1"/>
  <c r="EZ76" i="184"/>
  <c r="EX76" i="184" s="1"/>
  <c r="GE30" i="184"/>
  <c r="GB30" i="184"/>
  <c r="GA30" i="184"/>
  <c r="FB65" i="184"/>
  <c r="FC65" i="184"/>
  <c r="BR25" i="184"/>
  <c r="FF58" i="184"/>
  <c r="CW71" i="183"/>
  <c r="M31" i="183" s="1"/>
  <c r="EN71" i="183"/>
  <c r="X31" i="183" s="1"/>
  <c r="GE31" i="183" s="1"/>
  <c r="R45" i="184"/>
  <c r="Q45" i="184"/>
  <c r="FA84" i="184"/>
  <c r="EY84" i="184" s="1"/>
  <c r="EZ84" i="184"/>
  <c r="CW60" i="184"/>
  <c r="M20" i="184" s="1"/>
  <c r="EN60" i="184"/>
  <c r="X20" i="184" s="1"/>
  <c r="GE20" i="184" s="1"/>
  <c r="BO17" i="184"/>
  <c r="EZ57" i="184" s="1"/>
  <c r="EX57" i="184" s="1"/>
  <c r="FB82" i="183"/>
  <c r="FA82" i="183"/>
  <c r="EY82" i="183" s="1"/>
  <c r="FK73" i="183"/>
  <c r="FJ72" i="183"/>
  <c r="FA72" i="183"/>
  <c r="EY72" i="183" s="1"/>
  <c r="EZ72" i="183"/>
  <c r="EX72" i="183" s="1"/>
  <c r="FA65" i="184"/>
  <c r="EY65" i="184" s="1"/>
  <c r="FQ65" i="184"/>
  <c r="FB83" i="183"/>
  <c r="FQ63" i="183"/>
  <c r="FR63" i="183" s="1"/>
  <c r="FU64" i="183" s="1"/>
  <c r="BM40" i="183"/>
  <c r="FA80" i="183" s="1"/>
  <c r="EY80" i="183" s="1"/>
  <c r="AO24" i="180"/>
  <c r="P24" i="180" s="1"/>
  <c r="P23" i="180"/>
  <c r="GA17" i="184"/>
  <c r="GB17" i="184"/>
  <c r="FX57" i="183"/>
  <c r="AF17" i="183"/>
  <c r="AO23" i="178"/>
  <c r="P22" i="178"/>
  <c r="GA35" i="184"/>
  <c r="GB35" i="184"/>
  <c r="GB15" i="184"/>
  <c r="GA15" i="184"/>
  <c r="GA38" i="183"/>
  <c r="GE38" i="183"/>
  <c r="GB38" i="183"/>
  <c r="L34" i="182"/>
  <c r="N33" i="182"/>
  <c r="O33" i="182" s="1" a="1"/>
  <c r="O33" i="182" s="1"/>
  <c r="FX68" i="183"/>
  <c r="AF28" i="183"/>
  <c r="FQ64" i="183"/>
  <c r="FR64" i="183" s="1"/>
  <c r="FU65" i="183" s="1"/>
  <c r="P45" i="178"/>
  <c r="AO46" i="178"/>
  <c r="FA76" i="185"/>
  <c r="EY76" i="185" s="1"/>
  <c r="EZ76" i="185"/>
  <c r="EX76" i="185" s="1"/>
  <c r="FA63" i="186"/>
  <c r="EY63" i="186" s="1"/>
  <c r="EZ63" i="186"/>
  <c r="EX63" i="186" s="1"/>
  <c r="DY82" i="185"/>
  <c r="DW82" i="185"/>
  <c r="FA58" i="186"/>
  <c r="EY58" i="186" s="1"/>
  <c r="EZ58" i="186"/>
  <c r="EX58" i="186" s="1"/>
  <c r="DY76" i="186"/>
  <c r="EO36" i="186" s="1"/>
  <c r="DW76" i="186"/>
  <c r="CX75" i="184"/>
  <c r="N35" i="184" s="1"/>
  <c r="ES75" i="184"/>
  <c r="Y35" i="184" s="1"/>
  <c r="GE35" i="184" s="1"/>
  <c r="FQ74" i="184"/>
  <c r="FR74" i="184" s="1"/>
  <c r="FU75" i="184" s="1"/>
  <c r="GE15" i="185"/>
  <c r="GB15" i="185"/>
  <c r="GA15" i="185"/>
  <c r="FC68" i="185"/>
  <c r="BR28" i="185"/>
  <c r="FC76" i="184"/>
  <c r="BR36" i="184"/>
  <c r="GA19" i="184"/>
  <c r="GB19" i="184"/>
  <c r="FQ64" i="184"/>
  <c r="FR64" i="184" s="1"/>
  <c r="FU65" i="184" s="1"/>
  <c r="FX80" i="184"/>
  <c r="AF40" i="184"/>
  <c r="ES80" i="183"/>
  <c r="Y40" i="183" s="1"/>
  <c r="CX80" i="183"/>
  <c r="N40" i="183" s="1"/>
  <c r="GE38" i="184"/>
  <c r="GA38" i="184"/>
  <c r="GB38" i="184"/>
  <c r="FB68" i="184"/>
  <c r="FQ68" i="185"/>
  <c r="FR68" i="185" s="1"/>
  <c r="FU69" i="185" s="1"/>
  <c r="DU84" i="183"/>
  <c r="DT84" i="183"/>
  <c r="FA73" i="183"/>
  <c r="EY73" i="183" s="1"/>
  <c r="AO37" i="181"/>
  <c r="P37" i="181" s="1"/>
  <c r="P36" i="181"/>
  <c r="DT85" i="186"/>
  <c r="DU85" i="186"/>
  <c r="G45" i="186"/>
  <c r="H45" i="186"/>
  <c r="I45" i="186"/>
  <c r="BS45" i="186" s="1"/>
  <c r="DK81" i="186"/>
  <c r="D41" i="186"/>
  <c r="GK41" i="186" s="1"/>
  <c r="E41" i="186"/>
  <c r="FX71" i="186"/>
  <c r="AF31" i="186"/>
  <c r="H33" i="186"/>
  <c r="I33" i="186"/>
  <c r="BS33" i="186" s="1"/>
  <c r="G33" i="186"/>
  <c r="R39" i="186"/>
  <c r="Q39" i="186"/>
  <c r="L34" i="186"/>
  <c r="BU34" i="186" s="1"/>
  <c r="K34" i="186"/>
  <c r="J34" i="186"/>
  <c r="FQ55" i="186"/>
  <c r="FX70" i="186"/>
  <c r="AF30" i="186"/>
  <c r="EZ82" i="186"/>
  <c r="DM75" i="186"/>
  <c r="DN75" i="186"/>
  <c r="EN55" i="186"/>
  <c r="X15" i="186" s="1"/>
  <c r="GE15" i="186" s="1"/>
  <c r="CW55" i="186"/>
  <c r="M15" i="186" s="1"/>
  <c r="DR74" i="186"/>
  <c r="DP74" i="186"/>
  <c r="FQ80" i="185"/>
  <c r="DQ80" i="186"/>
  <c r="DO80" i="186"/>
  <c r="GL36" i="186"/>
  <c r="GM36" i="186" s="1"/>
  <c r="DM82" i="185"/>
  <c r="DN82" i="185"/>
  <c r="FQ75" i="185"/>
  <c r="FR75" i="185" s="1"/>
  <c r="FU76" i="185" s="1"/>
  <c r="R41" i="185"/>
  <c r="Q41" i="185"/>
  <c r="GE17" i="186"/>
  <c r="GA17" i="186"/>
  <c r="GB17" i="186"/>
  <c r="FX64" i="185"/>
  <c r="AF24" i="185"/>
  <c r="GE45" i="186"/>
  <c r="GD45" i="186"/>
  <c r="GC45" i="186"/>
  <c r="GA45" i="186"/>
  <c r="GB45" i="186"/>
  <c r="EZ69" i="186"/>
  <c r="EX69" i="186" s="1"/>
  <c r="FA69" i="186"/>
  <c r="EY69" i="186" s="1"/>
  <c r="EZ61" i="186"/>
  <c r="EX61" i="186" s="1"/>
  <c r="FA61" i="186"/>
  <c r="EY61" i="186" s="1"/>
  <c r="R42" i="185"/>
  <c r="Q42" i="185"/>
  <c r="FX72" i="185"/>
  <c r="AF32" i="185"/>
  <c r="FB68" i="185"/>
  <c r="DY81" i="185"/>
  <c r="DW81" i="185"/>
  <c r="EN56" i="185"/>
  <c r="X16" i="185" s="1"/>
  <c r="GE16" i="185" s="1"/>
  <c r="CW56" i="185"/>
  <c r="M16" i="185" s="1"/>
  <c r="FA80" i="185"/>
  <c r="EY80" i="185" s="1"/>
  <c r="EZ80" i="185"/>
  <c r="EX80" i="185" s="1"/>
  <c r="R43" i="184"/>
  <c r="Q43" i="184"/>
  <c r="BM31" i="185"/>
  <c r="EZ71" i="185" s="1"/>
  <c r="EX71" i="185" s="1"/>
  <c r="GA30" i="185"/>
  <c r="GB30" i="185"/>
  <c r="DQ82" i="184"/>
  <c r="DO82" i="184"/>
  <c r="EZ55" i="186"/>
  <c r="EX55" i="186" s="1"/>
  <c r="FA55" i="186"/>
  <c r="EY55" i="186" s="1"/>
  <c r="FB69" i="185"/>
  <c r="BR29" i="185"/>
  <c r="BM14" i="185"/>
  <c r="EZ54" i="185" s="1"/>
  <c r="EX54" i="185" s="1"/>
  <c r="FX76" i="184"/>
  <c r="AF36" i="184"/>
  <c r="EZ77" i="185"/>
  <c r="EX77" i="185" s="1"/>
  <c r="FA77" i="185"/>
  <c r="EY77" i="185" s="1"/>
  <c r="FA68" i="185"/>
  <c r="EY68" i="185" s="1"/>
  <c r="EZ68" i="185"/>
  <c r="EX68" i="185" s="1"/>
  <c r="FQ69" i="184"/>
  <c r="EZ75" i="184"/>
  <c r="EX75" i="184" s="1"/>
  <c r="FA75" i="184"/>
  <c r="EY75" i="184" s="1"/>
  <c r="DO84" i="185"/>
  <c r="DQ84" i="185"/>
  <c r="V42" i="184"/>
  <c r="U42" i="184"/>
  <c r="FB55" i="184"/>
  <c r="CW54" i="184"/>
  <c r="M14" i="184" s="1"/>
  <c r="FA83" i="184"/>
  <c r="EY83" i="184" s="1"/>
  <c r="EZ83" i="184"/>
  <c r="FA67" i="184"/>
  <c r="EY67" i="184" s="1"/>
  <c r="EZ67" i="184"/>
  <c r="EX67" i="184" s="1"/>
  <c r="CW58" i="184"/>
  <c r="M18" i="184" s="1"/>
  <c r="BR45" i="184"/>
  <c r="EZ79" i="185"/>
  <c r="EX79" i="185" s="1"/>
  <c r="BM37" i="184"/>
  <c r="BM18" i="184"/>
  <c r="FX58" i="183"/>
  <c r="AF18" i="183"/>
  <c r="AO16" i="180"/>
  <c r="P16" i="180" s="1"/>
  <c r="P15" i="180"/>
  <c r="FX60" i="184"/>
  <c r="AF20" i="184"/>
  <c r="GB31" i="184"/>
  <c r="GA31" i="184"/>
  <c r="FC71" i="183"/>
  <c r="GL41" i="186"/>
  <c r="FA70" i="185"/>
  <c r="EY70" i="185" s="1"/>
  <c r="CX73" i="184"/>
  <c r="N33" i="184" s="1"/>
  <c r="GL43" i="184"/>
  <c r="P51" i="180"/>
  <c r="AO52" i="180"/>
  <c r="P37" i="178"/>
  <c r="AO38" i="178"/>
  <c r="P38" i="178" s="1"/>
  <c r="P16" i="178"/>
  <c r="AO17" i="178"/>
  <c r="P17" i="181"/>
  <c r="AO18" i="181"/>
  <c r="ES70" i="185"/>
  <c r="Y30" i="185" s="1"/>
  <c r="GE30" i="185" s="1"/>
  <c r="CX70" i="185"/>
  <c r="N30" i="185" s="1"/>
  <c r="FC79" i="183"/>
  <c r="BR39" i="183"/>
  <c r="T45" i="186"/>
  <c r="S45" i="186"/>
  <c r="CX80" i="185"/>
  <c r="N40" i="185" s="1"/>
  <c r="DM85" i="185"/>
  <c r="DN85" i="185"/>
  <c r="FC69" i="186"/>
  <c r="BR29" i="186"/>
  <c r="GE25" i="186"/>
  <c r="GA25" i="186"/>
  <c r="GB25" i="186"/>
  <c r="FX73" i="184"/>
  <c r="AF33" i="184"/>
  <c r="FK82" i="184"/>
  <c r="FJ81" i="184"/>
  <c r="GE26" i="184"/>
  <c r="FB71" i="186"/>
  <c r="BR31" i="186"/>
  <c r="EZ73" i="184"/>
  <c r="EX73" i="184" s="1"/>
  <c r="FA73" i="184"/>
  <c r="EY73" i="184" s="1"/>
  <c r="DK85" i="186"/>
  <c r="D45" i="186"/>
  <c r="GK45" i="186" s="1"/>
  <c r="E45" i="186"/>
  <c r="H41" i="186"/>
  <c r="G41" i="186"/>
  <c r="I41" i="186"/>
  <c r="BS41" i="186" s="1"/>
  <c r="Q43" i="186"/>
  <c r="R43" i="186"/>
  <c r="DR82" i="186"/>
  <c r="DP82" i="186"/>
  <c r="DU77" i="186"/>
  <c r="DT77" i="186"/>
  <c r="FX67" i="186"/>
  <c r="AF27" i="186"/>
  <c r="FB68" i="186"/>
  <c r="FA82" i="186"/>
  <c r="EY82" i="186" s="1"/>
  <c r="DK85" i="185"/>
  <c r="D45" i="185"/>
  <c r="GK45" i="185" s="1"/>
  <c r="E45" i="185"/>
  <c r="DO74" i="186"/>
  <c r="DQ74" i="186"/>
  <c r="GB43" i="186"/>
  <c r="GE43" i="186"/>
  <c r="GC43" i="186"/>
  <c r="GD43" i="186"/>
  <c r="GA43" i="186"/>
  <c r="BR39" i="186"/>
  <c r="GB30" i="186"/>
  <c r="GA30" i="186"/>
  <c r="FQ63" i="186"/>
  <c r="FR63" i="186" s="1"/>
  <c r="FX79" i="185"/>
  <c r="AF39" i="185"/>
  <c r="FX66" i="186"/>
  <c r="FQ64" i="185"/>
  <c r="FR64" i="185" s="1"/>
  <c r="FU65" i="185" s="1"/>
  <c r="EZ57" i="185"/>
  <c r="EX57" i="185" s="1"/>
  <c r="FA57" i="185"/>
  <c r="EY57" i="185" s="1"/>
  <c r="ES70" i="186"/>
  <c r="Y30" i="186" s="1"/>
  <c r="GE30" i="186" s="1"/>
  <c r="CX70" i="186"/>
  <c r="N30" i="186" s="1"/>
  <c r="FX59" i="185"/>
  <c r="AF19" i="185"/>
  <c r="FA72" i="185"/>
  <c r="EY72" i="185" s="1"/>
  <c r="EZ72" i="185"/>
  <c r="EX72" i="185" s="1"/>
  <c r="EZ64" i="185"/>
  <c r="EX64" i="185" s="1"/>
  <c r="FA64" i="185"/>
  <c r="EY64" i="185" s="1"/>
  <c r="EZ56" i="185"/>
  <c r="EX56" i="185" s="1"/>
  <c r="FA56" i="185"/>
  <c r="EY56" i="185" s="1"/>
  <c r="DM81" i="184"/>
  <c r="DN81" i="184"/>
  <c r="CX64" i="185"/>
  <c r="N24" i="185" s="1"/>
  <c r="K42" i="184"/>
  <c r="J42" i="184"/>
  <c r="L42" i="184"/>
  <c r="BU42" i="184" s="1"/>
  <c r="EN57" i="185"/>
  <c r="X17" i="185" s="1"/>
  <c r="GE17" i="185" s="1"/>
  <c r="CW57" i="185"/>
  <c r="M17" i="185" s="1"/>
  <c r="BR44" i="185"/>
  <c r="EZ63" i="185"/>
  <c r="EX63" i="185" s="1"/>
  <c r="DP82" i="184"/>
  <c r="DR82" i="184"/>
  <c r="CW76" i="184"/>
  <c r="M36" i="184" s="1"/>
  <c r="BM15" i="185"/>
  <c r="DN83" i="184"/>
  <c r="DM83" i="184"/>
  <c r="GE36" i="185"/>
  <c r="FB61" i="185"/>
  <c r="FQ76" i="184"/>
  <c r="BO26" i="184"/>
  <c r="BM26" i="184"/>
  <c r="GL42" i="184"/>
  <c r="FX69" i="184"/>
  <c r="AF29" i="184"/>
  <c r="CW64" i="184"/>
  <c r="M24" i="184" s="1"/>
  <c r="EN64" i="184"/>
  <c r="X24" i="184" s="1"/>
  <c r="GE24" i="184" s="1"/>
  <c r="DR84" i="185"/>
  <c r="DP84" i="185"/>
  <c r="GL45" i="185"/>
  <c r="EN61" i="184"/>
  <c r="X21" i="184" s="1"/>
  <c r="GE21" i="184" s="1"/>
  <c r="CW61" i="184"/>
  <c r="M21" i="184" s="1"/>
  <c r="FB57" i="184"/>
  <c r="FC57" i="184"/>
  <c r="CW79" i="183"/>
  <c r="M39" i="183" s="1"/>
  <c r="EN79" i="183"/>
  <c r="X39" i="183" s="1"/>
  <c r="GE39" i="183" s="1"/>
  <c r="CX74" i="183"/>
  <c r="N34" i="183" s="1"/>
  <c r="GE23" i="185"/>
  <c r="GA23" i="185"/>
  <c r="GB23" i="185"/>
  <c r="CX58" i="184"/>
  <c r="N18" i="184" s="1"/>
  <c r="DN85" i="183"/>
  <c r="DM85" i="183"/>
  <c r="FX67" i="183"/>
  <c r="AF27" i="183"/>
  <c r="FB72" i="183"/>
  <c r="BR32" i="183"/>
  <c r="GA45" i="184"/>
  <c r="GE45" i="184"/>
  <c r="GD45" i="184"/>
  <c r="GC45" i="184"/>
  <c r="GB45" i="184"/>
  <c r="FA81" i="183"/>
  <c r="EY81" i="183" s="1"/>
  <c r="FX62" i="183"/>
  <c r="AF22" i="183"/>
  <c r="GE32" i="184"/>
  <c r="AO37" i="179"/>
  <c r="P36" i="179"/>
  <c r="Q45" i="183"/>
  <c r="R45" i="183"/>
  <c r="FX54" i="183"/>
  <c r="AF14" i="183"/>
  <c r="FB68" i="183"/>
  <c r="BR28" i="183"/>
  <c r="CX54" i="184"/>
  <c r="N14" i="184" s="1"/>
  <c r="ES54" i="184"/>
  <c r="Y14" i="184" s="1"/>
  <c r="GE14" i="184" s="1"/>
  <c r="CW76" i="183"/>
  <c r="M36" i="183" s="1"/>
  <c r="EN76" i="183"/>
  <c r="X36" i="183" s="1"/>
  <c r="GE36" i="183" s="1"/>
  <c r="FQ68" i="183"/>
  <c r="FR68" i="183" s="1"/>
  <c r="FU69" i="183" s="1"/>
  <c r="GA27" i="184"/>
  <c r="GE27" i="184"/>
  <c r="GB27" i="184"/>
  <c r="P43" i="180"/>
  <c r="AO44" i="180"/>
  <c r="P32" i="178"/>
  <c r="AO33" i="178"/>
  <c r="P33" i="178" s="1"/>
  <c r="CW70" i="184"/>
  <c r="M30" i="184" s="1"/>
  <c r="P27" i="179"/>
  <c r="AO28" i="179"/>
  <c r="AO55" i="179"/>
  <c r="P55" i="179" s="1"/>
  <c r="P54" i="179"/>
  <c r="FC68" i="183"/>
  <c r="G42" i="186"/>
  <c r="H42" i="186"/>
  <c r="I42" i="186"/>
  <c r="BS42" i="186" s="1"/>
  <c r="DM83" i="186"/>
  <c r="DN83" i="186"/>
  <c r="DM78" i="186"/>
  <c r="DN78" i="186"/>
  <c r="DK81" i="185"/>
  <c r="D41" i="185"/>
  <c r="GK41" i="185" s="1"/>
  <c r="E41" i="185"/>
  <c r="FX67" i="185"/>
  <c r="AF27" i="185"/>
  <c r="GB14" i="186"/>
  <c r="GA14" i="186"/>
  <c r="GE14" i="186"/>
  <c r="DV84" i="185"/>
  <c r="DX84" i="185"/>
  <c r="CX67" i="185"/>
  <c r="N27" i="185" s="1"/>
  <c r="ES67" i="185"/>
  <c r="Y27" i="185" s="1"/>
  <c r="GE27" i="185" s="1"/>
  <c r="EZ61" i="185"/>
  <c r="EX61" i="185" s="1"/>
  <c r="FA61" i="185"/>
  <c r="EY61" i="185" s="1"/>
  <c r="FA84" i="185"/>
  <c r="EY84" i="185" s="1"/>
  <c r="EZ84" i="185"/>
  <c r="DY84" i="184"/>
  <c r="DW84" i="184"/>
  <c r="CW56" i="184"/>
  <c r="M16" i="184" s="1"/>
  <c r="EN56" i="184"/>
  <c r="X16" i="184" s="1"/>
  <c r="GE16" i="184" s="1"/>
  <c r="FC55" i="184"/>
  <c r="BR15" i="184"/>
  <c r="CW75" i="183"/>
  <c r="M35" i="183" s="1"/>
  <c r="EN75" i="183"/>
  <c r="X35" i="183" s="1"/>
  <c r="EN57" i="184"/>
  <c r="X17" i="184" s="1"/>
  <c r="GE17" i="184" s="1"/>
  <c r="CW57" i="184"/>
  <c r="M17" i="184" s="1"/>
  <c r="P19" i="180"/>
  <c r="AO20" i="180"/>
  <c r="P20" i="180" s="1"/>
  <c r="O45" i="186"/>
  <c r="P45" i="186"/>
  <c r="FA60" i="186"/>
  <c r="EY60" i="186" s="1"/>
  <c r="EZ60" i="186"/>
  <c r="EX60" i="186" s="1"/>
  <c r="GL38" i="186"/>
  <c r="DY73" i="186"/>
  <c r="DW73" i="186"/>
  <c r="FC61" i="186"/>
  <c r="BR21" i="186"/>
  <c r="BR21" i="185"/>
  <c r="AO48" i="180"/>
  <c r="P47" i="180"/>
  <c r="FX59" i="183"/>
  <c r="AF19" i="183"/>
  <c r="P32" i="179"/>
  <c r="AO33" i="179"/>
  <c r="AO52" i="178"/>
  <c r="P51" i="178"/>
  <c r="DU83" i="186"/>
  <c r="DT83" i="186"/>
  <c r="DU79" i="186"/>
  <c r="DT79" i="186"/>
  <c r="FJ74" i="186"/>
  <c r="FK75" i="186"/>
  <c r="K42" i="186"/>
  <c r="L42" i="186"/>
  <c r="BU42" i="186" s="1"/>
  <c r="J42" i="186"/>
  <c r="FQ72" i="186"/>
  <c r="FX55" i="186"/>
  <c r="AF15" i="186"/>
  <c r="DU78" i="186"/>
  <c r="DT78" i="186"/>
  <c r="FR54" i="186"/>
  <c r="FU55" i="186" s="1"/>
  <c r="L37" i="186"/>
  <c r="BU37" i="186" s="1"/>
  <c r="J37" i="186"/>
  <c r="K37" i="186"/>
  <c r="FX68" i="186"/>
  <c r="AF28" i="186"/>
  <c r="CW60" i="186"/>
  <c r="M20" i="186" s="1"/>
  <c r="CW64" i="186"/>
  <c r="M24" i="186" s="1"/>
  <c r="EZ77" i="186"/>
  <c r="FA77" i="186"/>
  <c r="EY77" i="186" s="1"/>
  <c r="FC70" i="186"/>
  <c r="FB70" i="186"/>
  <c r="BR30" i="186"/>
  <c r="BR20" i="186"/>
  <c r="FC60" i="186"/>
  <c r="DO79" i="186"/>
  <c r="DQ79" i="186"/>
  <c r="BO26" i="186"/>
  <c r="FA66" i="186" s="1"/>
  <c r="EY66" i="186" s="1"/>
  <c r="BM26" i="186"/>
  <c r="FQ54" i="185"/>
  <c r="FR54" i="185" s="1"/>
  <c r="FU55" i="185" s="1"/>
  <c r="FX76" i="185"/>
  <c r="AF36" i="185"/>
  <c r="EN69" i="185"/>
  <c r="X29" i="185" s="1"/>
  <c r="GE29" i="185" s="1"/>
  <c r="CW69" i="185"/>
  <c r="M29" i="185" s="1"/>
  <c r="CX56" i="185"/>
  <c r="N16" i="185" s="1"/>
  <c r="CW67" i="186"/>
  <c r="M27" i="186" s="1"/>
  <c r="EN67" i="186"/>
  <c r="X27" i="186" s="1"/>
  <c r="GE27" i="186" s="1"/>
  <c r="FQ72" i="185"/>
  <c r="FX55" i="185"/>
  <c r="AF15" i="185"/>
  <c r="GA15" i="186"/>
  <c r="GB15" i="186"/>
  <c r="CX73" i="185"/>
  <c r="N33" i="185" s="1"/>
  <c r="GE41" i="185"/>
  <c r="GD41" i="185"/>
  <c r="GC41" i="185"/>
  <c r="GB41" i="185"/>
  <c r="GA41" i="185"/>
  <c r="GE33" i="185"/>
  <c r="GB33" i="185"/>
  <c r="GA33" i="185"/>
  <c r="P42" i="184"/>
  <c r="O42" i="184"/>
  <c r="FQ55" i="184"/>
  <c r="FR55" i="184" s="1"/>
  <c r="FU56" i="184" s="1"/>
  <c r="FA54" i="186"/>
  <c r="EY54" i="186" s="1"/>
  <c r="EZ54" i="186"/>
  <c r="EX54" i="186" s="1"/>
  <c r="GE28" i="185"/>
  <c r="EN61" i="185"/>
  <c r="X21" i="185" s="1"/>
  <c r="GE21" i="185" s="1"/>
  <c r="CW61" i="185"/>
  <c r="M21" i="185" s="1"/>
  <c r="EZ85" i="185"/>
  <c r="FX77" i="184"/>
  <c r="GA29" i="184"/>
  <c r="GE29" i="184"/>
  <c r="GB29" i="184"/>
  <c r="GE23" i="184"/>
  <c r="GB23" i="184"/>
  <c r="GA23" i="184"/>
  <c r="BR21" i="184"/>
  <c r="EN71" i="184"/>
  <c r="X31" i="184" s="1"/>
  <c r="GE31" i="184" s="1"/>
  <c r="CW71" i="184"/>
  <c r="M31" i="184" s="1"/>
  <c r="CW68" i="184"/>
  <c r="M28" i="184" s="1"/>
  <c r="EN68" i="184"/>
  <c r="X28" i="184" s="1"/>
  <c r="GE28" i="184" s="1"/>
  <c r="FC78" i="184"/>
  <c r="BR38" i="184"/>
  <c r="FC63" i="184"/>
  <c r="BR23" i="184"/>
  <c r="CX79" i="183"/>
  <c r="N39" i="183" s="1"/>
  <c r="FQ69" i="183"/>
  <c r="FR69" i="183" s="1"/>
  <c r="FS70" i="183" s="1"/>
  <c r="CW66" i="184"/>
  <c r="M26" i="184" s="1"/>
  <c r="FX56" i="184"/>
  <c r="AF16" i="184"/>
  <c r="DR84" i="184"/>
  <c r="DP84" i="184"/>
  <c r="GL41" i="184"/>
  <c r="R45" i="185"/>
  <c r="Q45" i="185"/>
  <c r="EN63" i="184"/>
  <c r="X23" i="184" s="1"/>
  <c r="CW63" i="184"/>
  <c r="M23" i="184" s="1"/>
  <c r="EN55" i="184"/>
  <c r="X15" i="184" s="1"/>
  <c r="GE15" i="184" s="1"/>
  <c r="CW55" i="184"/>
  <c r="M15" i="184" s="1"/>
  <c r="BO20" i="184"/>
  <c r="BM20" i="184"/>
  <c r="FX56" i="183"/>
  <c r="AF16" i="183"/>
  <c r="FC69" i="184"/>
  <c r="FB69" i="184"/>
  <c r="BR29" i="184"/>
  <c r="FX59" i="184"/>
  <c r="GA37" i="184"/>
  <c r="GE37" i="184"/>
  <c r="GB37" i="184"/>
  <c r="FQ61" i="183"/>
  <c r="FR61" i="183" s="1"/>
  <c r="FU62" i="183" s="1"/>
  <c r="AO42" i="178"/>
  <c r="P41" i="178"/>
  <c r="FB75" i="183"/>
  <c r="FQ60" i="184"/>
  <c r="FR60" i="184" s="1"/>
  <c r="FU61" i="184" s="1"/>
  <c r="FX55" i="183"/>
  <c r="AF15" i="183"/>
  <c r="GE35" i="183"/>
  <c r="GB35" i="183"/>
  <c r="GA35" i="183"/>
  <c r="FX61" i="183"/>
  <c r="AF21" i="183"/>
  <c r="FX63" i="184"/>
  <c r="FX63" i="183"/>
  <c r="AF23" i="183"/>
  <c r="CW80" i="183"/>
  <c r="M40" i="183" s="1"/>
  <c r="EN80" i="183"/>
  <c r="X40" i="183" s="1"/>
  <c r="GE40" i="183" s="1"/>
  <c r="CX73" i="183"/>
  <c r="N33" i="183" s="1"/>
  <c r="GE28" i="183"/>
  <c r="GB28" i="183"/>
  <c r="GA28" i="183"/>
  <c r="P35" i="180"/>
  <c r="AO36" i="180"/>
  <c r="BO31" i="183"/>
  <c r="EZ71" i="183" s="1"/>
  <c r="EX71" i="183" s="1"/>
  <c r="GD48" i="84"/>
  <c r="GC48" i="84"/>
  <c r="GB48" i="84"/>
  <c r="GA48" i="84"/>
  <c r="GD48" i="160"/>
  <c r="GC48" i="160"/>
  <c r="GB48" i="160"/>
  <c r="GA48" i="160"/>
  <c r="GD57" i="147"/>
  <c r="GC57" i="147"/>
  <c r="GB57" i="147"/>
  <c r="GA57" i="147"/>
  <c r="AO18" i="230" l="1"/>
  <c r="P17" i="230"/>
  <c r="AO18" i="229"/>
  <c r="P17" i="229"/>
  <c r="AO18" i="228"/>
  <c r="P17" i="228"/>
  <c r="AO18" i="227"/>
  <c r="P17" i="227"/>
  <c r="AO18" i="226"/>
  <c r="P17" i="226"/>
  <c r="AO18" i="225"/>
  <c r="P17" i="225"/>
  <c r="AO18" i="224"/>
  <c r="P17" i="224"/>
  <c r="AO18" i="223"/>
  <c r="P17" i="223"/>
  <c r="AO18" i="222"/>
  <c r="P17" i="222"/>
  <c r="AO18" i="221"/>
  <c r="P17" i="221"/>
  <c r="AO18" i="220"/>
  <c r="P17" i="220"/>
  <c r="AO18" i="219"/>
  <c r="P17" i="219"/>
  <c r="AO18" i="218"/>
  <c r="P17" i="218"/>
  <c r="AO18" i="217"/>
  <c r="P17" i="217"/>
  <c r="AO18" i="216"/>
  <c r="P17" i="216"/>
  <c r="AO18" i="215"/>
  <c r="P17" i="215"/>
  <c r="P17" i="214"/>
  <c r="AO18" i="214"/>
  <c r="AO18" i="213"/>
  <c r="P17" i="213"/>
  <c r="AO18" i="212"/>
  <c r="P17" i="212"/>
  <c r="P16" i="211"/>
  <c r="AO17" i="211"/>
  <c r="P17" i="210"/>
  <c r="AO18" i="210"/>
  <c r="P17" i="209"/>
  <c r="AO18" i="209"/>
  <c r="AO18" i="208"/>
  <c r="P17" i="208"/>
  <c r="AO18" i="207"/>
  <c r="P17" i="207"/>
  <c r="AO18" i="206"/>
  <c r="P17" i="206"/>
  <c r="AO18" i="205"/>
  <c r="P17" i="205"/>
  <c r="AO18" i="204"/>
  <c r="P17" i="204"/>
  <c r="AO18" i="203"/>
  <c r="P17" i="203"/>
  <c r="AO18" i="202"/>
  <c r="P17" i="202"/>
  <c r="AO18" i="201"/>
  <c r="P17" i="201"/>
  <c r="AO18" i="200"/>
  <c r="P17" i="200"/>
  <c r="AO18" i="199"/>
  <c r="P17" i="199"/>
  <c r="AO18" i="198"/>
  <c r="P17" i="198"/>
  <c r="AO18" i="197"/>
  <c r="P17" i="197"/>
  <c r="FA71" i="185"/>
  <c r="EY71" i="185" s="1"/>
  <c r="FC73" i="184"/>
  <c r="FB73" i="184"/>
  <c r="FA60" i="184"/>
  <c r="EY60" i="184" s="1"/>
  <c r="FA71" i="183"/>
  <c r="EY71" i="183" s="1"/>
  <c r="EZ80" i="183"/>
  <c r="EX80" i="183" s="1"/>
  <c r="P40" i="181"/>
  <c r="AO41" i="181"/>
  <c r="P41" i="181" s="1"/>
  <c r="DR77" i="186"/>
  <c r="EN37" i="186" s="1"/>
  <c r="DY83" i="185"/>
  <c r="U43" i="185" s="1"/>
  <c r="DX73" i="186"/>
  <c r="GM42" i="184"/>
  <c r="DY84" i="185"/>
  <c r="DO81" i="186"/>
  <c r="DP79" i="186"/>
  <c r="GM44" i="186"/>
  <c r="DO82" i="186"/>
  <c r="DR84" i="186"/>
  <c r="EN44" i="186" s="1"/>
  <c r="GM39" i="186"/>
  <c r="DW85" i="185"/>
  <c r="GM43" i="185"/>
  <c r="FS64" i="186"/>
  <c r="FU64" i="186" s="1"/>
  <c r="DP81" i="185"/>
  <c r="GM45" i="183"/>
  <c r="GM44" i="185"/>
  <c r="DR76" i="186"/>
  <c r="EN36" i="186" s="1"/>
  <c r="EO44" i="185"/>
  <c r="GM44" i="184"/>
  <c r="S33" i="186"/>
  <c r="BT33" i="186" s="1"/>
  <c r="DV83" i="185"/>
  <c r="DW85" i="183"/>
  <c r="EN34" i="186"/>
  <c r="GM44" i="183"/>
  <c r="EN39" i="186"/>
  <c r="GL43" i="186"/>
  <c r="GM43" i="186" s="1"/>
  <c r="DO73" i="186"/>
  <c r="DQ73" i="186"/>
  <c r="EN33" i="186" s="1"/>
  <c r="BT45" i="186"/>
  <c r="FD30" i="185"/>
  <c r="AH16" i="185"/>
  <c r="FD16" i="185" s="1"/>
  <c r="EO45" i="185"/>
  <c r="GM35" i="186"/>
  <c r="GM43" i="184"/>
  <c r="AO45" i="180"/>
  <c r="P45" i="180" s="1"/>
  <c r="P44" i="180"/>
  <c r="BR18" i="184"/>
  <c r="FC58" i="184"/>
  <c r="FB58" i="184"/>
  <c r="T40" i="186"/>
  <c r="S40" i="186"/>
  <c r="EC84" i="184"/>
  <c r="T44" i="184"/>
  <c r="S44" i="184"/>
  <c r="AG28" i="186"/>
  <c r="AG15" i="186"/>
  <c r="AH15" i="186" s="1"/>
  <c r="FD15" i="186" s="1"/>
  <c r="AO34" i="179"/>
  <c r="P34" i="179" s="1"/>
  <c r="P33" i="179"/>
  <c r="V33" i="186"/>
  <c r="U33" i="186"/>
  <c r="EC73" i="186"/>
  <c r="AG27" i="185"/>
  <c r="DR83" i="186"/>
  <c r="DP83" i="186"/>
  <c r="AG27" i="183"/>
  <c r="AH27" i="183" s="1"/>
  <c r="FD27" i="183" s="1"/>
  <c r="AG29" i="184"/>
  <c r="AH29" i="184" s="1"/>
  <c r="FD29" i="184" s="1"/>
  <c r="T39" i="186"/>
  <c r="S39" i="186"/>
  <c r="DQ85" i="185"/>
  <c r="DO85" i="185"/>
  <c r="AH22" i="185"/>
  <c r="FD22" i="185" s="1"/>
  <c r="BR31" i="183"/>
  <c r="BR37" i="184"/>
  <c r="FC77" i="184"/>
  <c r="FB77" i="184"/>
  <c r="EN42" i="184"/>
  <c r="AG24" i="185"/>
  <c r="AH24" i="185" s="1"/>
  <c r="FD24" i="185" s="1"/>
  <c r="AG30" i="186"/>
  <c r="AH30" i="186" s="1"/>
  <c r="FD30" i="186" s="1"/>
  <c r="AG31" i="186"/>
  <c r="FD29" i="183"/>
  <c r="AG17" i="183"/>
  <c r="AH17" i="183" s="1"/>
  <c r="U45" i="185"/>
  <c r="V45" i="185"/>
  <c r="AG20" i="186"/>
  <c r="DW75" i="186"/>
  <c r="DY75" i="186"/>
  <c r="DY84" i="186"/>
  <c r="DW84" i="186"/>
  <c r="GM41" i="184"/>
  <c r="FA77" i="184"/>
  <c r="EY77" i="184" s="1"/>
  <c r="AG28" i="184"/>
  <c r="AH28" i="184" s="1"/>
  <c r="FD28" i="184" s="1"/>
  <c r="DY81" i="184"/>
  <c r="DW81" i="184"/>
  <c r="GL33" i="186"/>
  <c r="GM33" i="186" s="1"/>
  <c r="DY81" i="186"/>
  <c r="DW81" i="186"/>
  <c r="AG26" i="183"/>
  <c r="AH26" i="183" s="1"/>
  <c r="DY80" i="186"/>
  <c r="EC80" i="186" s="1"/>
  <c r="DW80" i="186"/>
  <c r="DR84" i="183"/>
  <c r="DP84" i="183"/>
  <c r="AH21" i="186"/>
  <c r="FD21" i="186" s="1"/>
  <c r="AH25" i="186"/>
  <c r="FD25" i="186" s="1"/>
  <c r="GM45" i="185"/>
  <c r="U41" i="185"/>
  <c r="V41" i="185"/>
  <c r="DX75" i="186"/>
  <c r="DV75" i="186"/>
  <c r="AG17" i="184"/>
  <c r="AH17" i="184" s="1"/>
  <c r="AG23" i="183"/>
  <c r="AH23" i="183" s="1"/>
  <c r="P42" i="178"/>
  <c r="AO43" i="178"/>
  <c r="P43" i="178" s="1"/>
  <c r="AG19" i="184"/>
  <c r="AG16" i="183"/>
  <c r="AH16" i="183" s="1"/>
  <c r="DV79" i="186"/>
  <c r="DX79" i="186"/>
  <c r="V44" i="184"/>
  <c r="U44" i="184"/>
  <c r="DO83" i="186"/>
  <c r="DQ83" i="186"/>
  <c r="AG14" i="183"/>
  <c r="AH14" i="183" s="1"/>
  <c r="FD14" i="183" s="1"/>
  <c r="AH18" i="184"/>
  <c r="FD18" i="184" s="1"/>
  <c r="EC84" i="185"/>
  <c r="T44" i="185"/>
  <c r="S44" i="185"/>
  <c r="FD21" i="185"/>
  <c r="S42" i="186"/>
  <c r="T42" i="186"/>
  <c r="AO19" i="181"/>
  <c r="P19" i="181" s="1"/>
  <c r="P18" i="181"/>
  <c r="DR75" i="186"/>
  <c r="DP75" i="186"/>
  <c r="AG28" i="183"/>
  <c r="AH28" i="183" s="1"/>
  <c r="FD28" i="183" s="1"/>
  <c r="FC80" i="183"/>
  <c r="BR40" i="183"/>
  <c r="FB80" i="183"/>
  <c r="AO18" i="179"/>
  <c r="P17" i="179"/>
  <c r="EZ77" i="184"/>
  <c r="EX77" i="184" s="1"/>
  <c r="AG23" i="185"/>
  <c r="AH23" i="185" s="1"/>
  <c r="FD23" i="185" s="1"/>
  <c r="DX81" i="184"/>
  <c r="DV81" i="184"/>
  <c r="FR72" i="186"/>
  <c r="FS73" i="186" s="1"/>
  <c r="FR59" i="184"/>
  <c r="FU60" i="184" s="1"/>
  <c r="DX81" i="186"/>
  <c r="DV81" i="186"/>
  <c r="FD22" i="184"/>
  <c r="FR59" i="185"/>
  <c r="FU60" i="185" s="1"/>
  <c r="EO44" i="184"/>
  <c r="DY85" i="184"/>
  <c r="DW85" i="184"/>
  <c r="DV82" i="186"/>
  <c r="DX82" i="186"/>
  <c r="DQ84" i="183"/>
  <c r="DO84" i="183"/>
  <c r="FR73" i="184"/>
  <c r="FU74" i="184" s="1"/>
  <c r="FA54" i="185"/>
  <c r="EY54" i="185" s="1"/>
  <c r="AH14" i="186"/>
  <c r="FD14" i="186" s="1"/>
  <c r="AH14" i="185"/>
  <c r="FD14" i="185" s="1"/>
  <c r="FC66" i="186"/>
  <c r="BR26" i="186"/>
  <c r="FB66" i="186"/>
  <c r="DQ78" i="186"/>
  <c r="DO78" i="186"/>
  <c r="AO53" i="180"/>
  <c r="P52" i="180"/>
  <c r="V45" i="183"/>
  <c r="U45" i="183"/>
  <c r="FD39" i="184"/>
  <c r="AG23" i="184"/>
  <c r="AH23" i="184" s="1"/>
  <c r="GL41" i="185"/>
  <c r="GM41" i="185" s="1"/>
  <c r="AG36" i="185"/>
  <c r="AH36" i="185" s="1"/>
  <c r="DW79" i="186"/>
  <c r="DY79" i="186"/>
  <c r="AO29" i="179"/>
  <c r="P29" i="179" s="1"/>
  <c r="P28" i="179"/>
  <c r="BR17" i="184"/>
  <c r="FA57" i="184"/>
  <c r="EY57" i="184" s="1"/>
  <c r="DO83" i="184"/>
  <c r="DQ83" i="184"/>
  <c r="DR81" i="184"/>
  <c r="DP81" i="184"/>
  <c r="AG20" i="184"/>
  <c r="AH20" i="184" s="1"/>
  <c r="FD20" i="184" s="1"/>
  <c r="FR69" i="184"/>
  <c r="FU70" i="184" s="1"/>
  <c r="AG32" i="185"/>
  <c r="AH32" i="185" s="1"/>
  <c r="FD32" i="185" s="1"/>
  <c r="GL45" i="186"/>
  <c r="GM45" i="186" s="1"/>
  <c r="EN40" i="186"/>
  <c r="DQ75" i="186"/>
  <c r="DO75" i="186"/>
  <c r="GM41" i="186"/>
  <c r="DV84" i="183"/>
  <c r="DX84" i="183"/>
  <c r="V44" i="185"/>
  <c r="U44" i="185"/>
  <c r="GM37" i="186"/>
  <c r="FB63" i="186"/>
  <c r="BR23" i="186"/>
  <c r="FC63" i="186"/>
  <c r="T44" i="186"/>
  <c r="P23" i="179"/>
  <c r="AO24" i="179"/>
  <c r="P24" i="179" s="1"/>
  <c r="EZ60" i="184"/>
  <c r="EX60" i="184" s="1"/>
  <c r="DX85" i="184"/>
  <c r="DV85" i="184"/>
  <c r="AG40" i="185"/>
  <c r="AH40" i="185" s="1"/>
  <c r="FD40" i="185" s="1"/>
  <c r="DY82" i="186"/>
  <c r="EC82" i="186" s="1"/>
  <c r="DW82" i="186"/>
  <c r="FD34" i="184"/>
  <c r="AH38" i="185"/>
  <c r="FD38" i="185" s="1"/>
  <c r="AH29" i="186"/>
  <c r="FD29" i="186" s="1"/>
  <c r="P48" i="180"/>
  <c r="AO49" i="180"/>
  <c r="P49" i="180" s="1"/>
  <c r="DX84" i="186"/>
  <c r="DV84" i="186"/>
  <c r="EC81" i="185"/>
  <c r="T41" i="185"/>
  <c r="S41" i="185"/>
  <c r="DX80" i="186"/>
  <c r="DV80" i="186"/>
  <c r="AG15" i="183"/>
  <c r="AH15" i="183" s="1"/>
  <c r="FD15" i="183" s="1"/>
  <c r="EZ58" i="184"/>
  <c r="EX58" i="184" s="1"/>
  <c r="AG16" i="184"/>
  <c r="AH16" i="184" s="1"/>
  <c r="DX83" i="186"/>
  <c r="DV83" i="186"/>
  <c r="GL45" i="184"/>
  <c r="GM45" i="184" s="1"/>
  <c r="DQ85" i="183"/>
  <c r="DO85" i="183"/>
  <c r="BR26" i="184"/>
  <c r="FC66" i="184"/>
  <c r="FB66" i="184"/>
  <c r="DP83" i="184"/>
  <c r="DR83" i="184"/>
  <c r="DQ81" i="184"/>
  <c r="DO81" i="184"/>
  <c r="AG19" i="185"/>
  <c r="AH19" i="185" s="1"/>
  <c r="FD19" i="185" s="1"/>
  <c r="AO18" i="178"/>
  <c r="P17" i="178"/>
  <c r="BV42" i="184"/>
  <c r="DR82" i="185"/>
  <c r="DP82" i="185"/>
  <c r="FR80" i="185"/>
  <c r="FS81" i="185" s="1"/>
  <c r="FR55" i="186"/>
  <c r="FU56" i="186" s="1"/>
  <c r="DY84" i="183"/>
  <c r="DW84" i="183"/>
  <c r="EO33" i="186"/>
  <c r="L35" i="182"/>
  <c r="N34" i="182"/>
  <c r="FK74" i="183"/>
  <c r="FJ73" i="183"/>
  <c r="AH38" i="184"/>
  <c r="FD38" i="184" s="1"/>
  <c r="AG23" i="186"/>
  <c r="FD26" i="185"/>
  <c r="AO48" i="181"/>
  <c r="P47" i="181"/>
  <c r="FC79" i="185"/>
  <c r="BR39" i="185"/>
  <c r="FB79" i="185"/>
  <c r="FR55" i="185"/>
  <c r="FU56" i="185" s="1"/>
  <c r="DQ83" i="185"/>
  <c r="DO83" i="185"/>
  <c r="GM38" i="186"/>
  <c r="BT41" i="186"/>
  <c r="AG28" i="185"/>
  <c r="AH28" i="185" s="1"/>
  <c r="AG20" i="183"/>
  <c r="AH20" i="183" s="1"/>
  <c r="FD20" i="183" s="1"/>
  <c r="EN44" i="184"/>
  <c r="FD33" i="185"/>
  <c r="AH35" i="184"/>
  <c r="FD35" i="184" s="1"/>
  <c r="FD34" i="185"/>
  <c r="FU70" i="183"/>
  <c r="FT70" i="183" s="1"/>
  <c r="FR70" i="183"/>
  <c r="FS71" i="183" s="1"/>
  <c r="FQ70" i="183"/>
  <c r="FY70" i="183" s="1"/>
  <c r="FP70" i="183"/>
  <c r="GA70" i="183" s="1"/>
  <c r="FO70" i="183"/>
  <c r="FN70" i="183"/>
  <c r="FW70" i="183" s="1"/>
  <c r="FV70" i="183" s="1"/>
  <c r="P52" i="178"/>
  <c r="AO53" i="178"/>
  <c r="P37" i="179"/>
  <c r="AO38" i="179"/>
  <c r="DX85" i="186"/>
  <c r="DV85" i="186"/>
  <c r="AG25" i="183"/>
  <c r="AH25" i="183" s="1"/>
  <c r="FD25" i="183" s="1"/>
  <c r="FD18" i="186"/>
  <c r="AG15" i="184"/>
  <c r="AG32" i="186"/>
  <c r="AH32" i="186" s="1"/>
  <c r="FD32" i="186" s="1"/>
  <c r="AO37" i="180"/>
  <c r="P36" i="180"/>
  <c r="AG21" i="183"/>
  <c r="FA58" i="184"/>
  <c r="EY58" i="184" s="1"/>
  <c r="FD25" i="185"/>
  <c r="FJ75" i="186"/>
  <c r="FK76" i="186"/>
  <c r="DW83" i="186"/>
  <c r="DY83" i="186"/>
  <c r="AG19" i="183"/>
  <c r="AH19" i="183" s="1"/>
  <c r="AG22" i="183"/>
  <c r="DR85" i="183"/>
  <c r="DP85" i="183"/>
  <c r="EZ66" i="184"/>
  <c r="EX66" i="184" s="1"/>
  <c r="FA66" i="184"/>
  <c r="EY66" i="184" s="1"/>
  <c r="BR15" i="185"/>
  <c r="FB55" i="185"/>
  <c r="EZ55" i="185"/>
  <c r="EX55" i="185" s="1"/>
  <c r="FC55" i="185"/>
  <c r="FA55" i="185"/>
  <c r="EY55" i="185" s="1"/>
  <c r="AG39" i="185"/>
  <c r="DQ82" i="185"/>
  <c r="DO82" i="185"/>
  <c r="U36" i="186"/>
  <c r="V36" i="186"/>
  <c r="AG31" i="185"/>
  <c r="AH31" i="185" s="1"/>
  <c r="FD31" i="185" s="1"/>
  <c r="P50" i="179"/>
  <c r="AO51" i="179"/>
  <c r="P51" i="179" s="1"/>
  <c r="FC58" i="186"/>
  <c r="BR18" i="186"/>
  <c r="FB58" i="186"/>
  <c r="DP83" i="185"/>
  <c r="DR83" i="185"/>
  <c r="AG16" i="186"/>
  <c r="AH16" i="186" s="1"/>
  <c r="AG21" i="184"/>
  <c r="AH21" i="184" s="1"/>
  <c r="FD21" i="184" s="1"/>
  <c r="DR85" i="184"/>
  <c r="DP85" i="184"/>
  <c r="FA79" i="185"/>
  <c r="EY79" i="185" s="1"/>
  <c r="FD18" i="185"/>
  <c r="AG37" i="184"/>
  <c r="AH37" i="184" s="1"/>
  <c r="DR85" i="185"/>
  <c r="DP85" i="185"/>
  <c r="FO81" i="184"/>
  <c r="FN81" i="184"/>
  <c r="FW81" i="184" s="1"/>
  <c r="FV81" i="184" s="1"/>
  <c r="FU81" i="184"/>
  <c r="FT81" i="184" s="1"/>
  <c r="FP81" i="184"/>
  <c r="GA81" i="184" s="1"/>
  <c r="FR81" i="184"/>
  <c r="FS82" i="184" s="1"/>
  <c r="FQ81" i="184"/>
  <c r="FY81" i="184" s="1"/>
  <c r="DX78" i="186"/>
  <c r="DV78" i="186"/>
  <c r="FR76" i="184"/>
  <c r="FU77" i="184" s="1"/>
  <c r="AG26" i="186"/>
  <c r="AG27" i="186"/>
  <c r="FK83" i="184"/>
  <c r="FJ82" i="184"/>
  <c r="EZ66" i="186"/>
  <c r="EX66" i="186" s="1"/>
  <c r="T34" i="186"/>
  <c r="S34" i="186"/>
  <c r="EN42" i="186"/>
  <c r="V42" i="185"/>
  <c r="U42" i="185"/>
  <c r="AO47" i="178"/>
  <c r="P46" i="178"/>
  <c r="EO41" i="185"/>
  <c r="DX74" i="186"/>
  <c r="DV74" i="186"/>
  <c r="DV83" i="184"/>
  <c r="DX83" i="184"/>
  <c r="EZ74" i="183"/>
  <c r="EX74" i="183" s="1"/>
  <c r="FA74" i="183"/>
  <c r="EY74" i="183" s="1"/>
  <c r="AG24" i="183"/>
  <c r="AH24" i="183" s="1"/>
  <c r="FD24" i="183" s="1"/>
  <c r="BR34" i="184"/>
  <c r="FC74" i="184"/>
  <c r="FB74" i="184"/>
  <c r="AG20" i="185"/>
  <c r="AH20" i="185" s="1"/>
  <c r="AG25" i="184"/>
  <c r="AH25" i="184" s="1"/>
  <c r="DQ85" i="184"/>
  <c r="DO85" i="184"/>
  <c r="FR65" i="184"/>
  <c r="FU66" i="184" s="1"/>
  <c r="BR34" i="183"/>
  <c r="FR72" i="185"/>
  <c r="FU73" i="185" s="1"/>
  <c r="DY77" i="186"/>
  <c r="DW77" i="186"/>
  <c r="AG33" i="184"/>
  <c r="AH33" i="184" s="1"/>
  <c r="BR14" i="185"/>
  <c r="FC54" i="185"/>
  <c r="FB54" i="185"/>
  <c r="AG19" i="186"/>
  <c r="AH19" i="186" s="1"/>
  <c r="BR20" i="184"/>
  <c r="FC60" i="184"/>
  <c r="FB60" i="184"/>
  <c r="AG15" i="185"/>
  <c r="DY78" i="186"/>
  <c r="DW78" i="186"/>
  <c r="FD37" i="185"/>
  <c r="DP78" i="186"/>
  <c r="DR78" i="186"/>
  <c r="EC82" i="184"/>
  <c r="S42" i="184"/>
  <c r="T42" i="184"/>
  <c r="DV77" i="186"/>
  <c r="DX77" i="186"/>
  <c r="AG18" i="183"/>
  <c r="EN44" i="185"/>
  <c r="FR63" i="185"/>
  <c r="FU64" i="185" s="1"/>
  <c r="AG36" i="184"/>
  <c r="FC71" i="185"/>
  <c r="FB71" i="185"/>
  <c r="BR31" i="185"/>
  <c r="DY85" i="186"/>
  <c r="DW85" i="186"/>
  <c r="AG40" i="184"/>
  <c r="AH40" i="184" s="1"/>
  <c r="FD40" i="184" s="1"/>
  <c r="P23" i="178"/>
  <c r="AO24" i="178"/>
  <c r="AG35" i="185"/>
  <c r="DW74" i="186"/>
  <c r="DY74" i="186"/>
  <c r="EC74" i="186" s="1"/>
  <c r="DW83" i="184"/>
  <c r="DY83" i="184"/>
  <c r="P42" i="179"/>
  <c r="AO43" i="179"/>
  <c r="EZ74" i="184"/>
  <c r="EX74" i="184" s="1"/>
  <c r="FA74" i="184"/>
  <c r="EY74" i="184" s="1"/>
  <c r="AH32" i="184"/>
  <c r="FD32" i="184" s="1"/>
  <c r="AG24" i="184"/>
  <c r="AH24" i="184" s="1"/>
  <c r="EO42" i="185"/>
  <c r="FK83" i="185"/>
  <c r="FJ82" i="185"/>
  <c r="GL34" i="186"/>
  <c r="GM34" i="186" s="1"/>
  <c r="GL42" i="186"/>
  <c r="GM42" i="186" s="1"/>
  <c r="EO45" i="183"/>
  <c r="AH22" i="186"/>
  <c r="FD22" i="186" s="1"/>
  <c r="AH30" i="184"/>
  <c r="FD30" i="184" s="1"/>
  <c r="AH31" i="184"/>
  <c r="FD31" i="184" s="1"/>
  <c r="AH29" i="185"/>
  <c r="FD29" i="185" s="1"/>
  <c r="EM28" i="84"/>
  <c r="AO19" i="230" l="1"/>
  <c r="P18" i="230"/>
  <c r="AO19" i="229"/>
  <c r="P18" i="229"/>
  <c r="AO19" i="228"/>
  <c r="P18" i="228"/>
  <c r="AO19" i="227"/>
  <c r="P18" i="227"/>
  <c r="AO19" i="226"/>
  <c r="P18" i="226"/>
  <c r="AO19" i="225"/>
  <c r="P18" i="225"/>
  <c r="AO19" i="224"/>
  <c r="P18" i="224"/>
  <c r="AO19" i="223"/>
  <c r="P18" i="223"/>
  <c r="AO19" i="222"/>
  <c r="P18" i="222"/>
  <c r="AO19" i="221"/>
  <c r="P18" i="221"/>
  <c r="AO19" i="220"/>
  <c r="P18" i="220"/>
  <c r="AO19" i="219"/>
  <c r="P18" i="219"/>
  <c r="AO19" i="218"/>
  <c r="P18" i="218"/>
  <c r="AO19" i="217"/>
  <c r="P18" i="217"/>
  <c r="AO19" i="216"/>
  <c r="P18" i="216"/>
  <c r="AO19" i="215"/>
  <c r="P18" i="215"/>
  <c r="AO19" i="214"/>
  <c r="P18" i="214"/>
  <c r="AO19" i="213"/>
  <c r="P18" i="213"/>
  <c r="AO19" i="212"/>
  <c r="P18" i="212"/>
  <c r="AO18" i="211"/>
  <c r="P17" i="211"/>
  <c r="AO19" i="210"/>
  <c r="P18" i="210"/>
  <c r="AO19" i="209"/>
  <c r="P18" i="209"/>
  <c r="AO19" i="208"/>
  <c r="P18" i="208"/>
  <c r="AO19" i="207"/>
  <c r="P18" i="207"/>
  <c r="AO19" i="206"/>
  <c r="P18" i="206"/>
  <c r="AO19" i="205"/>
  <c r="P18" i="205"/>
  <c r="AO19" i="204"/>
  <c r="P18" i="204"/>
  <c r="AO19" i="203"/>
  <c r="P18" i="203"/>
  <c r="AO19" i="202"/>
  <c r="P18" i="202"/>
  <c r="AO19" i="201"/>
  <c r="P18" i="201"/>
  <c r="AO19" i="200"/>
  <c r="P18" i="200"/>
  <c r="AO19" i="199"/>
  <c r="P18" i="199"/>
  <c r="AO19" i="198"/>
  <c r="P18" i="198"/>
  <c r="AO19" i="197"/>
  <c r="P18" i="197"/>
  <c r="S44" i="186"/>
  <c r="EC84" i="186"/>
  <c r="S37" i="186"/>
  <c r="T37" i="186"/>
  <c r="V43" i="185"/>
  <c r="EO43" i="185"/>
  <c r="T36" i="186"/>
  <c r="S36" i="186"/>
  <c r="EC76" i="186"/>
  <c r="EP36" i="186" s="1"/>
  <c r="FP64" i="186"/>
  <c r="FO64" i="186"/>
  <c r="FN64" i="186"/>
  <c r="FQ64" i="186"/>
  <c r="FR64" i="186" s="1"/>
  <c r="FU65" i="186" s="1"/>
  <c r="EN41" i="184"/>
  <c r="EN43" i="186"/>
  <c r="EO44" i="186"/>
  <c r="EO41" i="186"/>
  <c r="EO41" i="184"/>
  <c r="EO34" i="186"/>
  <c r="BV45" i="185"/>
  <c r="EO43" i="186"/>
  <c r="EO45" i="186"/>
  <c r="EN45" i="184"/>
  <c r="BT44" i="186"/>
  <c r="BT44" i="184"/>
  <c r="EN42" i="185"/>
  <c r="BT42" i="184"/>
  <c r="AH21" i="183"/>
  <c r="FD21" i="183" s="1"/>
  <c r="FD16" i="186"/>
  <c r="FD16" i="183"/>
  <c r="AH35" i="185"/>
  <c r="FD35" i="185" s="1"/>
  <c r="EO38" i="186"/>
  <c r="EN43" i="184"/>
  <c r="FD20" i="185"/>
  <c r="FD19" i="186"/>
  <c r="BV42" i="185"/>
  <c r="EN45" i="183"/>
  <c r="EO44" i="183"/>
  <c r="BV41" i="185"/>
  <c r="BT40" i="186"/>
  <c r="EO45" i="184"/>
  <c r="FD23" i="183"/>
  <c r="EN35" i="186"/>
  <c r="BV44" i="184"/>
  <c r="EN45" i="185"/>
  <c r="EP40" i="186"/>
  <c r="W40" i="186"/>
  <c r="GB70" i="183"/>
  <c r="FZ70" i="183"/>
  <c r="AH15" i="185"/>
  <c r="FD15" i="185" s="1"/>
  <c r="FD25" i="184"/>
  <c r="EC78" i="186"/>
  <c r="S38" i="186"/>
  <c r="T38" i="186"/>
  <c r="FU82" i="184"/>
  <c r="FT82" i="184" s="1"/>
  <c r="FR82" i="184"/>
  <c r="FS83" i="184" s="1"/>
  <c r="FQ82" i="184"/>
  <c r="FY82" i="184" s="1"/>
  <c r="FN82" i="184"/>
  <c r="FW82" i="184" s="1"/>
  <c r="FV82" i="184" s="1"/>
  <c r="FP82" i="184"/>
  <c r="GA82" i="184" s="1"/>
  <c r="FO82" i="184"/>
  <c r="V41" i="186"/>
  <c r="U41" i="186"/>
  <c r="EC81" i="186"/>
  <c r="EC85" i="184"/>
  <c r="T45" i="184"/>
  <c r="S45" i="184"/>
  <c r="O34" i="182" a="1"/>
  <c r="O34" i="182" s="1"/>
  <c r="FD28" i="185"/>
  <c r="EC84" i="183"/>
  <c r="T44" i="183"/>
  <c r="S44" i="183"/>
  <c r="P24" i="178"/>
  <c r="AO25" i="178"/>
  <c r="P25" i="178" s="1"/>
  <c r="V38" i="186"/>
  <c r="U38" i="186"/>
  <c r="FJ83" i="184"/>
  <c r="FK84" i="184"/>
  <c r="AE41" i="184"/>
  <c r="AD41" i="184"/>
  <c r="EC85" i="185"/>
  <c r="T45" i="185"/>
  <c r="S45" i="185"/>
  <c r="AH22" i="183"/>
  <c r="FD22" i="183" s="1"/>
  <c r="AO38" i="180"/>
  <c r="P37" i="180"/>
  <c r="FX70" i="183"/>
  <c r="AF30" i="183"/>
  <c r="L36" i="182"/>
  <c r="N35" i="182"/>
  <c r="O35" i="182" s="1" a="1"/>
  <c r="O35" i="182" s="1"/>
  <c r="U44" i="183"/>
  <c r="V44" i="183"/>
  <c r="FD19" i="183"/>
  <c r="EO40" i="186"/>
  <c r="FD16" i="184"/>
  <c r="AO54" i="180"/>
  <c r="P53" i="180"/>
  <c r="EO42" i="186"/>
  <c r="EO35" i="186"/>
  <c r="AH20" i="186"/>
  <c r="FD20" i="186" s="1"/>
  <c r="EP33" i="186"/>
  <c r="W33" i="186"/>
  <c r="AH28" i="186"/>
  <c r="FD28" i="186" s="1"/>
  <c r="AH26" i="186"/>
  <c r="FD26" i="186" s="1"/>
  <c r="EO43" i="184"/>
  <c r="EC83" i="185"/>
  <c r="S43" i="185"/>
  <c r="T43" i="185"/>
  <c r="AE30" i="183"/>
  <c r="AD30" i="183"/>
  <c r="V39" i="186"/>
  <c r="U39" i="186"/>
  <c r="EP42" i="186"/>
  <c r="W42" i="186"/>
  <c r="FD36" i="185"/>
  <c r="FD17" i="184"/>
  <c r="AH36" i="184"/>
  <c r="FD36" i="184" s="1"/>
  <c r="EO37" i="186"/>
  <c r="FD24" i="184"/>
  <c r="BT34" i="186"/>
  <c r="AH27" i="186"/>
  <c r="FD27" i="186" s="1"/>
  <c r="FX81" i="184"/>
  <c r="AF41" i="184"/>
  <c r="BV36" i="186"/>
  <c r="V43" i="186"/>
  <c r="U43" i="186"/>
  <c r="AH23" i="186"/>
  <c r="FD23" i="186" s="1"/>
  <c r="EC83" i="184"/>
  <c r="T43" i="184"/>
  <c r="S43" i="184"/>
  <c r="BT41" i="185"/>
  <c r="EP44" i="186"/>
  <c r="W44" i="186"/>
  <c r="FD23" i="184"/>
  <c r="EN44" i="183"/>
  <c r="FU73" i="186"/>
  <c r="FT73" i="186" s="1"/>
  <c r="FR73" i="186"/>
  <c r="FS74" i="186" s="1"/>
  <c r="FQ73" i="186"/>
  <c r="FY73" i="186" s="1"/>
  <c r="FP73" i="186"/>
  <c r="GA73" i="186" s="1"/>
  <c r="FO73" i="186"/>
  <c r="FN73" i="186"/>
  <c r="FW73" i="186" s="1"/>
  <c r="FV73" i="186" s="1"/>
  <c r="AO19" i="179"/>
  <c r="P19" i="179" s="1"/>
  <c r="P18" i="179"/>
  <c r="BT44" i="185"/>
  <c r="V41" i="184"/>
  <c r="U41" i="184"/>
  <c r="EC83" i="186"/>
  <c r="T43" i="186"/>
  <c r="S43" i="186"/>
  <c r="BV33" i="186"/>
  <c r="V43" i="184"/>
  <c r="U43" i="184"/>
  <c r="FK77" i="186"/>
  <c r="FJ76" i="186"/>
  <c r="AH15" i="184"/>
  <c r="FD15" i="184" s="1"/>
  <c r="FR71" i="183"/>
  <c r="FS72" i="183" s="1"/>
  <c r="FQ71" i="183"/>
  <c r="FY71" i="183" s="1"/>
  <c r="FP71" i="183"/>
  <c r="GA71" i="183" s="1"/>
  <c r="FO71" i="183"/>
  <c r="FN71" i="183"/>
  <c r="FW71" i="183" s="1"/>
  <c r="FV71" i="183" s="1"/>
  <c r="FU71" i="183"/>
  <c r="FT71" i="183" s="1"/>
  <c r="FQ81" i="185"/>
  <c r="FY81" i="185" s="1"/>
  <c r="FP81" i="185"/>
  <c r="GA81" i="185" s="1"/>
  <c r="FO81" i="185"/>
  <c r="FN81" i="185"/>
  <c r="FW81" i="185" s="1"/>
  <c r="FV81" i="185" s="1"/>
  <c r="FU81" i="185"/>
  <c r="FT81" i="185" s="1"/>
  <c r="FR81" i="185"/>
  <c r="FS82" i="185" s="1"/>
  <c r="P18" i="178"/>
  <c r="AO19" i="178"/>
  <c r="W41" i="185"/>
  <c r="EP41" i="185"/>
  <c r="EP44" i="185"/>
  <c r="W44" i="185"/>
  <c r="AH19" i="184"/>
  <c r="FD19" i="184" s="1"/>
  <c r="FD17" i="183"/>
  <c r="U40" i="186"/>
  <c r="V40" i="186"/>
  <c r="AH27" i="185"/>
  <c r="FD27" i="185" s="1"/>
  <c r="U34" i="186"/>
  <c r="V34" i="186"/>
  <c r="V45" i="186"/>
  <c r="U45" i="186"/>
  <c r="EC85" i="186"/>
  <c r="FD33" i="184"/>
  <c r="P47" i="178"/>
  <c r="AO48" i="178"/>
  <c r="P48" i="178" s="1"/>
  <c r="GB81" i="184"/>
  <c r="FZ81" i="184"/>
  <c r="FD37" i="184"/>
  <c r="BV43" i="185"/>
  <c r="AH39" i="185"/>
  <c r="FD39" i="185" s="1"/>
  <c r="AO39" i="179"/>
  <c r="P39" i="179" s="1"/>
  <c r="P38" i="179"/>
  <c r="P48" i="181"/>
  <c r="AO49" i="181"/>
  <c r="FD26" i="183"/>
  <c r="BV44" i="185"/>
  <c r="T41" i="184"/>
  <c r="S41" i="184"/>
  <c r="EC81" i="184"/>
  <c r="BV45" i="183"/>
  <c r="EN38" i="186"/>
  <c r="V45" i="184"/>
  <c r="U45" i="184"/>
  <c r="EC75" i="186"/>
  <c r="T35" i="186"/>
  <c r="S35" i="186"/>
  <c r="EO39" i="186"/>
  <c r="U44" i="186"/>
  <c r="V44" i="186"/>
  <c r="AH31" i="186"/>
  <c r="FD31" i="186" s="1"/>
  <c r="BT39" i="186"/>
  <c r="EP44" i="184"/>
  <c r="W44" i="184"/>
  <c r="FK84" i="185"/>
  <c r="FJ83" i="185"/>
  <c r="EP34" i="186"/>
  <c r="W34" i="186"/>
  <c r="P43" i="179"/>
  <c r="AO44" i="179"/>
  <c r="FK75" i="183"/>
  <c r="FJ74" i="183"/>
  <c r="V35" i="186"/>
  <c r="U35" i="186"/>
  <c r="AH18" i="183"/>
  <c r="FD18" i="183" s="1"/>
  <c r="EP42" i="184"/>
  <c r="W42" i="184"/>
  <c r="V37" i="186"/>
  <c r="U37" i="186"/>
  <c r="EC77" i="186"/>
  <c r="T45" i="183"/>
  <c r="S45" i="183"/>
  <c r="EC85" i="183"/>
  <c r="P53" i="178"/>
  <c r="AO54" i="178"/>
  <c r="EN43" i="185"/>
  <c r="EC82" i="185"/>
  <c r="S42" i="185"/>
  <c r="T42" i="185"/>
  <c r="V42" i="186"/>
  <c r="U42" i="186"/>
  <c r="BT42" i="186"/>
  <c r="EC79" i="186"/>
  <c r="U2" i="13"/>
  <c r="P19" i="230" l="1"/>
  <c r="AO20" i="230"/>
  <c r="P19" i="229"/>
  <c r="AO20" i="229"/>
  <c r="P19" i="228"/>
  <c r="AO20" i="228"/>
  <c r="P19" i="227"/>
  <c r="AO20" i="227"/>
  <c r="P19" i="226"/>
  <c r="AO20" i="226"/>
  <c r="AO20" i="225"/>
  <c r="P19" i="225"/>
  <c r="P19" i="224"/>
  <c r="AO20" i="224"/>
  <c r="P19" i="223"/>
  <c r="AO20" i="223"/>
  <c r="P19" i="222"/>
  <c r="AO20" i="222"/>
  <c r="P19" i="221"/>
  <c r="AO20" i="221"/>
  <c r="P19" i="220"/>
  <c r="AO20" i="220"/>
  <c r="P19" i="219"/>
  <c r="AO20" i="219"/>
  <c r="P19" i="218"/>
  <c r="AO20" i="218"/>
  <c r="P19" i="217"/>
  <c r="AO20" i="217"/>
  <c r="P19" i="216"/>
  <c r="AO20" i="216"/>
  <c r="P19" i="215"/>
  <c r="AO20" i="215"/>
  <c r="P19" i="214"/>
  <c r="AO20" i="214"/>
  <c r="P19" i="213"/>
  <c r="AO20" i="213"/>
  <c r="P19" i="212"/>
  <c r="AO20" i="212"/>
  <c r="AO19" i="211"/>
  <c r="P18" i="211"/>
  <c r="AO21" i="211"/>
  <c r="P19" i="210"/>
  <c r="AO20" i="210"/>
  <c r="P19" i="209"/>
  <c r="AO20" i="209"/>
  <c r="P19" i="208"/>
  <c r="AO20" i="208"/>
  <c r="P19" i="207"/>
  <c r="AO20" i="207"/>
  <c r="P19" i="206"/>
  <c r="AO20" i="206"/>
  <c r="P19" i="205"/>
  <c r="AO20" i="205"/>
  <c r="P19" i="204"/>
  <c r="AO20" i="204"/>
  <c r="P19" i="203"/>
  <c r="AO20" i="203"/>
  <c r="P19" i="202"/>
  <c r="AO20" i="202"/>
  <c r="P19" i="201"/>
  <c r="AO20" i="201"/>
  <c r="P19" i="200"/>
  <c r="AO20" i="200"/>
  <c r="P19" i="199"/>
  <c r="AO20" i="199"/>
  <c r="P19" i="198"/>
  <c r="AO20" i="198"/>
  <c r="P19" i="197"/>
  <c r="AO20" i="197"/>
  <c r="BT37" i="186"/>
  <c r="BT36" i="186"/>
  <c r="W36" i="186"/>
  <c r="FX64" i="186"/>
  <c r="AG24" i="186" s="1"/>
  <c r="AH24" i="186" s="1"/>
  <c r="AF24" i="186"/>
  <c r="BT45" i="183"/>
  <c r="BV42" i="186"/>
  <c r="BV38" i="186"/>
  <c r="BT44" i="183"/>
  <c r="BV41" i="186"/>
  <c r="BT43" i="186"/>
  <c r="BT45" i="185"/>
  <c r="BV43" i="184"/>
  <c r="BT43" i="185"/>
  <c r="BT38" i="186"/>
  <c r="EP35" i="186"/>
  <c r="W35" i="186"/>
  <c r="P54" i="180"/>
  <c r="AO55" i="180"/>
  <c r="P55" i="180" s="1"/>
  <c r="P38" i="180"/>
  <c r="AO39" i="180"/>
  <c r="P39" i="180" s="1"/>
  <c r="EP45" i="184"/>
  <c r="W45" i="184"/>
  <c r="FX82" i="184"/>
  <c r="AF42" i="184"/>
  <c r="P54" i="178"/>
  <c r="AO55" i="178"/>
  <c r="P55" i="178" s="1"/>
  <c r="AO45" i="179"/>
  <c r="P45" i="179" s="1"/>
  <c r="P44" i="179"/>
  <c r="AJ41" i="184"/>
  <c r="AI41" i="184"/>
  <c r="FO82" i="185"/>
  <c r="FN82" i="185"/>
  <c r="FW82" i="185" s="1"/>
  <c r="FV82" i="185" s="1"/>
  <c r="FU82" i="185"/>
  <c r="FT82" i="185" s="1"/>
  <c r="FQ82" i="185"/>
  <c r="FY82" i="185" s="1"/>
  <c r="FR82" i="185"/>
  <c r="FS83" i="185" s="1"/>
  <c r="FP82" i="185"/>
  <c r="GA82" i="185" s="1"/>
  <c r="BV41" i="184"/>
  <c r="FQ74" i="186"/>
  <c r="FY74" i="186" s="1"/>
  <c r="FP74" i="186"/>
  <c r="GA74" i="186" s="1"/>
  <c r="FO74" i="186"/>
  <c r="FN74" i="186"/>
  <c r="FW74" i="186" s="1"/>
  <c r="FV74" i="186" s="1"/>
  <c r="FU74" i="186"/>
  <c r="FT74" i="186" s="1"/>
  <c r="FR74" i="186"/>
  <c r="FS75" i="186" s="1"/>
  <c r="FC30" i="183"/>
  <c r="BV44" i="183"/>
  <c r="EP41" i="186"/>
  <c r="W41" i="186"/>
  <c r="EP45" i="183"/>
  <c r="W45" i="183"/>
  <c r="AD41" i="185"/>
  <c r="AE41" i="185"/>
  <c r="FX71" i="183"/>
  <c r="AF31" i="183"/>
  <c r="EP43" i="185"/>
  <c r="W43" i="185"/>
  <c r="L37" i="182"/>
  <c r="N36" i="182"/>
  <c r="AH30" i="183"/>
  <c r="AG30" i="183"/>
  <c r="GB82" i="184"/>
  <c r="FZ82" i="184"/>
  <c r="W38" i="186"/>
  <c r="EP38" i="186"/>
  <c r="AI30" i="183"/>
  <c r="AJ30" i="183"/>
  <c r="AO20" i="178"/>
  <c r="P20" i="178" s="1"/>
  <c r="P19" i="178"/>
  <c r="FZ73" i="186"/>
  <c r="GB73" i="186"/>
  <c r="W41" i="184"/>
  <c r="EP41" i="184"/>
  <c r="EP39" i="186"/>
  <c r="W39" i="186"/>
  <c r="BT42" i="185"/>
  <c r="BT41" i="184"/>
  <c r="P49" i="181"/>
  <c r="AO50" i="181"/>
  <c r="EP45" i="186"/>
  <c r="W45" i="186"/>
  <c r="BV40" i="186"/>
  <c r="FX81" i="185"/>
  <c r="AF41" i="185"/>
  <c r="BT43" i="184"/>
  <c r="FR83" i="184"/>
  <c r="FS84" i="184" s="1"/>
  <c r="FQ83" i="184"/>
  <c r="FY83" i="184" s="1"/>
  <c r="FP83" i="184"/>
  <c r="GA83" i="184" s="1"/>
  <c r="FO83" i="184"/>
  <c r="FU83" i="184"/>
  <c r="FT83" i="184" s="1"/>
  <c r="FN83" i="184"/>
  <c r="FW83" i="184" s="1"/>
  <c r="FV83" i="184" s="1"/>
  <c r="AE42" i="184"/>
  <c r="AD42" i="184"/>
  <c r="BV44" i="186"/>
  <c r="EP42" i="185"/>
  <c r="W42" i="185"/>
  <c r="EP37" i="186"/>
  <c r="W37" i="186"/>
  <c r="BV35" i="186"/>
  <c r="FJ75" i="183"/>
  <c r="FK76" i="183"/>
  <c r="BT35" i="186"/>
  <c r="BV45" i="186"/>
  <c r="FZ71" i="183"/>
  <c r="GB71" i="183"/>
  <c r="W43" i="186"/>
  <c r="EP43" i="186"/>
  <c r="AD33" i="186"/>
  <c r="AE33" i="186"/>
  <c r="BV43" i="186"/>
  <c r="EP45" i="185"/>
  <c r="W45" i="185"/>
  <c r="EP44" i="183"/>
  <c r="W44" i="183"/>
  <c r="AH41" i="184"/>
  <c r="AG41" i="184"/>
  <c r="BV34" i="186"/>
  <c r="AE31" i="183"/>
  <c r="AD31" i="183"/>
  <c r="FK85" i="184"/>
  <c r="FJ85" i="184" s="1"/>
  <c r="FJ84" i="184"/>
  <c r="BV37" i="186"/>
  <c r="FJ84" i="185"/>
  <c r="FK85" i="185"/>
  <c r="FJ85" i="185" s="1"/>
  <c r="BV45" i="184"/>
  <c r="GB81" i="185"/>
  <c r="FZ81" i="185"/>
  <c r="FQ72" i="183"/>
  <c r="FY72" i="183" s="1"/>
  <c r="FP72" i="183"/>
  <c r="GA72" i="183" s="1"/>
  <c r="FO72" i="183"/>
  <c r="FN72" i="183"/>
  <c r="FW72" i="183" s="1"/>
  <c r="FV72" i="183" s="1"/>
  <c r="FU72" i="183"/>
  <c r="FT72" i="183" s="1"/>
  <c r="FR72" i="183"/>
  <c r="FS73" i="183" s="1"/>
  <c r="FK78" i="186"/>
  <c r="FJ77" i="186"/>
  <c r="FX73" i="186"/>
  <c r="AF33" i="186"/>
  <c r="EP43" i="184"/>
  <c r="W43" i="184"/>
  <c r="BV39" i="186"/>
  <c r="FC41" i="184"/>
  <c r="BT45" i="184"/>
  <c r="AD3" i="13"/>
  <c r="P20" i="230" l="1"/>
  <c r="AO21" i="230"/>
  <c r="P20" i="229"/>
  <c r="AO21" i="229"/>
  <c r="P20" i="228"/>
  <c r="AO21" i="228"/>
  <c r="P20" i="227"/>
  <c r="AO21" i="227"/>
  <c r="P20" i="226"/>
  <c r="AO21" i="226"/>
  <c r="P20" i="225"/>
  <c r="AO21" i="225"/>
  <c r="P20" i="224"/>
  <c r="AO21" i="224"/>
  <c r="P20" i="223"/>
  <c r="AO21" i="223"/>
  <c r="P20" i="222"/>
  <c r="AO21" i="222"/>
  <c r="P20" i="221"/>
  <c r="AO21" i="221"/>
  <c r="P20" i="220"/>
  <c r="AO21" i="220"/>
  <c r="P20" i="219"/>
  <c r="AO21" i="219"/>
  <c r="P20" i="218"/>
  <c r="AO21" i="218"/>
  <c r="P20" i="217"/>
  <c r="AO21" i="217"/>
  <c r="P20" i="216"/>
  <c r="AO21" i="216"/>
  <c r="P20" i="215"/>
  <c r="AO21" i="215"/>
  <c r="P20" i="214"/>
  <c r="AO21" i="214"/>
  <c r="P20" i="213"/>
  <c r="AO21" i="213"/>
  <c r="P20" i="212"/>
  <c r="AO21" i="212"/>
  <c r="P19" i="211"/>
  <c r="AO20" i="211"/>
  <c r="P20" i="211" s="1"/>
  <c r="AO22" i="211"/>
  <c r="P21" i="211"/>
  <c r="P20" i="210"/>
  <c r="AO21" i="210"/>
  <c r="P20" i="209"/>
  <c r="AO21" i="209"/>
  <c r="P20" i="208"/>
  <c r="AO21" i="208"/>
  <c r="P20" i="207"/>
  <c r="AO21" i="207"/>
  <c r="P20" i="206"/>
  <c r="AO21" i="206"/>
  <c r="P20" i="205"/>
  <c r="AO21" i="205"/>
  <c r="P20" i="204"/>
  <c r="AO21" i="204"/>
  <c r="P20" i="203"/>
  <c r="AO21" i="203"/>
  <c r="P20" i="202"/>
  <c r="AO21" i="202"/>
  <c r="P20" i="201"/>
  <c r="AO21" i="201"/>
  <c r="P20" i="200"/>
  <c r="AO21" i="200"/>
  <c r="P20" i="199"/>
  <c r="AO21" i="199"/>
  <c r="P20" i="198"/>
  <c r="AO21" i="198"/>
  <c r="P20" i="197"/>
  <c r="AO21" i="197"/>
  <c r="P56" i="179"/>
  <c r="FD24" i="186"/>
  <c r="FD30" i="183"/>
  <c r="P56" i="180"/>
  <c r="FD41" i="184"/>
  <c r="BW30" i="183"/>
  <c r="BX30" i="183" s="1"/>
  <c r="BY30" i="183" s="1"/>
  <c r="FE41" i="184"/>
  <c r="FZ83" i="184"/>
  <c r="GB83" i="184"/>
  <c r="FK79" i="186"/>
  <c r="FJ78" i="186"/>
  <c r="FX72" i="183"/>
  <c r="AF32" i="183"/>
  <c r="FC41" i="185"/>
  <c r="FQ75" i="186"/>
  <c r="FY75" i="186" s="1"/>
  <c r="FO75" i="186"/>
  <c r="FN75" i="186"/>
  <c r="FW75" i="186" s="1"/>
  <c r="FV75" i="186" s="1"/>
  <c r="FU75" i="186"/>
  <c r="FT75" i="186" s="1"/>
  <c r="FR75" i="186"/>
  <c r="FS76" i="186" s="1"/>
  <c r="FP75" i="186"/>
  <c r="GA75" i="186" s="1"/>
  <c r="FU83" i="185"/>
  <c r="FT83" i="185" s="1"/>
  <c r="FR83" i="185"/>
  <c r="FS84" i="185" s="1"/>
  <c r="FQ83" i="185"/>
  <c r="FY83" i="185" s="1"/>
  <c r="FO83" i="185"/>
  <c r="FP83" i="185"/>
  <c r="GA83" i="185" s="1"/>
  <c r="FN83" i="185"/>
  <c r="FW83" i="185" s="1"/>
  <c r="FV83" i="185" s="1"/>
  <c r="AH42" i="184"/>
  <c r="AG42" i="184"/>
  <c r="BW41" i="184"/>
  <c r="BX41" i="184" s="1"/>
  <c r="FE30" i="183"/>
  <c r="O36" i="182" a="1"/>
  <c r="O36" i="182" s="1"/>
  <c r="FX74" i="186"/>
  <c r="AF34" i="186"/>
  <c r="AE42" i="185"/>
  <c r="AD42" i="185"/>
  <c r="GB72" i="183"/>
  <c r="FZ72" i="183"/>
  <c r="N37" i="182"/>
  <c r="O37" i="182" s="1" a="1"/>
  <c r="O37" i="182" s="1"/>
  <c r="L38" i="182"/>
  <c r="FX82" i="185"/>
  <c r="AF42" i="185"/>
  <c r="GB82" i="185"/>
  <c r="FZ82" i="185"/>
  <c r="FQ84" i="184"/>
  <c r="FY84" i="184" s="1"/>
  <c r="FP84" i="184"/>
  <c r="GA84" i="184" s="1"/>
  <c r="FO84" i="184"/>
  <c r="FN84" i="184"/>
  <c r="FW84" i="184" s="1"/>
  <c r="FV84" i="184" s="1"/>
  <c r="FU84" i="184"/>
  <c r="FT84" i="184" s="1"/>
  <c r="FR84" i="184"/>
  <c r="FS85" i="184" s="1"/>
  <c r="AE34" i="186"/>
  <c r="AD34" i="186"/>
  <c r="FC33" i="186"/>
  <c r="GK81" i="184"/>
  <c r="FO73" i="183"/>
  <c r="FN73" i="183"/>
  <c r="FW73" i="183" s="1"/>
  <c r="FV73" i="183" s="1"/>
  <c r="FU73" i="183"/>
  <c r="FT73" i="183" s="1"/>
  <c r="FR73" i="183"/>
  <c r="FS74" i="183" s="1"/>
  <c r="FQ73" i="183"/>
  <c r="FY73" i="183" s="1"/>
  <c r="FP73" i="183"/>
  <c r="GA73" i="183" s="1"/>
  <c r="FC31" i="183"/>
  <c r="AI31" i="183"/>
  <c r="AJ31" i="183"/>
  <c r="AE43" i="184"/>
  <c r="AD43" i="184"/>
  <c r="GB74" i="186"/>
  <c r="FZ74" i="186"/>
  <c r="FC42" i="184"/>
  <c r="AJ41" i="185"/>
  <c r="AI41" i="185"/>
  <c r="FK77" i="183"/>
  <c r="FJ76" i="183"/>
  <c r="AH41" i="185"/>
  <c r="AG41" i="185"/>
  <c r="AO51" i="181"/>
  <c r="P50" i="181"/>
  <c r="AJ33" i="186"/>
  <c r="AI33" i="186"/>
  <c r="AI42" i="184"/>
  <c r="AJ42" i="184"/>
  <c r="AH31" i="183"/>
  <c r="AG31" i="183"/>
  <c r="AH33" i="186"/>
  <c r="AG33" i="186"/>
  <c r="AE32" i="183"/>
  <c r="AD32" i="183"/>
  <c r="FX83" i="184"/>
  <c r="AF43" i="184"/>
  <c r="GK70" i="183"/>
  <c r="P56" i="178"/>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AO22" i="230" l="1"/>
  <c r="P21" i="230"/>
  <c r="AO22" i="229"/>
  <c r="P21" i="229"/>
  <c r="AO22" i="228"/>
  <c r="P21" i="228"/>
  <c r="AO22" i="227"/>
  <c r="P21" i="227"/>
  <c r="AO22" i="226"/>
  <c r="P21" i="226"/>
  <c r="AO22" i="225"/>
  <c r="P21" i="225"/>
  <c r="AO22" i="224"/>
  <c r="P21" i="224"/>
  <c r="AO22" i="223"/>
  <c r="P21" i="223"/>
  <c r="AO22" i="222"/>
  <c r="P21" i="222"/>
  <c r="AO22" i="221"/>
  <c r="P21" i="221"/>
  <c r="AO22" i="220"/>
  <c r="P21" i="220"/>
  <c r="AO22" i="219"/>
  <c r="P21" i="219"/>
  <c r="AO22" i="218"/>
  <c r="P21" i="218"/>
  <c r="AO22" i="217"/>
  <c r="P21" i="217"/>
  <c r="AO22" i="216"/>
  <c r="P21" i="216"/>
  <c r="AO22" i="215"/>
  <c r="P21" i="215"/>
  <c r="P21" i="214"/>
  <c r="AO22" i="214"/>
  <c r="AO22" i="213"/>
  <c r="P21" i="213"/>
  <c r="AO22" i="212"/>
  <c r="P21" i="212"/>
  <c r="AO23" i="211"/>
  <c r="P22" i="211"/>
  <c r="P21" i="210"/>
  <c r="AO22" i="210"/>
  <c r="AO22" i="209"/>
  <c r="P21" i="209"/>
  <c r="AO22" i="208"/>
  <c r="P21" i="208"/>
  <c r="AO22" i="207"/>
  <c r="P21" i="207"/>
  <c r="AO22" i="206"/>
  <c r="P21" i="206"/>
  <c r="AO22" i="205"/>
  <c r="P21" i="205"/>
  <c r="P21" i="204"/>
  <c r="AO22" i="204"/>
  <c r="AO22" i="203"/>
  <c r="P21" i="203"/>
  <c r="AO22" i="202"/>
  <c r="P21" i="202"/>
  <c r="AO22" i="201"/>
  <c r="P21" i="201"/>
  <c r="AO22" i="200"/>
  <c r="P21" i="200"/>
  <c r="AO22" i="199"/>
  <c r="P21" i="199"/>
  <c r="AO22" i="198"/>
  <c r="P21" i="198"/>
  <c r="AO22" i="197"/>
  <c r="P21" i="197"/>
  <c r="FD33" i="186"/>
  <c r="GK82" i="184"/>
  <c r="FE41" i="185"/>
  <c r="BW31" i="183"/>
  <c r="BX31" i="183" s="1"/>
  <c r="BY31" i="183" s="1"/>
  <c r="BW41" i="185"/>
  <c r="BX41" i="185" s="1"/>
  <c r="FB41" i="185" s="1"/>
  <c r="FA41" i="185" s="1"/>
  <c r="FE33" i="186"/>
  <c r="FD42" i="184"/>
  <c r="GK81" i="185"/>
  <c r="BW42" i="184"/>
  <c r="BX42" i="184" s="1"/>
  <c r="FB42" i="184" s="1"/>
  <c r="FA42" i="184" s="1"/>
  <c r="FB30" i="183"/>
  <c r="FA30" i="183" s="1"/>
  <c r="FD31" i="183"/>
  <c r="FD41" i="185"/>
  <c r="GB73" i="183"/>
  <c r="FZ73" i="183"/>
  <c r="FU74" i="183"/>
  <c r="FT74" i="183" s="1"/>
  <c r="FR74" i="183"/>
  <c r="FS75" i="183" s="1"/>
  <c r="FQ74" i="183"/>
  <c r="FY74" i="183" s="1"/>
  <c r="FP74" i="183"/>
  <c r="GA74" i="183" s="1"/>
  <c r="FO74" i="183"/>
  <c r="FN74" i="183"/>
  <c r="FW74" i="183" s="1"/>
  <c r="FV74" i="183" s="1"/>
  <c r="AE43" i="185"/>
  <c r="AD43" i="185"/>
  <c r="P51" i="181"/>
  <c r="AO52" i="181"/>
  <c r="FC43" i="184"/>
  <c r="N38" i="182"/>
  <c r="O38" i="182" s="1" a="1"/>
  <c r="O38" i="182" s="1"/>
  <c r="L39" i="182"/>
  <c r="AD35" i="186"/>
  <c r="AE35" i="186"/>
  <c r="AG32" i="183"/>
  <c r="AH32" i="183"/>
  <c r="FE31" i="183"/>
  <c r="AH34" i="186"/>
  <c r="AG34" i="186"/>
  <c r="FC32" i="183"/>
  <c r="AE33" i="183"/>
  <c r="AD33" i="183"/>
  <c r="GK73" i="186"/>
  <c r="FZ84" i="184"/>
  <c r="GB84" i="184"/>
  <c r="FX83" i="185"/>
  <c r="AF43" i="185"/>
  <c r="FX75" i="186"/>
  <c r="AF35" i="186"/>
  <c r="AJ43" i="184"/>
  <c r="AI43" i="184"/>
  <c r="AH43" i="184"/>
  <c r="AG43" i="184"/>
  <c r="BW33" i="186"/>
  <c r="BX33" i="186" s="1"/>
  <c r="FK78" i="183"/>
  <c r="FJ77" i="183"/>
  <c r="AF33" i="183"/>
  <c r="FX73" i="183"/>
  <c r="FC34" i="186"/>
  <c r="GB83" i="185"/>
  <c r="FZ83" i="185"/>
  <c r="GB75" i="186"/>
  <c r="FZ75" i="186"/>
  <c r="AJ34" i="186"/>
  <c r="AI34" i="186"/>
  <c r="FO76" i="186"/>
  <c r="FU76" i="186"/>
  <c r="FT76" i="186" s="1"/>
  <c r="FP76" i="186"/>
  <c r="GA76" i="186" s="1"/>
  <c r="FN76" i="186"/>
  <c r="FW76" i="186" s="1"/>
  <c r="FV76" i="186" s="1"/>
  <c r="FQ76" i="186"/>
  <c r="FY76" i="186" s="1"/>
  <c r="FR76" i="186"/>
  <c r="FS77" i="186" s="1"/>
  <c r="GK71" i="183"/>
  <c r="FC42" i="185"/>
  <c r="BY41" i="184"/>
  <c r="FB41" i="184"/>
  <c r="FA41" i="184" s="1"/>
  <c r="FR84" i="185"/>
  <c r="FS85" i="185" s="1"/>
  <c r="FQ84" i="185"/>
  <c r="FY84" i="185" s="1"/>
  <c r="FP84" i="185"/>
  <c r="GA84" i="185" s="1"/>
  <c r="FO84" i="185"/>
  <c r="FU84" i="185"/>
  <c r="FT84" i="185" s="1"/>
  <c r="FN84" i="185"/>
  <c r="FW84" i="185" s="1"/>
  <c r="FV84" i="185" s="1"/>
  <c r="FK80" i="186"/>
  <c r="FJ79" i="186"/>
  <c r="AI42" i="185"/>
  <c r="AJ42" i="185"/>
  <c r="AJ32" i="183"/>
  <c r="AI32" i="183"/>
  <c r="AE44" i="184"/>
  <c r="AD44" i="184"/>
  <c r="FX84" i="184"/>
  <c r="AF44" i="184"/>
  <c r="FE42" i="184"/>
  <c r="FO85" i="184"/>
  <c r="FN85" i="184"/>
  <c r="FW85" i="184" s="1"/>
  <c r="FV85" i="184" s="1"/>
  <c r="FU85" i="184"/>
  <c r="FT85" i="184" s="1"/>
  <c r="FP85" i="184"/>
  <c r="GA85" i="184" s="1"/>
  <c r="FR85" i="184"/>
  <c r="FQ85" i="184"/>
  <c r="FY85" i="184" s="1"/>
  <c r="AH42" i="185"/>
  <c r="AG42" i="185"/>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O23" i="230" l="1"/>
  <c r="P22" i="230"/>
  <c r="AO23" i="229"/>
  <c r="P22" i="229"/>
  <c r="AO23" i="228"/>
  <c r="P22" i="228"/>
  <c r="AO23" i="227"/>
  <c r="P22" i="227"/>
  <c r="AO23" i="226"/>
  <c r="P22" i="226"/>
  <c r="AO23" i="225"/>
  <c r="P22" i="225"/>
  <c r="AO23" i="224"/>
  <c r="P22" i="224"/>
  <c r="AO23" i="223"/>
  <c r="P22" i="223"/>
  <c r="AO23" i="222"/>
  <c r="P22" i="222"/>
  <c r="AO23" i="221"/>
  <c r="P22" i="221"/>
  <c r="AO23" i="220"/>
  <c r="P22" i="220"/>
  <c r="AO23" i="219"/>
  <c r="P22" i="219"/>
  <c r="AO23" i="218"/>
  <c r="P22" i="218"/>
  <c r="AO23" i="217"/>
  <c r="P22" i="217"/>
  <c r="AO23" i="216"/>
  <c r="P22" i="216"/>
  <c r="AO23" i="215"/>
  <c r="P22" i="215"/>
  <c r="AO23" i="214"/>
  <c r="P22" i="214"/>
  <c r="AO23" i="213"/>
  <c r="P22" i="213"/>
  <c r="AO23" i="212"/>
  <c r="P22" i="212"/>
  <c r="P23" i="211"/>
  <c r="AO24" i="211"/>
  <c r="AO23" i="210"/>
  <c r="P22" i="210"/>
  <c r="AO23" i="209"/>
  <c r="P22" i="209"/>
  <c r="AO23" i="208"/>
  <c r="P22" i="208"/>
  <c r="AO23" i="207"/>
  <c r="P22" i="207"/>
  <c r="AO23" i="206"/>
  <c r="P22" i="206"/>
  <c r="AO23" i="205"/>
  <c r="P22" i="205"/>
  <c r="AO23" i="204"/>
  <c r="P22" i="204"/>
  <c r="AO23" i="203"/>
  <c r="P22" i="203"/>
  <c r="AO23" i="202"/>
  <c r="P22" i="202"/>
  <c r="AO23" i="201"/>
  <c r="P22" i="201"/>
  <c r="AO23" i="200"/>
  <c r="P22" i="200"/>
  <c r="AO23" i="199"/>
  <c r="P22" i="199"/>
  <c r="AO23" i="198"/>
  <c r="P22" i="198"/>
  <c r="AO23" i="197"/>
  <c r="P22" i="197"/>
  <c r="BY41" i="185"/>
  <c r="FB31" i="183"/>
  <c r="FA31" i="183" s="1"/>
  <c r="FD43" i="184"/>
  <c r="GK72" i="183"/>
  <c r="FD34" i="186"/>
  <c r="BW42" i="185"/>
  <c r="BX42" i="185" s="1"/>
  <c r="FB42" i="185" s="1"/>
  <c r="FA42" i="185" s="1"/>
  <c r="FE43" i="184"/>
  <c r="BW32" i="183"/>
  <c r="BX32" i="183" s="1"/>
  <c r="FB32" i="183" s="1"/>
  <c r="FA32" i="183" s="1"/>
  <c r="BW34" i="186"/>
  <c r="BX34" i="186" s="1"/>
  <c r="BY34" i="186" s="1"/>
  <c r="FD42" i="185"/>
  <c r="BY42" i="184"/>
  <c r="FE34" i="186"/>
  <c r="FD32" i="183"/>
  <c r="FX85" i="184"/>
  <c r="AF45" i="184"/>
  <c r="BY33" i="186"/>
  <c r="FB33" i="186"/>
  <c r="FA33" i="186" s="1"/>
  <c r="N39" i="182"/>
  <c r="O39" i="182" s="1" a="1"/>
  <c r="O39" i="182" s="1"/>
  <c r="L40" i="182"/>
  <c r="AJ33" i="183"/>
  <c r="AI33" i="183"/>
  <c r="AG44" i="184"/>
  <c r="AH44" i="184"/>
  <c r="FK81" i="186"/>
  <c r="FJ80" i="186"/>
  <c r="FU77" i="186"/>
  <c r="FT77" i="186" s="1"/>
  <c r="FR77" i="186"/>
  <c r="FS78" i="186" s="1"/>
  <c r="FQ77" i="186"/>
  <c r="FY77" i="186" s="1"/>
  <c r="FP77" i="186"/>
  <c r="GA77" i="186" s="1"/>
  <c r="FN77" i="186"/>
  <c r="FW77" i="186" s="1"/>
  <c r="FV77" i="186" s="1"/>
  <c r="FO77" i="186"/>
  <c r="FE42" i="185"/>
  <c r="GB76" i="186"/>
  <c r="FZ76" i="186"/>
  <c r="AJ35" i="186"/>
  <c r="AI35" i="186"/>
  <c r="GK74" i="186"/>
  <c r="AJ44" i="184"/>
  <c r="AI44" i="184"/>
  <c r="BW43" i="184"/>
  <c r="BX43" i="184" s="1"/>
  <c r="AE34" i="183"/>
  <c r="AD34" i="183"/>
  <c r="FR75" i="183"/>
  <c r="FS76" i="183" s="1"/>
  <c r="FQ75" i="183"/>
  <c r="FY75" i="183" s="1"/>
  <c r="FP75" i="183"/>
  <c r="GA75" i="183" s="1"/>
  <c r="FO75" i="183"/>
  <c r="FU75" i="183"/>
  <c r="FT75" i="183" s="1"/>
  <c r="FN75" i="183"/>
  <c r="FW75" i="183" s="1"/>
  <c r="FV75" i="183" s="1"/>
  <c r="AE44" i="185"/>
  <c r="AD44" i="185"/>
  <c r="AE36" i="186"/>
  <c r="AD36" i="186"/>
  <c r="AG33" i="183"/>
  <c r="AH33" i="183"/>
  <c r="GK83" i="184"/>
  <c r="FX74" i="183"/>
  <c r="AF34" i="183"/>
  <c r="FX76" i="186"/>
  <c r="AF36" i="186"/>
  <c r="FK79" i="183"/>
  <c r="FJ78" i="183"/>
  <c r="FC43" i="185"/>
  <c r="GJ85" i="184"/>
  <c r="GJ84" i="184" s="1"/>
  <c r="GJ83" i="184" s="1"/>
  <c r="GJ82" i="184" s="1"/>
  <c r="GJ81" i="184" s="1"/>
  <c r="GB85" i="184"/>
  <c r="FZ85" i="184"/>
  <c r="FC44" i="184"/>
  <c r="FE32" i="183"/>
  <c r="FX84" i="185"/>
  <c r="AF44" i="185"/>
  <c r="FC33" i="183"/>
  <c r="FZ84" i="185"/>
  <c r="GB84" i="185"/>
  <c r="FQ85" i="185"/>
  <c r="FY85" i="185" s="1"/>
  <c r="FP85" i="185"/>
  <c r="GA85" i="185" s="1"/>
  <c r="FO85" i="185"/>
  <c r="FN85" i="185"/>
  <c r="FW85" i="185" s="1"/>
  <c r="FV85" i="185" s="1"/>
  <c r="FU85" i="185"/>
  <c r="FT85" i="185" s="1"/>
  <c r="FR85" i="185"/>
  <c r="AH43" i="185"/>
  <c r="AG43" i="185"/>
  <c r="FC35" i="186"/>
  <c r="AE45" i="184"/>
  <c r="AD45" i="184"/>
  <c r="GK82" i="185"/>
  <c r="AI43" i="185"/>
  <c r="AJ43" i="185"/>
  <c r="AH35" i="186"/>
  <c r="AG35" i="186"/>
  <c r="AO53" i="181"/>
  <c r="P52" i="181"/>
  <c r="GB74" i="183"/>
  <c r="FZ74" i="183"/>
  <c r="O13" i="80" a="1"/>
  <c r="O13" i="80" s="1"/>
  <c r="P23" i="230" l="1"/>
  <c r="AO24" i="230"/>
  <c r="P23" i="229"/>
  <c r="AO24" i="229"/>
  <c r="P23" i="228"/>
  <c r="AO24" i="228"/>
  <c r="P23" i="227"/>
  <c r="AO24" i="227"/>
  <c r="P23" i="226"/>
  <c r="AO24" i="226"/>
  <c r="AO24" i="225"/>
  <c r="P23" i="225"/>
  <c r="P23" i="224"/>
  <c r="AO24" i="224"/>
  <c r="P23" i="223"/>
  <c r="AO24" i="223"/>
  <c r="P23" i="222"/>
  <c r="AO24" i="222"/>
  <c r="P23" i="221"/>
  <c r="AO24" i="221"/>
  <c r="P23" i="220"/>
  <c r="AO24" i="220"/>
  <c r="P23" i="219"/>
  <c r="AO24" i="219"/>
  <c r="P23" i="218"/>
  <c r="AO24" i="218"/>
  <c r="P23" i="217"/>
  <c r="AO24" i="217"/>
  <c r="P23" i="216"/>
  <c r="AO24" i="216"/>
  <c r="P23" i="215"/>
  <c r="AO24" i="215"/>
  <c r="P23" i="214"/>
  <c r="AO24" i="214"/>
  <c r="AO24" i="213"/>
  <c r="P23" i="213"/>
  <c r="P23" i="212"/>
  <c r="AO24" i="212"/>
  <c r="P24" i="211"/>
  <c r="AO25" i="211"/>
  <c r="P23" i="210"/>
  <c r="AO24" i="210"/>
  <c r="P23" i="209"/>
  <c r="AO24" i="209"/>
  <c r="P23" i="208"/>
  <c r="AO24" i="208"/>
  <c r="P23" i="207"/>
  <c r="AO24" i="207"/>
  <c r="P23" i="206"/>
  <c r="AO24" i="206"/>
  <c r="P23" i="205"/>
  <c r="AO24" i="205"/>
  <c r="P23" i="204"/>
  <c r="AO24" i="204"/>
  <c r="P23" i="203"/>
  <c r="AO24" i="203"/>
  <c r="P23" i="202"/>
  <c r="AO24" i="202"/>
  <c r="P23" i="201"/>
  <c r="AO24" i="201"/>
  <c r="AO24" i="200"/>
  <c r="P23" i="200"/>
  <c r="P23" i="199"/>
  <c r="AO24" i="199"/>
  <c r="AO24" i="198"/>
  <c r="P23" i="198"/>
  <c r="P23" i="197"/>
  <c r="AO24" i="197"/>
  <c r="FD35" i="186"/>
  <c r="GK73" i="183"/>
  <c r="GK83" i="185"/>
  <c r="GK84" i="184"/>
  <c r="BY42" i="185"/>
  <c r="FD44" i="184"/>
  <c r="BY32" i="183"/>
  <c r="BW43" i="185"/>
  <c r="BX43" i="185" s="1"/>
  <c r="BY43" i="185" s="1"/>
  <c r="BW44" i="184"/>
  <c r="BX44" i="184" s="1"/>
  <c r="BY44" i="184" s="1"/>
  <c r="FE35" i="186"/>
  <c r="FD43" i="185"/>
  <c r="FE33" i="183"/>
  <c r="FB34" i="186"/>
  <c r="FA34" i="186" s="1"/>
  <c r="BW35" i="186"/>
  <c r="BX35" i="186" s="1"/>
  <c r="BY35" i="186" s="1"/>
  <c r="BW33" i="183"/>
  <c r="BX33" i="183" s="1"/>
  <c r="BY33" i="183" s="1"/>
  <c r="GK75" i="186"/>
  <c r="GJ85" i="185"/>
  <c r="GJ84" i="185" s="1"/>
  <c r="GJ83" i="185" s="1"/>
  <c r="GJ82" i="185" s="1"/>
  <c r="GJ81" i="185" s="1"/>
  <c r="FZ85" i="185"/>
  <c r="GB85" i="185"/>
  <c r="FD33" i="183"/>
  <c r="AD35" i="183"/>
  <c r="AE35" i="183"/>
  <c r="AI36" i="186"/>
  <c r="AJ36" i="186"/>
  <c r="AE37" i="186"/>
  <c r="AD37" i="186"/>
  <c r="AH34" i="183"/>
  <c r="AG34" i="183"/>
  <c r="FK82" i="186"/>
  <c r="FJ81" i="186"/>
  <c r="AJ45" i="184"/>
  <c r="AI45" i="184"/>
  <c r="FC34" i="183"/>
  <c r="BY43" i="184"/>
  <c r="FB43" i="184"/>
  <c r="FA43" i="184" s="1"/>
  <c r="AI34" i="183"/>
  <c r="AJ34" i="183"/>
  <c r="FE43" i="185"/>
  <c r="AG44" i="185"/>
  <c r="AH44" i="185"/>
  <c r="FJ79" i="183"/>
  <c r="FK80" i="183"/>
  <c r="FX75" i="183"/>
  <c r="AF35" i="183"/>
  <c r="FE44" i="184"/>
  <c r="FZ77" i="186"/>
  <c r="GB77" i="186"/>
  <c r="AH45" i="184"/>
  <c r="AG45" i="184"/>
  <c r="P53" i="181"/>
  <c r="AO54" i="181"/>
  <c r="FX85" i="185"/>
  <c r="AF45" i="185"/>
  <c r="FX77" i="186"/>
  <c r="AF37" i="186"/>
  <c r="AJ44" i="185"/>
  <c r="AI44" i="185"/>
  <c r="FC36" i="186"/>
  <c r="FU78" i="186"/>
  <c r="FT78" i="186" s="1"/>
  <c r="FQ78" i="186"/>
  <c r="FY78" i="186" s="1"/>
  <c r="FP78" i="186"/>
  <c r="GA78" i="186" s="1"/>
  <c r="FR78" i="186"/>
  <c r="FS79" i="186" s="1"/>
  <c r="FO78" i="186"/>
  <c r="FN78" i="186"/>
  <c r="FW78" i="186" s="1"/>
  <c r="FV78" i="186" s="1"/>
  <c r="N40" i="182"/>
  <c r="O40" i="182" s="1" a="1"/>
  <c r="O40" i="182" s="1"/>
  <c r="L41" i="182"/>
  <c r="FC45" i="184"/>
  <c r="AH36" i="186"/>
  <c r="AG36" i="186"/>
  <c r="FZ75" i="183"/>
  <c r="GB75" i="183"/>
  <c r="AD45" i="185"/>
  <c r="AE45" i="185"/>
  <c r="FC44" i="185"/>
  <c r="FQ76" i="183"/>
  <c r="FY76" i="183" s="1"/>
  <c r="FP76" i="183"/>
  <c r="GA76" i="183" s="1"/>
  <c r="FO76" i="183"/>
  <c r="FN76" i="183"/>
  <c r="FW76" i="183" s="1"/>
  <c r="FV76" i="183" s="1"/>
  <c r="FU76" i="183"/>
  <c r="FT76" i="183" s="1"/>
  <c r="FR76" i="183"/>
  <c r="FS77" i="183"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P24" i="230" l="1"/>
  <c r="AO25" i="230"/>
  <c r="P24" i="229"/>
  <c r="AO25" i="229"/>
  <c r="P24" i="228"/>
  <c r="AO25" i="228"/>
  <c r="P24" i="227"/>
  <c r="AO25" i="227"/>
  <c r="P24" i="226"/>
  <c r="AO25" i="226"/>
  <c r="P24" i="225"/>
  <c r="AO25" i="225"/>
  <c r="P24" i="224"/>
  <c r="AO25" i="224"/>
  <c r="P24" i="223"/>
  <c r="AO25" i="223"/>
  <c r="P24" i="222"/>
  <c r="AO25" i="222"/>
  <c r="P24" i="221"/>
  <c r="AO25" i="221"/>
  <c r="P24" i="220"/>
  <c r="AO25" i="220"/>
  <c r="P24" i="219"/>
  <c r="AO25" i="219"/>
  <c r="P24" i="218"/>
  <c r="AO25" i="218"/>
  <c r="P24" i="217"/>
  <c r="AO25" i="217"/>
  <c r="P24" i="216"/>
  <c r="AO25" i="216"/>
  <c r="P24" i="215"/>
  <c r="AO25" i="215"/>
  <c r="P24" i="214"/>
  <c r="AO25" i="214"/>
  <c r="P24" i="213"/>
  <c r="AO25" i="213"/>
  <c r="P24" i="212"/>
  <c r="AO25" i="212"/>
  <c r="AO26" i="211"/>
  <c r="P25" i="211"/>
  <c r="P24" i="210"/>
  <c r="AO25" i="210"/>
  <c r="P24" i="209"/>
  <c r="AO25" i="209"/>
  <c r="P24" i="208"/>
  <c r="AO25" i="208"/>
  <c r="P24" i="207"/>
  <c r="AO25" i="207"/>
  <c r="P24" i="206"/>
  <c r="AO25" i="206"/>
  <c r="P24" i="205"/>
  <c r="AO25" i="205"/>
  <c r="P24" i="204"/>
  <c r="AO25" i="204"/>
  <c r="P24" i="203"/>
  <c r="AO25" i="203"/>
  <c r="P24" i="202"/>
  <c r="AO25" i="202"/>
  <c r="P24" i="201"/>
  <c r="AO25" i="201"/>
  <c r="P24" i="200"/>
  <c r="AO25" i="200"/>
  <c r="P24" i="199"/>
  <c r="AO25" i="199"/>
  <c r="P24" i="198"/>
  <c r="AO25" i="198"/>
  <c r="P24" i="197"/>
  <c r="AO25" i="197"/>
  <c r="BW45" i="184"/>
  <c r="BX45" i="184" s="1"/>
  <c r="FB45" i="184" s="1"/>
  <c r="FA45" i="184" s="1"/>
  <c r="GK76" i="186"/>
  <c r="FB35" i="186"/>
  <c r="FA35" i="186" s="1"/>
  <c r="FB44" i="184"/>
  <c r="FA44" i="184" s="1"/>
  <c r="BW34" i="183"/>
  <c r="BX34" i="183" s="1"/>
  <c r="BY34" i="183" s="1"/>
  <c r="FD34" i="183"/>
  <c r="FE44" i="185"/>
  <c r="FD44" i="185"/>
  <c r="GK85" i="184"/>
  <c r="BW36" i="186"/>
  <c r="BX36" i="186" s="1"/>
  <c r="BY36" i="186" s="1"/>
  <c r="FB43" i="185"/>
  <c r="FA43" i="185" s="1"/>
  <c r="FD36" i="186"/>
  <c r="FD45" i="184"/>
  <c r="FE45" i="184"/>
  <c r="FB33" i="183"/>
  <c r="FA33" i="183" s="1"/>
  <c r="GK84" i="185"/>
  <c r="FO77" i="183"/>
  <c r="FN77" i="183"/>
  <c r="FW77" i="183" s="1"/>
  <c r="FV77" i="183" s="1"/>
  <c r="FU77" i="183"/>
  <c r="FT77" i="183" s="1"/>
  <c r="FP77" i="183"/>
  <c r="GA77" i="183" s="1"/>
  <c r="FR77" i="183"/>
  <c r="FS78" i="183" s="1"/>
  <c r="FQ77" i="183"/>
  <c r="FY77" i="183" s="1"/>
  <c r="FX78" i="186"/>
  <c r="AF38" i="186"/>
  <c r="AJ37" i="186"/>
  <c r="AI37" i="186"/>
  <c r="FQ79" i="186"/>
  <c r="FY79" i="186" s="1"/>
  <c r="FP79" i="186"/>
  <c r="GA79" i="186" s="1"/>
  <c r="FO79" i="186"/>
  <c r="FN79" i="186"/>
  <c r="FW79" i="186" s="1"/>
  <c r="FV79" i="186" s="1"/>
  <c r="FU79" i="186"/>
  <c r="FT79" i="186" s="1"/>
  <c r="FR79" i="186"/>
  <c r="FS80" i="186" s="1"/>
  <c r="AH45" i="185"/>
  <c r="AG45" i="185"/>
  <c r="AE36" i="183"/>
  <c r="AD36" i="183"/>
  <c r="FE34" i="183"/>
  <c r="GB78" i="186"/>
  <c r="FZ78" i="186"/>
  <c r="AH35" i="183"/>
  <c r="AG35" i="183"/>
  <c r="FC35" i="183"/>
  <c r="FC45" i="185"/>
  <c r="FK81" i="183"/>
  <c r="FJ80" i="183"/>
  <c r="FC37" i="186"/>
  <c r="AJ45" i="185"/>
  <c r="AI45" i="185"/>
  <c r="GK74" i="183"/>
  <c r="FX76" i="183"/>
  <c r="AF36" i="183"/>
  <c r="P54" i="181"/>
  <c r="AO55" i="181"/>
  <c r="P55" i="181" s="1"/>
  <c r="P56" i="181" s="1"/>
  <c r="GB76" i="183"/>
  <c r="FZ76" i="183"/>
  <c r="L42" i="182"/>
  <c r="N41" i="182"/>
  <c r="O41" i="182" s="1" a="1"/>
  <c r="O41" i="182" s="1"/>
  <c r="BW44" i="185"/>
  <c r="BX44" i="185" s="1"/>
  <c r="FK83" i="186"/>
  <c r="FJ82" i="186"/>
  <c r="AI35" i="183"/>
  <c r="AJ35" i="183"/>
  <c r="AE38" i="186"/>
  <c r="AD38" i="186"/>
  <c r="AH37" i="186"/>
  <c r="AG37" i="186"/>
  <c r="FE36" i="186"/>
  <c r="L16" i="169"/>
  <c r="AO26" i="230" l="1"/>
  <c r="P25" i="230"/>
  <c r="AO26" i="229"/>
  <c r="P25" i="229"/>
  <c r="AO26" i="228"/>
  <c r="P25" i="228"/>
  <c r="AO26" i="227"/>
  <c r="P25" i="227"/>
  <c r="AO26" i="226"/>
  <c r="P25" i="226"/>
  <c r="AO26" i="225"/>
  <c r="P25" i="225"/>
  <c r="AO26" i="224"/>
  <c r="P25" i="224"/>
  <c r="AO26" i="223"/>
  <c r="P25" i="223"/>
  <c r="AO26" i="222"/>
  <c r="P25" i="222"/>
  <c r="AO26" i="221"/>
  <c r="P25" i="221"/>
  <c r="AO26" i="220"/>
  <c r="P25" i="220"/>
  <c r="AO26" i="219"/>
  <c r="P25" i="219"/>
  <c r="AO26" i="218"/>
  <c r="P25" i="218"/>
  <c r="AO26" i="217"/>
  <c r="P25" i="217"/>
  <c r="AO26" i="216"/>
  <c r="P25" i="216"/>
  <c r="AO26" i="215"/>
  <c r="P25" i="215"/>
  <c r="P25" i="214"/>
  <c r="AO26" i="214"/>
  <c r="AO26" i="213"/>
  <c r="P25" i="213"/>
  <c r="AO26" i="212"/>
  <c r="P25" i="212"/>
  <c r="AO27" i="211"/>
  <c r="P26" i="211"/>
  <c r="AO26" i="210"/>
  <c r="P25" i="210"/>
  <c r="P25" i="209"/>
  <c r="AO26" i="209"/>
  <c r="AO26" i="208"/>
  <c r="P25" i="208"/>
  <c r="AO26" i="207"/>
  <c r="P25" i="207"/>
  <c r="AO26" i="206"/>
  <c r="P25" i="206"/>
  <c r="AO26" i="205"/>
  <c r="P25" i="205"/>
  <c r="P25" i="204"/>
  <c r="AO26" i="204"/>
  <c r="AO26" i="203"/>
  <c r="P25" i="203"/>
  <c r="AO26" i="202"/>
  <c r="P25" i="202"/>
  <c r="AO26" i="201"/>
  <c r="P25" i="201"/>
  <c r="AO26" i="200"/>
  <c r="P25" i="200"/>
  <c r="AO26" i="199"/>
  <c r="P25" i="199"/>
  <c r="AO26" i="198"/>
  <c r="P25" i="198"/>
  <c r="AO26" i="197"/>
  <c r="P25" i="197"/>
  <c r="BY45" i="184"/>
  <c r="FB36" i="186"/>
  <c r="FA36" i="186" s="1"/>
  <c r="FE37" i="186"/>
  <c r="FD45" i="185"/>
  <c r="GK75" i="183"/>
  <c r="FB34" i="183"/>
  <c r="FA34" i="183" s="1"/>
  <c r="FD35" i="183"/>
  <c r="FF45" i="184"/>
  <c r="FF44" i="184" s="1"/>
  <c r="FF43" i="184" s="1"/>
  <c r="FF42" i="184" s="1"/>
  <c r="FF41" i="184" s="1"/>
  <c r="GK77" i="186"/>
  <c r="BW37" i="186"/>
  <c r="BX37" i="186" s="1"/>
  <c r="BY37" i="186" s="1"/>
  <c r="GK85" i="185"/>
  <c r="BW45" i="185"/>
  <c r="BX45" i="185" s="1"/>
  <c r="FB45" i="185" s="1"/>
  <c r="FA45" i="185" s="1"/>
  <c r="AD39" i="186"/>
  <c r="AE39" i="186"/>
  <c r="L43" i="182"/>
  <c r="N42" i="182"/>
  <c r="O42" i="182" s="1" a="1"/>
  <c r="O42" i="182" s="1"/>
  <c r="AF37" i="183"/>
  <c r="FX77" i="183"/>
  <c r="AJ36" i="183"/>
  <c r="AI36" i="183"/>
  <c r="FE35" i="183"/>
  <c r="FX79" i="186"/>
  <c r="AF39" i="186"/>
  <c r="AH38" i="186"/>
  <c r="AG38" i="186"/>
  <c r="FK82" i="183"/>
  <c r="FJ81" i="183"/>
  <c r="GB79" i="186"/>
  <c r="FZ79" i="186"/>
  <c r="FU78" i="183"/>
  <c r="FT78" i="183" s="1"/>
  <c r="FR78" i="183"/>
  <c r="FS79" i="183" s="1"/>
  <c r="FQ78" i="183"/>
  <c r="FY78" i="183" s="1"/>
  <c r="FO78" i="183"/>
  <c r="FN78" i="183"/>
  <c r="FW78" i="183" s="1"/>
  <c r="FV78" i="183" s="1"/>
  <c r="FP78" i="183"/>
  <c r="GA78" i="183" s="1"/>
  <c r="FC36" i="183"/>
  <c r="FK84" i="186"/>
  <c r="FJ83" i="186"/>
  <c r="FD37" i="186"/>
  <c r="FE45" i="185"/>
  <c r="FB44" i="185"/>
  <c r="FA44" i="185" s="1"/>
  <c r="BY44" i="185"/>
  <c r="GB77" i="183"/>
  <c r="FZ77" i="183"/>
  <c r="FC38" i="186"/>
  <c r="AH36" i="183"/>
  <c r="AG36" i="183"/>
  <c r="BW35" i="183"/>
  <c r="BX35" i="183" s="1"/>
  <c r="AI38" i="186"/>
  <c r="AJ38" i="186"/>
  <c r="FQ80" i="186"/>
  <c r="FY80" i="186" s="1"/>
  <c r="FO80" i="186"/>
  <c r="FN80" i="186"/>
  <c r="FW80" i="186" s="1"/>
  <c r="FV80" i="186" s="1"/>
  <c r="FU80" i="186"/>
  <c r="FT80" i="186" s="1"/>
  <c r="FR80" i="186"/>
  <c r="FS81" i="186" s="1"/>
  <c r="FP80" i="186"/>
  <c r="GA80" i="186" s="1"/>
  <c r="AE37" i="183"/>
  <c r="AD37" i="183"/>
  <c r="L17" i="169"/>
  <c r="AO27" i="230" l="1"/>
  <c r="P26" i="230"/>
  <c r="AO27" i="229"/>
  <c r="P26" i="229"/>
  <c r="AO27" i="228"/>
  <c r="P26" i="228"/>
  <c r="AO27" i="227"/>
  <c r="P26" i="227"/>
  <c r="AO27" i="226"/>
  <c r="P26" i="226"/>
  <c r="AO27" i="225"/>
  <c r="P26" i="225"/>
  <c r="AO27" i="224"/>
  <c r="P26" i="224"/>
  <c r="AO27" i="223"/>
  <c r="P26" i="223"/>
  <c r="AO27" i="222"/>
  <c r="P26" i="222"/>
  <c r="AO27" i="221"/>
  <c r="P26" i="221"/>
  <c r="AO27" i="220"/>
  <c r="P26" i="220"/>
  <c r="AO27" i="219"/>
  <c r="P26" i="219"/>
  <c r="AO27" i="218"/>
  <c r="P26" i="218"/>
  <c r="AO27" i="217"/>
  <c r="P26" i="217"/>
  <c r="AO27" i="216"/>
  <c r="P26" i="216"/>
  <c r="AO27" i="215"/>
  <c r="P26" i="215"/>
  <c r="AO27" i="214"/>
  <c r="P26" i="214"/>
  <c r="AO27" i="213"/>
  <c r="P26" i="213"/>
  <c r="AO27" i="212"/>
  <c r="P26" i="212"/>
  <c r="P27" i="211"/>
  <c r="AO28" i="211"/>
  <c r="AO27" i="210"/>
  <c r="P26" i="210"/>
  <c r="AO27" i="209"/>
  <c r="P26" i="209"/>
  <c r="AO27" i="208"/>
  <c r="P26" i="208"/>
  <c r="AO27" i="207"/>
  <c r="P26" i="207"/>
  <c r="AO27" i="206"/>
  <c r="P26" i="206"/>
  <c r="AO27" i="205"/>
  <c r="P26" i="205"/>
  <c r="AO27" i="204"/>
  <c r="P26" i="204"/>
  <c r="AO27" i="203"/>
  <c r="P26" i="203"/>
  <c r="AO27" i="202"/>
  <c r="P26" i="202"/>
  <c r="AO27" i="201"/>
  <c r="P26" i="201"/>
  <c r="AO27" i="200"/>
  <c r="P26" i="200"/>
  <c r="AO27" i="199"/>
  <c r="P26" i="199"/>
  <c r="AO27" i="198"/>
  <c r="P26" i="198"/>
  <c r="AO27" i="197"/>
  <c r="P26" i="197"/>
  <c r="FF45" i="185"/>
  <c r="FF44" i="185" s="1"/>
  <c r="FF43" i="185" s="1"/>
  <c r="FF42" i="185" s="1"/>
  <c r="FF41" i="185" s="1"/>
  <c r="FD38" i="186"/>
  <c r="FB37" i="186"/>
  <c r="FA37" i="186" s="1"/>
  <c r="BW36" i="183"/>
  <c r="BX36" i="183" s="1"/>
  <c r="BY36" i="183" s="1"/>
  <c r="FE36" i="183"/>
  <c r="BY45" i="185"/>
  <c r="FC37" i="183"/>
  <c r="BY35" i="183"/>
  <c r="FB35" i="183"/>
  <c r="FA35" i="183" s="1"/>
  <c r="AF38" i="183"/>
  <c r="FX78" i="183"/>
  <c r="FK83" i="183"/>
  <c r="FJ82" i="183"/>
  <c r="FE38" i="186"/>
  <c r="GB78" i="183"/>
  <c r="FZ78" i="183"/>
  <c r="FD36" i="183"/>
  <c r="FR79" i="183"/>
  <c r="FS80" i="183" s="1"/>
  <c r="FQ79" i="183"/>
  <c r="FY79" i="183" s="1"/>
  <c r="FP79" i="183"/>
  <c r="GA79" i="183" s="1"/>
  <c r="FO79" i="183"/>
  <c r="FU79" i="183"/>
  <c r="FT79" i="183" s="1"/>
  <c r="FN79" i="183"/>
  <c r="FW79" i="183" s="1"/>
  <c r="FV79" i="183" s="1"/>
  <c r="FC39" i="186"/>
  <c r="BW38" i="186"/>
  <c r="BX38" i="186" s="1"/>
  <c r="AE40" i="186"/>
  <c r="AD40" i="186"/>
  <c r="GK76" i="183"/>
  <c r="AJ39" i="186"/>
  <c r="AI39" i="186"/>
  <c r="AH39" i="186"/>
  <c r="AG39" i="186"/>
  <c r="N43" i="182"/>
  <c r="O43" i="182" s="1" a="1"/>
  <c r="O43" i="182" s="1"/>
  <c r="L44" i="182"/>
  <c r="AJ37" i="183"/>
  <c r="AI37" i="183"/>
  <c r="AE38" i="183"/>
  <c r="AD38" i="183"/>
  <c r="FO81" i="186"/>
  <c r="FU81" i="186"/>
  <c r="FT81" i="186" s="1"/>
  <c r="FR81" i="186"/>
  <c r="FS82" i="186" s="1"/>
  <c r="FP81" i="186"/>
  <c r="GA81" i="186" s="1"/>
  <c r="FN81" i="186"/>
  <c r="FW81" i="186" s="1"/>
  <c r="FV81" i="186" s="1"/>
  <c r="FQ81" i="186"/>
  <c r="FY81" i="186" s="1"/>
  <c r="FK85" i="186"/>
  <c r="FJ85" i="186" s="1"/>
  <c r="FJ84" i="186"/>
  <c r="AG37" i="183"/>
  <c r="AH37" i="183"/>
  <c r="FX80" i="186"/>
  <c r="AF40" i="186"/>
  <c r="GB80" i="186"/>
  <c r="FZ80" i="186"/>
  <c r="GK78" i="186"/>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P27" i="230" l="1"/>
  <c r="AO28" i="230"/>
  <c r="P27" i="229"/>
  <c r="AO28" i="229"/>
  <c r="P27" i="228"/>
  <c r="AO28" i="228"/>
  <c r="P27" i="227"/>
  <c r="AO28" i="227"/>
  <c r="P27" i="226"/>
  <c r="AO28" i="226"/>
  <c r="AO28" i="225"/>
  <c r="P27" i="225"/>
  <c r="P27" i="224"/>
  <c r="AO28" i="224"/>
  <c r="P27" i="223"/>
  <c r="AO28" i="223"/>
  <c r="P27" i="222"/>
  <c r="AO28" i="222"/>
  <c r="P27" i="221"/>
  <c r="AO28" i="221"/>
  <c r="P27" i="220"/>
  <c r="AO28" i="220"/>
  <c r="P27" i="219"/>
  <c r="AO28" i="219"/>
  <c r="P27" i="218"/>
  <c r="AO28" i="218"/>
  <c r="P27" i="217"/>
  <c r="AO28" i="217"/>
  <c r="P27" i="216"/>
  <c r="AO28" i="216"/>
  <c r="P27" i="215"/>
  <c r="AO28" i="215"/>
  <c r="P27" i="214"/>
  <c r="AO28" i="214"/>
  <c r="AO28" i="213"/>
  <c r="P27" i="213"/>
  <c r="P27" i="212"/>
  <c r="AO28" i="212"/>
  <c r="P28" i="211"/>
  <c r="AO29" i="211"/>
  <c r="P27" i="210"/>
  <c r="AO28" i="210"/>
  <c r="P27" i="209"/>
  <c r="AO28" i="209"/>
  <c r="P27" i="208"/>
  <c r="AO28" i="208"/>
  <c r="P27" i="207"/>
  <c r="AO28" i="207"/>
  <c r="P27" i="206"/>
  <c r="AO28" i="206"/>
  <c r="P27" i="205"/>
  <c r="AO28" i="205"/>
  <c r="P27" i="204"/>
  <c r="AO28" i="204"/>
  <c r="P27" i="203"/>
  <c r="AO28" i="203"/>
  <c r="P27" i="202"/>
  <c r="AO28" i="202"/>
  <c r="P27" i="201"/>
  <c r="AO28" i="201"/>
  <c r="AO28" i="200"/>
  <c r="P27" i="200"/>
  <c r="P27" i="199"/>
  <c r="AO28" i="199"/>
  <c r="AO28" i="198"/>
  <c r="P27" i="198"/>
  <c r="P27" i="197"/>
  <c r="AO28" i="197"/>
  <c r="FD39" i="186"/>
  <c r="FE37" i="183"/>
  <c r="FE39" i="186"/>
  <c r="FB36" i="183"/>
  <c r="FA36" i="183" s="1"/>
  <c r="FD37" i="183"/>
  <c r="BW39" i="186"/>
  <c r="BX39" i="186" s="1"/>
  <c r="BY39" i="186" s="1"/>
  <c r="BY38" i="186"/>
  <c r="FB38" i="186"/>
  <c r="FA38" i="186" s="1"/>
  <c r="FX79" i="183"/>
  <c r="AF39" i="183"/>
  <c r="BW37" i="183"/>
  <c r="BX37" i="183" s="1"/>
  <c r="FC38" i="183"/>
  <c r="GK79" i="186"/>
  <c r="AJ40" i="186"/>
  <c r="AI40" i="186"/>
  <c r="FQ80" i="183"/>
  <c r="FY80" i="183" s="1"/>
  <c r="FP80" i="183"/>
  <c r="GA80" i="183" s="1"/>
  <c r="FO80" i="183"/>
  <c r="FN80" i="183"/>
  <c r="FW80" i="183" s="1"/>
  <c r="FV80" i="183" s="1"/>
  <c r="FU80" i="183"/>
  <c r="FT80" i="183" s="1"/>
  <c r="FR80" i="183"/>
  <c r="FS81" i="183" s="1"/>
  <c r="FJ83" i="183"/>
  <c r="FK84" i="183"/>
  <c r="GK77" i="183"/>
  <c r="GB81" i="186"/>
  <c r="FZ81" i="186"/>
  <c r="AH38" i="183"/>
  <c r="AG38" i="183"/>
  <c r="AE41" i="186"/>
  <c r="AD41" i="186"/>
  <c r="FC40" i="186"/>
  <c r="AI38" i="183"/>
  <c r="AJ38" i="183"/>
  <c r="FZ79" i="183"/>
  <c r="GB79" i="183"/>
  <c r="L45" i="182"/>
  <c r="N44" i="182"/>
  <c r="O44" i="182" s="1" a="1"/>
  <c r="O44" i="182" s="1"/>
  <c r="AE39" i="183"/>
  <c r="AD39" i="183"/>
  <c r="FX81" i="186"/>
  <c r="AF41" i="186"/>
  <c r="AG40" i="186"/>
  <c r="AH40" i="186"/>
  <c r="FU82" i="186"/>
  <c r="FT82" i="186" s="1"/>
  <c r="FR82" i="186"/>
  <c r="FS83" i="186" s="1"/>
  <c r="FQ82" i="186"/>
  <c r="FY82" i="186" s="1"/>
  <c r="FP82" i="186"/>
  <c r="GA82" i="186" s="1"/>
  <c r="FN82" i="186"/>
  <c r="FW82" i="186" s="1"/>
  <c r="FV82" i="186" s="1"/>
  <c r="FO82" i="186"/>
  <c r="L19" i="169"/>
  <c r="L13" i="80"/>
  <c r="N13" i="80" s="1"/>
  <c r="P28" i="230" l="1"/>
  <c r="AO29" i="230"/>
  <c r="P28" i="229"/>
  <c r="AO29" i="229"/>
  <c r="P28" i="228"/>
  <c r="AO29" i="228"/>
  <c r="P28" i="227"/>
  <c r="AO29" i="227"/>
  <c r="P28" i="226"/>
  <c r="AO29" i="226"/>
  <c r="P28" i="225"/>
  <c r="AO29" i="225"/>
  <c r="P28" i="224"/>
  <c r="AO29" i="224"/>
  <c r="P28" i="223"/>
  <c r="AO29" i="223"/>
  <c r="P28" i="222"/>
  <c r="AO29" i="222"/>
  <c r="P28" i="221"/>
  <c r="AO29" i="221"/>
  <c r="P28" i="220"/>
  <c r="AO29" i="220"/>
  <c r="P28" i="219"/>
  <c r="AO29" i="219"/>
  <c r="P28" i="218"/>
  <c r="AO29" i="218"/>
  <c r="P28" i="217"/>
  <c r="AO29" i="217"/>
  <c r="P28" i="216"/>
  <c r="AO29" i="216"/>
  <c r="P28" i="215"/>
  <c r="AO29" i="215"/>
  <c r="P28" i="214"/>
  <c r="AO29" i="214"/>
  <c r="P28" i="213"/>
  <c r="AO29" i="213"/>
  <c r="P28" i="212"/>
  <c r="AO29" i="212"/>
  <c r="AO30" i="211"/>
  <c r="P29" i="211"/>
  <c r="P28" i="210"/>
  <c r="AO29" i="210"/>
  <c r="P28" i="209"/>
  <c r="AO29" i="209"/>
  <c r="P28" i="208"/>
  <c r="AO29" i="208"/>
  <c r="P28" i="207"/>
  <c r="AO29" i="207"/>
  <c r="P28" i="206"/>
  <c r="AO29" i="206"/>
  <c r="P28" i="205"/>
  <c r="AO29" i="205"/>
  <c r="P28" i="204"/>
  <c r="AO29" i="204"/>
  <c r="P28" i="203"/>
  <c r="AO29" i="203"/>
  <c r="P28" i="202"/>
  <c r="AO29" i="202"/>
  <c r="P28" i="201"/>
  <c r="AO29" i="201"/>
  <c r="P28" i="200"/>
  <c r="AO29" i="200"/>
  <c r="P28" i="199"/>
  <c r="AO29" i="199"/>
  <c r="P28" i="198"/>
  <c r="AO29" i="198"/>
  <c r="P28" i="197"/>
  <c r="AO29" i="197"/>
  <c r="BW38" i="183"/>
  <c r="BX38" i="183" s="1"/>
  <c r="BY38" i="183" s="1"/>
  <c r="FD40" i="186"/>
  <c r="FB39" i="186"/>
  <c r="FA39" i="186" s="1"/>
  <c r="FE40" i="186"/>
  <c r="AH41" i="186"/>
  <c r="AG41" i="186"/>
  <c r="AI39" i="183"/>
  <c r="AJ39" i="183"/>
  <c r="FC39" i="183"/>
  <c r="FD38" i="183"/>
  <c r="GB80" i="183"/>
  <c r="FZ80" i="183"/>
  <c r="N45" i="182"/>
  <c r="O45" i="182" s="1" a="1"/>
  <c r="O45" i="182" s="1"/>
  <c r="L46" i="182"/>
  <c r="BW40" i="186"/>
  <c r="BX40" i="186" s="1"/>
  <c r="FO81" i="183"/>
  <c r="FN81" i="183"/>
  <c r="FW81" i="183" s="1"/>
  <c r="FV81" i="183" s="1"/>
  <c r="FU81" i="183"/>
  <c r="FT81" i="183" s="1"/>
  <c r="FP81" i="183"/>
  <c r="GA81" i="183" s="1"/>
  <c r="FQ81" i="183"/>
  <c r="FY81" i="183" s="1"/>
  <c r="FR81" i="183"/>
  <c r="FS82" i="183" s="1"/>
  <c r="FK85" i="183"/>
  <c r="FJ85" i="183" s="1"/>
  <c r="FJ84" i="183"/>
  <c r="FE38" i="183"/>
  <c r="AJ41" i="186"/>
  <c r="AI41" i="186"/>
  <c r="FQ83" i="186"/>
  <c r="FY83" i="186" s="1"/>
  <c r="FP83" i="186"/>
  <c r="GA83" i="186" s="1"/>
  <c r="FO83" i="186"/>
  <c r="FN83" i="186"/>
  <c r="FW83" i="186" s="1"/>
  <c r="FV83" i="186" s="1"/>
  <c r="FU83" i="186"/>
  <c r="FT83" i="186" s="1"/>
  <c r="FR83" i="186"/>
  <c r="FS84" i="186" s="1"/>
  <c r="AD40" i="183"/>
  <c r="AE40" i="183"/>
  <c r="AH39" i="183"/>
  <c r="AG39" i="183"/>
  <c r="GK80" i="186"/>
  <c r="FX82" i="186"/>
  <c r="AF42" i="186"/>
  <c r="FC41" i="186"/>
  <c r="FX80" i="183"/>
  <c r="AF40" i="183"/>
  <c r="GK78" i="183"/>
  <c r="FZ82" i="186"/>
  <c r="GB82" i="186"/>
  <c r="AE42" i="186"/>
  <c r="AD42" i="186"/>
  <c r="FB37" i="183"/>
  <c r="FA37" i="183" s="1"/>
  <c r="BY37" i="183"/>
  <c r="L20" i="169"/>
  <c r="L14" i="80"/>
  <c r="N14" i="80" s="1"/>
  <c r="O14" i="80" s="1" a="1"/>
  <c r="O14" i="80" s="1"/>
  <c r="AO30" i="230" l="1"/>
  <c r="P29" i="230"/>
  <c r="AO30" i="229"/>
  <c r="P29" i="229"/>
  <c r="AO30" i="228"/>
  <c r="P29" i="228"/>
  <c r="AO30" i="227"/>
  <c r="P29" i="227"/>
  <c r="AO30" i="226"/>
  <c r="P29" i="226"/>
  <c r="AO30" i="225"/>
  <c r="P29" i="225"/>
  <c r="AO30" i="224"/>
  <c r="P29" i="224"/>
  <c r="AO30" i="223"/>
  <c r="P29" i="223"/>
  <c r="AO30" i="222"/>
  <c r="P29" i="222"/>
  <c r="AO30" i="221"/>
  <c r="P29" i="221"/>
  <c r="AO30" i="220"/>
  <c r="P29" i="220"/>
  <c r="AO30" i="219"/>
  <c r="P29" i="219"/>
  <c r="AO30" i="218"/>
  <c r="P29" i="218"/>
  <c r="AO30" i="217"/>
  <c r="P29" i="217"/>
  <c r="AO30" i="216"/>
  <c r="P29" i="216"/>
  <c r="AO30" i="215"/>
  <c r="P29" i="215"/>
  <c r="P29" i="214"/>
  <c r="AO30" i="214"/>
  <c r="AO30" i="213"/>
  <c r="P29" i="213"/>
  <c r="AO30" i="212"/>
  <c r="P29" i="212"/>
  <c r="AO31" i="211"/>
  <c r="P30" i="211"/>
  <c r="P29" i="210"/>
  <c r="AO30" i="210"/>
  <c r="P29" i="209"/>
  <c r="AO30" i="209"/>
  <c r="AO30" i="208"/>
  <c r="P29" i="208"/>
  <c r="AO30" i="207"/>
  <c r="P29" i="207"/>
  <c r="AO30" i="206"/>
  <c r="P29" i="206"/>
  <c r="AO30" i="205"/>
  <c r="P29" i="205"/>
  <c r="P29" i="204"/>
  <c r="AO30" i="204"/>
  <c r="AO30" i="203"/>
  <c r="P29" i="203"/>
  <c r="AO30" i="202"/>
  <c r="P29" i="202"/>
  <c r="AO30" i="201"/>
  <c r="P29" i="201"/>
  <c r="AO30" i="200"/>
  <c r="P29" i="200"/>
  <c r="AO30" i="199"/>
  <c r="P29" i="199"/>
  <c r="AO30" i="198"/>
  <c r="P29" i="198"/>
  <c r="P29" i="197"/>
  <c r="AO30" i="197"/>
  <c r="FD41" i="186"/>
  <c r="BW41" i="186"/>
  <c r="BX41" i="186" s="1"/>
  <c r="BY41" i="186" s="1"/>
  <c r="FB38" i="183"/>
  <c r="FA38" i="183" s="1"/>
  <c r="GK81" i="186"/>
  <c r="BW39" i="183"/>
  <c r="BX39" i="183" s="1"/>
  <c r="BY39" i="183" s="1"/>
  <c r="AG40" i="183"/>
  <c r="AH40" i="183"/>
  <c r="FD39" i="183"/>
  <c r="FC42" i="186"/>
  <c r="AJ40" i="183"/>
  <c r="AI40" i="183"/>
  <c r="FE41" i="186"/>
  <c r="GB81" i="183"/>
  <c r="FZ81" i="183"/>
  <c r="GB83" i="186"/>
  <c r="FZ83" i="186"/>
  <c r="FE39" i="183"/>
  <c r="FC40" i="183"/>
  <c r="AE41" i="183"/>
  <c r="AD41" i="183"/>
  <c r="FQ84" i="186"/>
  <c r="FY84" i="186" s="1"/>
  <c r="FP84" i="186"/>
  <c r="GA84" i="186" s="1"/>
  <c r="FO84" i="186"/>
  <c r="FN84" i="186"/>
  <c r="FW84" i="186" s="1"/>
  <c r="FV84" i="186" s="1"/>
  <c r="FU84" i="186"/>
  <c r="FT84" i="186" s="1"/>
  <c r="FR84" i="186"/>
  <c r="FS85" i="186" s="1"/>
  <c r="AF41" i="183"/>
  <c r="FX81" i="183"/>
  <c r="FB40" i="186"/>
  <c r="FA40" i="186" s="1"/>
  <c r="BY40" i="186"/>
  <c r="AI42" i="186"/>
  <c r="AJ42" i="186"/>
  <c r="AH42" i="186"/>
  <c r="AG42" i="186"/>
  <c r="AD43" i="186"/>
  <c r="AE43" i="186"/>
  <c r="N46" i="182"/>
  <c r="O46" i="182" s="1" a="1"/>
  <c r="O46" i="182" s="1"/>
  <c r="L47" i="182"/>
  <c r="GK79" i="183"/>
  <c r="FX83" i="186"/>
  <c r="AF43" i="186"/>
  <c r="FU82" i="183"/>
  <c r="FT82" i="183" s="1"/>
  <c r="FR82" i="183"/>
  <c r="FS83" i="183" s="1"/>
  <c r="FQ82" i="183"/>
  <c r="FY82" i="183" s="1"/>
  <c r="FP82" i="183"/>
  <c r="GA82" i="183" s="1"/>
  <c r="FO82" i="183"/>
  <c r="FN82" i="183"/>
  <c r="FW82" i="183" s="1"/>
  <c r="FV82" i="183" s="1"/>
  <c r="L21" i="169"/>
  <c r="L15" i="80"/>
  <c r="N15" i="80" s="1"/>
  <c r="O15" i="80" s="1" a="1"/>
  <c r="O15" i="80" s="1"/>
  <c r="AO14" i="114"/>
  <c r="P14" i="114" s="1"/>
  <c r="T1" i="114"/>
  <c r="AO31" i="230" l="1"/>
  <c r="P30" i="230"/>
  <c r="AO31" i="229"/>
  <c r="P30" i="229"/>
  <c r="AO31" i="228"/>
  <c r="P30" i="228"/>
  <c r="AO31" i="227"/>
  <c r="P30" i="227"/>
  <c r="AO31" i="226"/>
  <c r="P30" i="226"/>
  <c r="AO31" i="225"/>
  <c r="P30" i="225"/>
  <c r="AO31" i="224"/>
  <c r="P30" i="224"/>
  <c r="AO31" i="223"/>
  <c r="P30" i="223"/>
  <c r="AO31" i="222"/>
  <c r="P30" i="222"/>
  <c r="AO31" i="221"/>
  <c r="P30" i="221"/>
  <c r="AO31" i="220"/>
  <c r="P30" i="220"/>
  <c r="AO31" i="219"/>
  <c r="P30" i="219"/>
  <c r="AO31" i="218"/>
  <c r="P30" i="218"/>
  <c r="AO31" i="217"/>
  <c r="P30" i="217"/>
  <c r="AO31" i="216"/>
  <c r="P30" i="216"/>
  <c r="AO31" i="215"/>
  <c r="P30" i="215"/>
  <c r="AO31" i="214"/>
  <c r="P30" i="214"/>
  <c r="AO31" i="213"/>
  <c r="P30" i="213"/>
  <c r="AO31" i="212"/>
  <c r="P30" i="212"/>
  <c r="P31" i="211"/>
  <c r="AO32" i="211"/>
  <c r="AO31" i="210"/>
  <c r="P30" i="210"/>
  <c r="AO31" i="209"/>
  <c r="P30" i="209"/>
  <c r="AO31" i="208"/>
  <c r="P30" i="208"/>
  <c r="AO31" i="207"/>
  <c r="P30" i="207"/>
  <c r="AO31" i="206"/>
  <c r="P30" i="206"/>
  <c r="AO31" i="205"/>
  <c r="P30" i="205"/>
  <c r="AO31" i="204"/>
  <c r="P30" i="204"/>
  <c r="AO31" i="203"/>
  <c r="P30" i="203"/>
  <c r="AO31" i="202"/>
  <c r="P30" i="202"/>
  <c r="AO31" i="201"/>
  <c r="P30" i="201"/>
  <c r="AO31" i="200"/>
  <c r="P30" i="200"/>
  <c r="AO31" i="199"/>
  <c r="P30" i="199"/>
  <c r="AO31" i="198"/>
  <c r="P30" i="198"/>
  <c r="AO31" i="197"/>
  <c r="P30" i="197"/>
  <c r="FB41" i="186"/>
  <c r="FA41" i="186" s="1"/>
  <c r="BW42" i="186"/>
  <c r="BX42" i="186" s="1"/>
  <c r="BY42" i="186" s="1"/>
  <c r="GK80" i="183"/>
  <c r="BW40" i="183"/>
  <c r="BX40" i="183" s="1"/>
  <c r="FB40" i="183" s="1"/>
  <c r="FA40" i="183" s="1"/>
  <c r="FE42" i="186"/>
  <c r="GK82" i="186"/>
  <c r="FD40" i="183"/>
  <c r="FB39" i="183"/>
  <c r="FA39" i="183" s="1"/>
  <c r="FE40" i="183"/>
  <c r="GB82" i="183"/>
  <c r="FZ82" i="183"/>
  <c r="AJ41" i="183"/>
  <c r="AI41" i="183"/>
  <c r="L48" i="182"/>
  <c r="N47" i="182"/>
  <c r="O47" i="182" s="1" a="1"/>
  <c r="O47" i="182" s="1"/>
  <c r="AD44" i="186"/>
  <c r="AE44" i="186"/>
  <c r="FR83" i="183"/>
  <c r="FS84" i="183" s="1"/>
  <c r="FQ83" i="183"/>
  <c r="FY83" i="183" s="1"/>
  <c r="FP83" i="183"/>
  <c r="GA83" i="183" s="1"/>
  <c r="FO83" i="183"/>
  <c r="FU83" i="183"/>
  <c r="FT83" i="183" s="1"/>
  <c r="FN83" i="183"/>
  <c r="FW83" i="183" s="1"/>
  <c r="FV83" i="183" s="1"/>
  <c r="FX84" i="186"/>
  <c r="AF44" i="186"/>
  <c r="FC43" i="186"/>
  <c r="FD42" i="186"/>
  <c r="AH41" i="183"/>
  <c r="AG41" i="183"/>
  <c r="GB84" i="186"/>
  <c r="FZ84" i="186"/>
  <c r="FC41" i="183"/>
  <c r="AG43" i="186"/>
  <c r="AH43" i="186"/>
  <c r="AE42" i="183"/>
  <c r="AD42" i="183"/>
  <c r="AJ43" i="186"/>
  <c r="AI43" i="186"/>
  <c r="AF42" i="183"/>
  <c r="FX82" i="183"/>
  <c r="FO85" i="186"/>
  <c r="FN85" i="186"/>
  <c r="FW85" i="186" s="1"/>
  <c r="FV85" i="186" s="1"/>
  <c r="FU85" i="186"/>
  <c r="FT85" i="186" s="1"/>
  <c r="FR85" i="186"/>
  <c r="FP85" i="186"/>
  <c r="GA85" i="186" s="1"/>
  <c r="FQ85" i="186"/>
  <c r="FY85" i="186" s="1"/>
  <c r="AO15" i="114"/>
  <c r="P15" i="114" s="1"/>
  <c r="L22" i="169"/>
  <c r="L16" i="80"/>
  <c r="N16" i="80" s="1"/>
  <c r="O16" i="80" s="1" a="1"/>
  <c r="O16" i="80" s="1"/>
  <c r="D29" i="13"/>
  <c r="P31" i="230" l="1"/>
  <c r="AO32" i="230"/>
  <c r="P31" i="229"/>
  <c r="AO32" i="229"/>
  <c r="P31" i="228"/>
  <c r="AO32" i="228"/>
  <c r="P31" i="227"/>
  <c r="AO32" i="227"/>
  <c r="P31" i="226"/>
  <c r="AO32" i="226"/>
  <c r="P31" i="225"/>
  <c r="AO32" i="225"/>
  <c r="P31" i="224"/>
  <c r="AO32" i="224"/>
  <c r="P31" i="223"/>
  <c r="AO32" i="223"/>
  <c r="P31" i="222"/>
  <c r="AO32" i="222"/>
  <c r="P31" i="221"/>
  <c r="AO32" i="221"/>
  <c r="P31" i="220"/>
  <c r="AO32" i="220"/>
  <c r="P31" i="219"/>
  <c r="AO32" i="219"/>
  <c r="P31" i="218"/>
  <c r="AO32" i="218"/>
  <c r="P31" i="217"/>
  <c r="AO32" i="217"/>
  <c r="P31" i="216"/>
  <c r="AO32" i="216"/>
  <c r="P31" i="215"/>
  <c r="AO32" i="215"/>
  <c r="P31" i="214"/>
  <c r="AO32" i="214"/>
  <c r="AO32" i="213"/>
  <c r="P31" i="213"/>
  <c r="P31" i="212"/>
  <c r="AO32" i="212"/>
  <c r="P32" i="211"/>
  <c r="AO33" i="211"/>
  <c r="P31" i="210"/>
  <c r="AO32" i="210"/>
  <c r="P31" i="209"/>
  <c r="AO32" i="209"/>
  <c r="P31" i="208"/>
  <c r="AO32" i="208"/>
  <c r="P31" i="207"/>
  <c r="AO32" i="207"/>
  <c r="P31" i="206"/>
  <c r="AO32" i="206"/>
  <c r="P31" i="205"/>
  <c r="AO32" i="205"/>
  <c r="P31" i="204"/>
  <c r="AO32" i="204"/>
  <c r="P31" i="203"/>
  <c r="AO32" i="203"/>
  <c r="P31" i="202"/>
  <c r="AO32" i="202"/>
  <c r="P31" i="201"/>
  <c r="AO32" i="201"/>
  <c r="P31" i="200"/>
  <c r="AO32" i="200"/>
  <c r="P31" i="199"/>
  <c r="AO32" i="199"/>
  <c r="P31" i="198"/>
  <c r="AO32" i="198"/>
  <c r="P31" i="197"/>
  <c r="AO32" i="197"/>
  <c r="GK83" i="186"/>
  <c r="FB42" i="186"/>
  <c r="FA42" i="186" s="1"/>
  <c r="FD41" i="183"/>
  <c r="BY40" i="183"/>
  <c r="FD43" i="186"/>
  <c r="FE41" i="183"/>
  <c r="BW41" i="183"/>
  <c r="BX41" i="183" s="1"/>
  <c r="FB41" i="183" s="1"/>
  <c r="FA41" i="183" s="1"/>
  <c r="GJ85" i="186"/>
  <c r="GJ84" i="186" s="1"/>
  <c r="GJ83" i="186" s="1"/>
  <c r="GJ82" i="186" s="1"/>
  <c r="GJ81" i="186" s="1"/>
  <c r="GJ80" i="186" s="1"/>
  <c r="GJ79" i="186" s="1"/>
  <c r="GJ78" i="186" s="1"/>
  <c r="GJ77" i="186" s="1"/>
  <c r="GJ76" i="186" s="1"/>
  <c r="GJ75" i="186" s="1"/>
  <c r="GJ74" i="186" s="1"/>
  <c r="GJ73" i="186" s="1"/>
  <c r="GB85" i="186"/>
  <c r="FZ85" i="186"/>
  <c r="FE43" i="186"/>
  <c r="GK81" i="183"/>
  <c r="AG44" i="186"/>
  <c r="AH44" i="186"/>
  <c r="FC44" i="186"/>
  <c r="AJ42" i="183"/>
  <c r="AI42" i="183"/>
  <c r="AD43" i="183"/>
  <c r="AE43" i="183"/>
  <c r="N48" i="182"/>
  <c r="O48" i="182" s="1" a="1"/>
  <c r="O48" i="182" s="1"/>
  <c r="L49" i="182"/>
  <c r="FC42" i="183"/>
  <c r="AE45" i="186"/>
  <c r="AD45" i="186"/>
  <c r="FX83" i="183"/>
  <c r="AF43" i="183"/>
  <c r="FQ84" i="183"/>
  <c r="FY84" i="183" s="1"/>
  <c r="FP84" i="183"/>
  <c r="GA84" i="183" s="1"/>
  <c r="FO84" i="183"/>
  <c r="FN84" i="183"/>
  <c r="FW84" i="183" s="1"/>
  <c r="FV84" i="183" s="1"/>
  <c r="FU84" i="183"/>
  <c r="FT84" i="183" s="1"/>
  <c r="FR84" i="183"/>
  <c r="FS85" i="183" s="1"/>
  <c r="FX85" i="186"/>
  <c r="AF45" i="186"/>
  <c r="BW43" i="186"/>
  <c r="BX43" i="186" s="1"/>
  <c r="AH42" i="183"/>
  <c r="AG42" i="183"/>
  <c r="AJ44" i="186"/>
  <c r="AI44" i="186"/>
  <c r="FZ83" i="183"/>
  <c r="GB83" i="183"/>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P32" i="230" l="1"/>
  <c r="AO33" i="230"/>
  <c r="P32" i="229"/>
  <c r="AO33" i="229"/>
  <c r="P32" i="228"/>
  <c r="AO33" i="228"/>
  <c r="P32" i="227"/>
  <c r="AO33" i="227"/>
  <c r="P32" i="226"/>
  <c r="AO33" i="226"/>
  <c r="P32" i="225"/>
  <c r="AO33" i="225"/>
  <c r="P32" i="224"/>
  <c r="AO33" i="224"/>
  <c r="P32" i="223"/>
  <c r="AO33" i="223"/>
  <c r="P32" i="222"/>
  <c r="AO33" i="222"/>
  <c r="P32" i="221"/>
  <c r="AO33" i="221"/>
  <c r="P32" i="220"/>
  <c r="AO33" i="220"/>
  <c r="P32" i="219"/>
  <c r="AO33" i="219"/>
  <c r="P32" i="218"/>
  <c r="AO33" i="218"/>
  <c r="P32" i="217"/>
  <c r="AO33" i="217"/>
  <c r="P32" i="216"/>
  <c r="AO33" i="216"/>
  <c r="P32" i="215"/>
  <c r="AO33" i="215"/>
  <c r="P32" i="214"/>
  <c r="AO33" i="214"/>
  <c r="P32" i="213"/>
  <c r="AO33" i="213"/>
  <c r="P32" i="212"/>
  <c r="AO33" i="212"/>
  <c r="AO34" i="211"/>
  <c r="P33" i="211"/>
  <c r="P32" i="210"/>
  <c r="AO33" i="210"/>
  <c r="P32" i="209"/>
  <c r="AO33" i="209"/>
  <c r="P32" i="208"/>
  <c r="AO33" i="208"/>
  <c r="P32" i="207"/>
  <c r="AO33" i="207"/>
  <c r="P32" i="206"/>
  <c r="AO33" i="206"/>
  <c r="P32" i="205"/>
  <c r="AO33" i="205"/>
  <c r="P32" i="204"/>
  <c r="AO33" i="204"/>
  <c r="P32" i="203"/>
  <c r="AO33" i="203"/>
  <c r="P32" i="202"/>
  <c r="AO33" i="202"/>
  <c r="P32" i="201"/>
  <c r="AO33" i="201"/>
  <c r="P32" i="200"/>
  <c r="AO33" i="200"/>
  <c r="P32" i="199"/>
  <c r="AO33" i="199"/>
  <c r="P32" i="198"/>
  <c r="AO33" i="198"/>
  <c r="P32" i="197"/>
  <c r="AO33" i="197"/>
  <c r="BY41" i="183"/>
  <c r="FE42" i="183"/>
  <c r="FD42" i="183"/>
  <c r="BW44" i="186"/>
  <c r="BX44" i="186" s="1"/>
  <c r="FB44" i="186" s="1"/>
  <c r="FA44" i="186" s="1"/>
  <c r="FD44" i="186"/>
  <c r="FX84" i="183"/>
  <c r="AF44" i="183"/>
  <c r="GK82" i="183"/>
  <c r="FB43" i="186"/>
  <c r="FA43" i="186" s="1"/>
  <c r="BY43" i="186"/>
  <c r="GB84" i="183"/>
  <c r="FZ84" i="183"/>
  <c r="AH43" i="183"/>
  <c r="AG43" i="183"/>
  <c r="AI43" i="183"/>
  <c r="AJ43" i="183"/>
  <c r="FO85" i="183"/>
  <c r="FN85" i="183"/>
  <c r="FW85" i="183" s="1"/>
  <c r="FV85" i="183" s="1"/>
  <c r="FU85" i="183"/>
  <c r="FT85" i="183" s="1"/>
  <c r="FR85" i="183"/>
  <c r="FQ85" i="183"/>
  <c r="FY85" i="183" s="1"/>
  <c r="FP85" i="183"/>
  <c r="GA85" i="183" s="1"/>
  <c r="FC45" i="186"/>
  <c r="AJ45" i="186"/>
  <c r="AI45" i="186"/>
  <c r="AH45" i="186"/>
  <c r="AG45" i="186"/>
  <c r="FE44" i="186"/>
  <c r="FC43" i="183"/>
  <c r="L50" i="182"/>
  <c r="N49" i="182"/>
  <c r="O49" i="182" s="1" a="1"/>
  <c r="O49" i="182" s="1"/>
  <c r="AD44" i="183"/>
  <c r="AE44" i="183"/>
  <c r="BW42" i="183"/>
  <c r="BX42" i="183" s="1"/>
  <c r="GK84" i="186"/>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AO34" i="230" l="1"/>
  <c r="P33" i="230"/>
  <c r="AO34" i="229"/>
  <c r="P33" i="229"/>
  <c r="AO34" i="228"/>
  <c r="P33" i="228"/>
  <c r="AO34" i="227"/>
  <c r="P33" i="227"/>
  <c r="AO34" i="226"/>
  <c r="P33" i="226"/>
  <c r="AO34" i="225"/>
  <c r="P33" i="225"/>
  <c r="AO34" i="224"/>
  <c r="P33" i="224"/>
  <c r="AO34" i="223"/>
  <c r="P33" i="223"/>
  <c r="AO34" i="222"/>
  <c r="P33" i="222"/>
  <c r="AO34" i="221"/>
  <c r="P33" i="221"/>
  <c r="AO34" i="220"/>
  <c r="P33" i="220"/>
  <c r="AO34" i="219"/>
  <c r="P33" i="219"/>
  <c r="AO34" i="218"/>
  <c r="P33" i="218"/>
  <c r="AO34" i="217"/>
  <c r="P33" i="217"/>
  <c r="AO34" i="216"/>
  <c r="P33" i="216"/>
  <c r="AO34" i="215"/>
  <c r="P33" i="215"/>
  <c r="AO34" i="214"/>
  <c r="P33" i="214"/>
  <c r="AO34" i="213"/>
  <c r="P33" i="213"/>
  <c r="AO34" i="212"/>
  <c r="P33" i="212"/>
  <c r="AO35" i="211"/>
  <c r="P34" i="211"/>
  <c r="P33" i="210"/>
  <c r="AO34" i="210"/>
  <c r="P33" i="209"/>
  <c r="AO34" i="209"/>
  <c r="AO34" i="208"/>
  <c r="P33" i="208"/>
  <c r="AO34" i="207"/>
  <c r="P33" i="207"/>
  <c r="AO34" i="206"/>
  <c r="P33" i="206"/>
  <c r="AO34" i="205"/>
  <c r="P33" i="205"/>
  <c r="P33" i="204"/>
  <c r="AO34" i="204"/>
  <c r="AO34" i="203"/>
  <c r="P33" i="203"/>
  <c r="AO34" i="202"/>
  <c r="P33" i="202"/>
  <c r="AO34" i="201"/>
  <c r="P33" i="201"/>
  <c r="AO34" i="200"/>
  <c r="P33" i="200"/>
  <c r="AO34" i="199"/>
  <c r="P33" i="199"/>
  <c r="AO34" i="198"/>
  <c r="P33" i="198"/>
  <c r="P33" i="197"/>
  <c r="AO34" i="197"/>
  <c r="GK83" i="183"/>
  <c r="BW43" i="183"/>
  <c r="BX43" i="183" s="1"/>
  <c r="BY43" i="183" s="1"/>
  <c r="BY44" i="186"/>
  <c r="BW45" i="186"/>
  <c r="BX45" i="186" s="1"/>
  <c r="BY45" i="186" s="1"/>
  <c r="FC44" i="183"/>
  <c r="L51" i="182"/>
  <c r="N51" i="182" s="1"/>
  <c r="O51" i="182" s="1" a="1"/>
  <c r="O51" i="182" s="1"/>
  <c r="N52" i="182" s="1"/>
  <c r="N50" i="182"/>
  <c r="O50" i="182" s="1" a="1"/>
  <c r="O50" i="182" s="1"/>
  <c r="FD43" i="183"/>
  <c r="FE45" i="186"/>
  <c r="FD45" i="186"/>
  <c r="AE45" i="183"/>
  <c r="AD45" i="183"/>
  <c r="AJ44" i="183"/>
  <c r="AI44" i="183"/>
  <c r="AH44" i="183"/>
  <c r="AG44" i="183"/>
  <c r="AF45" i="183"/>
  <c r="FX85" i="183"/>
  <c r="GJ85" i="183"/>
  <c r="GJ84" i="183" s="1"/>
  <c r="GJ83" i="183" s="1"/>
  <c r="GJ82" i="183" s="1"/>
  <c r="GJ81" i="183" s="1"/>
  <c r="GJ80" i="183" s="1"/>
  <c r="GJ79" i="183" s="1"/>
  <c r="GJ78" i="183" s="1"/>
  <c r="GJ77" i="183" s="1"/>
  <c r="GJ76" i="183" s="1"/>
  <c r="GJ75" i="183" s="1"/>
  <c r="GJ74" i="183" s="1"/>
  <c r="GJ73" i="183" s="1"/>
  <c r="GJ72" i="183" s="1"/>
  <c r="GJ71" i="183" s="1"/>
  <c r="GJ70" i="183" s="1"/>
  <c r="GB85" i="183"/>
  <c r="FZ85" i="183"/>
  <c r="FB42" i="183"/>
  <c r="FA42" i="183" s="1"/>
  <c r="BY42" i="183"/>
  <c r="GK85" i="186"/>
  <c r="FE43" i="183"/>
  <c r="L25" i="169"/>
  <c r="L19" i="80"/>
  <c r="N19" i="80" s="1"/>
  <c r="O19" i="80" s="1" a="1"/>
  <c r="O19" i="80" s="1"/>
  <c r="AO20" i="114"/>
  <c r="P19" i="114"/>
  <c r="GE70" i="84"/>
  <c r="AQ30" i="84" s="1"/>
  <c r="GD70" i="84"/>
  <c r="AP30" i="84" s="1"/>
  <c r="AO35" i="230" l="1"/>
  <c r="P34" i="230"/>
  <c r="AO35" i="229"/>
  <c r="P34" i="229"/>
  <c r="AO35" i="228"/>
  <c r="P34" i="228"/>
  <c r="AO35" i="227"/>
  <c r="P34" i="227"/>
  <c r="AO35" i="226"/>
  <c r="P34" i="226"/>
  <c r="AO35" i="225"/>
  <c r="P34" i="225"/>
  <c r="AO35" i="224"/>
  <c r="P34" i="224"/>
  <c r="AO35" i="223"/>
  <c r="P34" i="223"/>
  <c r="AO35" i="222"/>
  <c r="P34" i="222"/>
  <c r="AO35" i="221"/>
  <c r="P34" i="221"/>
  <c r="AO35" i="220"/>
  <c r="P34" i="220"/>
  <c r="AO35" i="219"/>
  <c r="P34" i="219"/>
  <c r="AO35" i="218"/>
  <c r="P34" i="218"/>
  <c r="AO35" i="217"/>
  <c r="P34" i="217"/>
  <c r="AO35" i="216"/>
  <c r="P34" i="216"/>
  <c r="AO35" i="215"/>
  <c r="P34" i="215"/>
  <c r="AO35" i="214"/>
  <c r="P34" i="214"/>
  <c r="AO35" i="213"/>
  <c r="P34" i="213"/>
  <c r="AO35" i="212"/>
  <c r="P34" i="212"/>
  <c r="P35" i="211"/>
  <c r="AO36" i="211"/>
  <c r="AO35" i="210"/>
  <c r="P34" i="210"/>
  <c r="AO35" i="209"/>
  <c r="P34" i="209"/>
  <c r="AO35" i="208"/>
  <c r="P34" i="208"/>
  <c r="AO35" i="207"/>
  <c r="P34" i="207"/>
  <c r="AO35" i="206"/>
  <c r="P34" i="206"/>
  <c r="AO35" i="205"/>
  <c r="P34" i="205"/>
  <c r="AO35" i="204"/>
  <c r="P34" i="204"/>
  <c r="AO35" i="203"/>
  <c r="P34" i="203"/>
  <c r="AO35" i="202"/>
  <c r="P34" i="202"/>
  <c r="AO35" i="201"/>
  <c r="P34" i="201"/>
  <c r="AO35" i="200"/>
  <c r="P34" i="200"/>
  <c r="AO35" i="199"/>
  <c r="P34" i="199"/>
  <c r="AO35" i="198"/>
  <c r="P34" i="198"/>
  <c r="AO35" i="197"/>
  <c r="P34" i="197"/>
  <c r="FE44" i="183"/>
  <c r="BW44" i="183"/>
  <c r="BX44" i="183" s="1"/>
  <c r="FB44" i="183" s="1"/>
  <c r="FA44" i="183" s="1"/>
  <c r="FB45" i="186"/>
  <c r="FA45" i="186" s="1"/>
  <c r="FB43" i="183"/>
  <c r="FA43" i="183" s="1"/>
  <c r="GK84" i="183"/>
  <c r="FF45" i="186"/>
  <c r="FF44" i="186" s="1"/>
  <c r="FF43" i="186" s="1"/>
  <c r="FF42" i="186" s="1"/>
  <c r="FF41" i="186" s="1"/>
  <c r="FF40" i="186" s="1"/>
  <c r="FF39" i="186" s="1"/>
  <c r="FF38" i="186" s="1"/>
  <c r="FF37" i="186" s="1"/>
  <c r="FF36" i="186" s="1"/>
  <c r="FF35" i="186" s="1"/>
  <c r="FF34" i="186" s="1"/>
  <c r="FF33" i="186" s="1"/>
  <c r="AG45" i="183"/>
  <c r="AH45" i="183"/>
  <c r="FD44" i="183"/>
  <c r="AJ45" i="183"/>
  <c r="AI45" i="183"/>
  <c r="FC45" i="183"/>
  <c r="L26" i="169"/>
  <c r="L20" i="80"/>
  <c r="N20" i="80" s="1"/>
  <c r="O20" i="80" s="1" a="1"/>
  <c r="O20" i="80" s="1"/>
  <c r="AO21" i="114"/>
  <c r="P20" i="114"/>
  <c r="CQ1" i="168"/>
  <c r="P35" i="230" l="1"/>
  <c r="AO36" i="230"/>
  <c r="P35" i="229"/>
  <c r="AO36" i="229"/>
  <c r="P35" i="228"/>
  <c r="AO36" i="228"/>
  <c r="P35" i="227"/>
  <c r="AO36" i="227"/>
  <c r="P35" i="226"/>
  <c r="AO36" i="226"/>
  <c r="P35" i="225"/>
  <c r="AO36" i="225"/>
  <c r="P35" i="224"/>
  <c r="AO36" i="224"/>
  <c r="P35" i="223"/>
  <c r="AO36" i="223"/>
  <c r="P35" i="222"/>
  <c r="AO36" i="222"/>
  <c r="P35" i="221"/>
  <c r="AO36" i="221"/>
  <c r="P35" i="220"/>
  <c r="AO36" i="220"/>
  <c r="P35" i="219"/>
  <c r="AO36" i="219"/>
  <c r="P35" i="218"/>
  <c r="AO36" i="218"/>
  <c r="P35" i="217"/>
  <c r="AO36" i="217"/>
  <c r="P35" i="216"/>
  <c r="AO36" i="216"/>
  <c r="P35" i="215"/>
  <c r="AO36" i="215"/>
  <c r="P35" i="214"/>
  <c r="AO36" i="214"/>
  <c r="P35" i="213"/>
  <c r="AO36" i="213"/>
  <c r="P35" i="212"/>
  <c r="AO36" i="212"/>
  <c r="P36" i="211"/>
  <c r="AO37" i="211"/>
  <c r="P35" i="210"/>
  <c r="AO36" i="210"/>
  <c r="P35" i="209"/>
  <c r="AO36" i="209"/>
  <c r="P35" i="208"/>
  <c r="AO36" i="208"/>
  <c r="P35" i="207"/>
  <c r="AO36" i="207"/>
  <c r="P35" i="206"/>
  <c r="AO36" i="206"/>
  <c r="P35" i="205"/>
  <c r="AO36" i="205"/>
  <c r="P35" i="204"/>
  <c r="AO36" i="204"/>
  <c r="P35" i="203"/>
  <c r="AO36" i="203"/>
  <c r="P35" i="202"/>
  <c r="AO36" i="202"/>
  <c r="P35" i="201"/>
  <c r="AO36" i="201"/>
  <c r="P35" i="200"/>
  <c r="AO36" i="200"/>
  <c r="P35" i="199"/>
  <c r="AO36" i="199"/>
  <c r="P35" i="198"/>
  <c r="AO36" i="198"/>
  <c r="P35" i="197"/>
  <c r="AO36" i="197"/>
  <c r="BW45" i="183"/>
  <c r="BX45" i="183" s="1"/>
  <c r="FB45" i="183" s="1"/>
  <c r="FA45" i="183" s="1"/>
  <c r="BY44" i="183"/>
  <c r="FD45" i="183"/>
  <c r="FE45" i="183"/>
  <c r="GK85" i="183"/>
  <c r="L27" i="169"/>
  <c r="L21" i="80"/>
  <c r="AO22" i="114"/>
  <c r="P21" i="114"/>
  <c r="P36" i="230" l="1"/>
  <c r="AO37" i="230"/>
  <c r="P36" i="229"/>
  <c r="AO37" i="229"/>
  <c r="P36" i="228"/>
  <c r="AO37" i="228"/>
  <c r="P36" i="227"/>
  <c r="AO37" i="227"/>
  <c r="P36" i="226"/>
  <c r="AO37" i="226"/>
  <c r="P36" i="225"/>
  <c r="AO37" i="225"/>
  <c r="P36" i="224"/>
  <c r="AO37" i="224"/>
  <c r="P36" i="223"/>
  <c r="AO37" i="223"/>
  <c r="P36" i="222"/>
  <c r="AO37" i="222"/>
  <c r="P36" i="221"/>
  <c r="AO37" i="221"/>
  <c r="P36" i="220"/>
  <c r="AO37" i="220"/>
  <c r="P36" i="219"/>
  <c r="AO37" i="219"/>
  <c r="P36" i="218"/>
  <c r="AO37" i="218"/>
  <c r="P36" i="217"/>
  <c r="AO37" i="217"/>
  <c r="P36" i="216"/>
  <c r="AO37" i="216"/>
  <c r="P36" i="215"/>
  <c r="AO37" i="215"/>
  <c r="P36" i="214"/>
  <c r="AO37" i="214"/>
  <c r="P36" i="213"/>
  <c r="AO37" i="213"/>
  <c r="P36" i="212"/>
  <c r="AO37" i="212"/>
  <c r="AO38" i="211"/>
  <c r="P37" i="211"/>
  <c r="P36" i="210"/>
  <c r="AO37" i="210"/>
  <c r="P36" i="209"/>
  <c r="AO37" i="209"/>
  <c r="P36" i="208"/>
  <c r="AO37" i="208"/>
  <c r="P36" i="207"/>
  <c r="AO37" i="207"/>
  <c r="P36" i="206"/>
  <c r="AO37" i="206"/>
  <c r="P36" i="205"/>
  <c r="AO37" i="205"/>
  <c r="P36" i="204"/>
  <c r="AO37" i="204"/>
  <c r="P36" i="203"/>
  <c r="AO37" i="203"/>
  <c r="P36" i="202"/>
  <c r="AO37" i="202"/>
  <c r="P36" i="201"/>
  <c r="AO37" i="201"/>
  <c r="P36" i="200"/>
  <c r="AO37" i="200"/>
  <c r="P36" i="199"/>
  <c r="AO37" i="199"/>
  <c r="P36" i="198"/>
  <c r="AO37" i="198"/>
  <c r="P36" i="197"/>
  <c r="AO37" i="197"/>
  <c r="BY45" i="183"/>
  <c r="FF45" i="183"/>
  <c r="FF44" i="183" s="1"/>
  <c r="FF43" i="183" s="1"/>
  <c r="FF42" i="183" s="1"/>
  <c r="FF41" i="183" s="1"/>
  <c r="FF40" i="183" s="1"/>
  <c r="FF39" i="183" s="1"/>
  <c r="FF38" i="183" s="1"/>
  <c r="FF37" i="183" s="1"/>
  <c r="FF36" i="183" s="1"/>
  <c r="FF35" i="183" s="1"/>
  <c r="FF34" i="183" s="1"/>
  <c r="FF33" i="183" s="1"/>
  <c r="FF32" i="183" s="1"/>
  <c r="FF31" i="183" s="1"/>
  <c r="FF30" i="183" s="1"/>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AO38" i="230" l="1"/>
  <c r="P37" i="230"/>
  <c r="AO38" i="229"/>
  <c r="P37" i="229"/>
  <c r="AO38" i="228"/>
  <c r="P37" i="228"/>
  <c r="AO38" i="227"/>
  <c r="P37" i="227"/>
  <c r="AO38" i="226"/>
  <c r="P37" i="226"/>
  <c r="AO38" i="225"/>
  <c r="P37" i="225"/>
  <c r="AO38" i="224"/>
  <c r="P37" i="224"/>
  <c r="AO38" i="223"/>
  <c r="P37" i="223"/>
  <c r="AO38" i="222"/>
  <c r="P37" i="222"/>
  <c r="AO38" i="221"/>
  <c r="P37" i="221"/>
  <c r="AO38" i="220"/>
  <c r="P37" i="220"/>
  <c r="AO38" i="219"/>
  <c r="P37" i="219"/>
  <c r="AO38" i="218"/>
  <c r="P37" i="218"/>
  <c r="AO38" i="217"/>
  <c r="P37" i="217"/>
  <c r="AO38" i="216"/>
  <c r="P37" i="216"/>
  <c r="AO38" i="215"/>
  <c r="P37" i="215"/>
  <c r="AO38" i="214"/>
  <c r="P37" i="214"/>
  <c r="AO38" i="213"/>
  <c r="P37" i="213"/>
  <c r="AO38" i="212"/>
  <c r="P37" i="212"/>
  <c r="AO39" i="211"/>
  <c r="P38" i="211"/>
  <c r="AO38" i="210"/>
  <c r="P37" i="210"/>
  <c r="P37" i="209"/>
  <c r="AO38" i="209"/>
  <c r="AO38" i="208"/>
  <c r="P37" i="208"/>
  <c r="AO38" i="207"/>
  <c r="P37" i="207"/>
  <c r="AO38" i="206"/>
  <c r="P37" i="206"/>
  <c r="AO38" i="205"/>
  <c r="P37" i="205"/>
  <c r="AO38" i="204"/>
  <c r="P37" i="204"/>
  <c r="AO38" i="203"/>
  <c r="P37" i="203"/>
  <c r="AO38" i="202"/>
  <c r="P37" i="202"/>
  <c r="AO38" i="201"/>
  <c r="P37" i="201"/>
  <c r="AO38" i="200"/>
  <c r="P37" i="200"/>
  <c r="AO38" i="199"/>
  <c r="P37" i="199"/>
  <c r="AO38" i="198"/>
  <c r="P37" i="198"/>
  <c r="AO38" i="197"/>
  <c r="P37" i="197"/>
  <c r="L29" i="169"/>
  <c r="L23" i="80"/>
  <c r="N23" i="80" s="1"/>
  <c r="O23" i="80" s="1" a="1"/>
  <c r="O23" i="80" s="1"/>
  <c r="AO24" i="114"/>
  <c r="P23" i="114"/>
  <c r="AH2" i="168"/>
  <c r="AO39" i="230" l="1"/>
  <c r="P38" i="230"/>
  <c r="AO39" i="229"/>
  <c r="P38" i="229"/>
  <c r="AO39" i="228"/>
  <c r="P38" i="228"/>
  <c r="AO39" i="227"/>
  <c r="P38" i="227"/>
  <c r="AO39" i="226"/>
  <c r="P38" i="226"/>
  <c r="AO39" i="225"/>
  <c r="P38" i="225"/>
  <c r="AO39" i="224"/>
  <c r="P38" i="224"/>
  <c r="AO39" i="223"/>
  <c r="P38" i="223"/>
  <c r="AO39" i="222"/>
  <c r="P38" i="222"/>
  <c r="AO39" i="221"/>
  <c r="P38" i="221"/>
  <c r="AO39" i="220"/>
  <c r="P38" i="220"/>
  <c r="AO39" i="219"/>
  <c r="P38" i="219"/>
  <c r="AO39" i="218"/>
  <c r="P38" i="218"/>
  <c r="AO39" i="217"/>
  <c r="P38" i="217"/>
  <c r="AO39" i="216"/>
  <c r="P38" i="216"/>
  <c r="AO39" i="215"/>
  <c r="P38" i="215"/>
  <c r="AO39" i="214"/>
  <c r="P38" i="214"/>
  <c r="AO39" i="213"/>
  <c r="P38" i="213"/>
  <c r="AO39" i="212"/>
  <c r="P38" i="212"/>
  <c r="P39" i="211"/>
  <c r="AO40" i="211"/>
  <c r="AO39" i="210"/>
  <c r="P38" i="210"/>
  <c r="AO39" i="209"/>
  <c r="P38" i="209"/>
  <c r="AO39" i="208"/>
  <c r="P38" i="208"/>
  <c r="AO39" i="207"/>
  <c r="P38" i="207"/>
  <c r="AO39" i="206"/>
  <c r="P38" i="206"/>
  <c r="AO39" i="205"/>
  <c r="P38" i="205"/>
  <c r="AO39" i="204"/>
  <c r="P38" i="204"/>
  <c r="AO39" i="203"/>
  <c r="P38" i="203"/>
  <c r="AO39" i="202"/>
  <c r="P38" i="202"/>
  <c r="AO39" i="201"/>
  <c r="P38" i="201"/>
  <c r="AO39" i="200"/>
  <c r="P38" i="200"/>
  <c r="AO39" i="199"/>
  <c r="P38" i="199"/>
  <c r="AO39" i="198"/>
  <c r="P38" i="198"/>
  <c r="AO39" i="197"/>
  <c r="P38" i="197"/>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P39" i="230" l="1"/>
  <c r="AO40" i="230"/>
  <c r="P39" i="229"/>
  <c r="AO40" i="229"/>
  <c r="P39" i="228"/>
  <c r="AO40" i="228"/>
  <c r="P39" i="227"/>
  <c r="AO40" i="227"/>
  <c r="P39" i="226"/>
  <c r="AO40" i="226"/>
  <c r="P39" i="225"/>
  <c r="AO40" i="225"/>
  <c r="P39" i="224"/>
  <c r="AO40" i="224"/>
  <c r="P39" i="223"/>
  <c r="AO40" i="223"/>
  <c r="P39" i="222"/>
  <c r="AO40" i="222"/>
  <c r="P39" i="221"/>
  <c r="AO40" i="221"/>
  <c r="P39" i="220"/>
  <c r="AO40" i="220"/>
  <c r="P39" i="219"/>
  <c r="AO40" i="219"/>
  <c r="P39" i="218"/>
  <c r="AO40" i="218"/>
  <c r="P39" i="217"/>
  <c r="AO40" i="217"/>
  <c r="P39" i="216"/>
  <c r="AO40" i="216"/>
  <c r="P39" i="215"/>
  <c r="AO40" i="215"/>
  <c r="P39" i="214"/>
  <c r="AO40" i="214"/>
  <c r="P39" i="213"/>
  <c r="AO40" i="213"/>
  <c r="P39" i="212"/>
  <c r="AO40" i="212"/>
  <c r="P40" i="211"/>
  <c r="AO41" i="211"/>
  <c r="P39" i="210"/>
  <c r="AO40" i="210"/>
  <c r="P39" i="209"/>
  <c r="AO40" i="209"/>
  <c r="P39" i="208"/>
  <c r="AO40" i="208"/>
  <c r="P39" i="207"/>
  <c r="AO40" i="207"/>
  <c r="P39" i="206"/>
  <c r="AO40" i="206"/>
  <c r="P39" i="205"/>
  <c r="AO40" i="205"/>
  <c r="P39" i="204"/>
  <c r="AO40" i="204"/>
  <c r="P39" i="203"/>
  <c r="AO40" i="203"/>
  <c r="P39" i="202"/>
  <c r="AO40" i="202"/>
  <c r="P39" i="201"/>
  <c r="AO40" i="201"/>
  <c r="P39" i="200"/>
  <c r="AO40" i="200"/>
  <c r="P39" i="199"/>
  <c r="AO40" i="199"/>
  <c r="P39" i="198"/>
  <c r="AO40" i="198"/>
  <c r="P39" i="197"/>
  <c r="AO40" i="197"/>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P40" i="230" l="1"/>
  <c r="AO41" i="230"/>
  <c r="P40" i="229"/>
  <c r="AO41" i="229"/>
  <c r="P40" i="228"/>
  <c r="AO41" i="228"/>
  <c r="P40" i="227"/>
  <c r="AO41" i="227"/>
  <c r="P40" i="226"/>
  <c r="AO41" i="226"/>
  <c r="P40" i="225"/>
  <c r="AO41" i="225"/>
  <c r="P40" i="224"/>
  <c r="AO41" i="224"/>
  <c r="P40" i="223"/>
  <c r="AO41" i="223"/>
  <c r="P40" i="222"/>
  <c r="AO41" i="222"/>
  <c r="P40" i="221"/>
  <c r="AO41" i="221"/>
  <c r="P40" i="220"/>
  <c r="AO41" i="220"/>
  <c r="P40" i="219"/>
  <c r="AO41" i="219"/>
  <c r="P40" i="218"/>
  <c r="AO41" i="218"/>
  <c r="P40" i="217"/>
  <c r="AO41" i="217"/>
  <c r="P40" i="216"/>
  <c r="AO41" i="216"/>
  <c r="P40" i="215"/>
  <c r="AO41" i="215"/>
  <c r="P40" i="214"/>
  <c r="AO41" i="214"/>
  <c r="P40" i="213"/>
  <c r="AO41" i="213"/>
  <c r="P40" i="212"/>
  <c r="AO41" i="212"/>
  <c r="AO42" i="211"/>
  <c r="P41" i="211"/>
  <c r="P40" i="210"/>
  <c r="AO41" i="210"/>
  <c r="P40" i="209"/>
  <c r="AO41" i="209"/>
  <c r="P40" i="208"/>
  <c r="AO41" i="208"/>
  <c r="P40" i="207"/>
  <c r="AO41" i="207"/>
  <c r="P40" i="206"/>
  <c r="AO41" i="206"/>
  <c r="P40" i="205"/>
  <c r="AO41" i="205"/>
  <c r="P40" i="204"/>
  <c r="AO41" i="204"/>
  <c r="P40" i="203"/>
  <c r="AO41" i="203"/>
  <c r="P40" i="202"/>
  <c r="AO41" i="202"/>
  <c r="P40" i="201"/>
  <c r="AO41" i="201"/>
  <c r="P40" i="200"/>
  <c r="AO41" i="200"/>
  <c r="P40" i="199"/>
  <c r="AO41" i="199"/>
  <c r="P40" i="198"/>
  <c r="AO41" i="198"/>
  <c r="P40" i="197"/>
  <c r="AO41" i="197"/>
  <c r="L32" i="169"/>
  <c r="L26" i="80"/>
  <c r="N26" i="80" s="1"/>
  <c r="O26" i="80" s="1" a="1"/>
  <c r="O26" i="80" s="1"/>
  <c r="AO27" i="114"/>
  <c r="P26" i="114"/>
  <c r="AE2" i="13"/>
  <c r="AO42" i="230" l="1"/>
  <c r="P41" i="230"/>
  <c r="AO42" i="229"/>
  <c r="P41" i="229"/>
  <c r="AO42" i="228"/>
  <c r="P41" i="228"/>
  <c r="AO42" i="227"/>
  <c r="P41" i="227"/>
  <c r="AO42" i="226"/>
  <c r="P41" i="226"/>
  <c r="AO42" i="225"/>
  <c r="P41" i="225"/>
  <c r="AO42" i="224"/>
  <c r="P41" i="224"/>
  <c r="AO42" i="223"/>
  <c r="P41" i="223"/>
  <c r="AO42" i="222"/>
  <c r="P41" i="222"/>
  <c r="AO42" i="221"/>
  <c r="P41" i="221"/>
  <c r="AO42" i="220"/>
  <c r="P41" i="220"/>
  <c r="AO42" i="219"/>
  <c r="P41" i="219"/>
  <c r="AO42" i="218"/>
  <c r="P41" i="218"/>
  <c r="AO42" i="217"/>
  <c r="P41" i="217"/>
  <c r="AO42" i="216"/>
  <c r="P41" i="216"/>
  <c r="AO42" i="215"/>
  <c r="P41" i="215"/>
  <c r="P41" i="214"/>
  <c r="AO42" i="214"/>
  <c r="AO42" i="213"/>
  <c r="P41" i="213"/>
  <c r="AO42" i="212"/>
  <c r="P41" i="212"/>
  <c r="AO43" i="211"/>
  <c r="P42" i="211"/>
  <c r="AO42" i="210"/>
  <c r="P41" i="210"/>
  <c r="AO42" i="209"/>
  <c r="P41" i="209"/>
  <c r="AO42" i="208"/>
  <c r="P41" i="208"/>
  <c r="AO42" i="207"/>
  <c r="P41" i="207"/>
  <c r="AO42" i="206"/>
  <c r="P41" i="206"/>
  <c r="AO42" i="205"/>
  <c r="P41" i="205"/>
  <c r="AO42" i="204"/>
  <c r="P41" i="204"/>
  <c r="AO42" i="203"/>
  <c r="P41" i="203"/>
  <c r="AO42" i="202"/>
  <c r="P41" i="202"/>
  <c r="AO42" i="201"/>
  <c r="P41" i="201"/>
  <c r="AO42" i="200"/>
  <c r="P41" i="200"/>
  <c r="AO42" i="199"/>
  <c r="P41" i="199"/>
  <c r="AO42" i="198"/>
  <c r="P41" i="198"/>
  <c r="AO42" i="197"/>
  <c r="P41" i="197"/>
  <c r="L33" i="169"/>
  <c r="L27" i="80"/>
  <c r="N27" i="80" s="1"/>
  <c r="O27" i="80" s="1" a="1"/>
  <c r="O27" i="80" s="1"/>
  <c r="AO28" i="114"/>
  <c r="P27" i="114"/>
  <c r="AA36" i="165"/>
  <c r="AO43" i="230" l="1"/>
  <c r="P42" i="230"/>
  <c r="AO43" i="229"/>
  <c r="P42" i="229"/>
  <c r="AO43" i="228"/>
  <c r="P42" i="228"/>
  <c r="AO43" i="227"/>
  <c r="P42" i="227"/>
  <c r="AO43" i="226"/>
  <c r="P42" i="226"/>
  <c r="AO43" i="225"/>
  <c r="P42" i="225"/>
  <c r="AO43" i="224"/>
  <c r="P42" i="224"/>
  <c r="AO43" i="223"/>
  <c r="P42" i="223"/>
  <c r="AO43" i="222"/>
  <c r="P42" i="222"/>
  <c r="AO43" i="221"/>
  <c r="P42" i="221"/>
  <c r="AO43" i="220"/>
  <c r="P42" i="220"/>
  <c r="AO43" i="219"/>
  <c r="P42" i="219"/>
  <c r="AO43" i="218"/>
  <c r="P42" i="218"/>
  <c r="AO43" i="217"/>
  <c r="P42" i="217"/>
  <c r="AO43" i="216"/>
  <c r="P42" i="216"/>
  <c r="AO43" i="215"/>
  <c r="P42" i="215"/>
  <c r="AO43" i="214"/>
  <c r="P42" i="214"/>
  <c r="AO43" i="213"/>
  <c r="P42" i="213"/>
  <c r="AO43" i="212"/>
  <c r="P42" i="212"/>
  <c r="P43" i="211"/>
  <c r="AO44" i="211"/>
  <c r="AO43" i="210"/>
  <c r="P42" i="210"/>
  <c r="AO43" i="209"/>
  <c r="P42" i="209"/>
  <c r="AO43" i="208"/>
  <c r="P42" i="208"/>
  <c r="AO43" i="207"/>
  <c r="P42" i="207"/>
  <c r="AO43" i="206"/>
  <c r="P42" i="206"/>
  <c r="AO43" i="205"/>
  <c r="P42" i="205"/>
  <c r="AO43" i="204"/>
  <c r="P42" i="204"/>
  <c r="AO43" i="203"/>
  <c r="P42" i="203"/>
  <c r="AO43" i="202"/>
  <c r="P42" i="202"/>
  <c r="AO43" i="201"/>
  <c r="P42" i="201"/>
  <c r="AO43" i="200"/>
  <c r="P42" i="200"/>
  <c r="AO43" i="199"/>
  <c r="P42" i="199"/>
  <c r="AO43" i="198"/>
  <c r="P42" i="198"/>
  <c r="AO43" i="197"/>
  <c r="P42" i="197"/>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P43" i="230" l="1"/>
  <c r="AO44" i="230"/>
  <c r="P43" i="229"/>
  <c r="AO44" i="229"/>
  <c r="P43" i="228"/>
  <c r="AO44" i="228"/>
  <c r="P43" i="227"/>
  <c r="AO44" i="227"/>
  <c r="P43" i="226"/>
  <c r="AO44" i="226"/>
  <c r="P43" i="225"/>
  <c r="AO44" i="225"/>
  <c r="P43" i="224"/>
  <c r="AO44" i="224"/>
  <c r="P43" i="223"/>
  <c r="AO44" i="223"/>
  <c r="P43" i="222"/>
  <c r="AO44" i="222"/>
  <c r="P43" i="221"/>
  <c r="AO44" i="221"/>
  <c r="P43" i="220"/>
  <c r="AO44" i="220"/>
  <c r="P43" i="219"/>
  <c r="AO44" i="219"/>
  <c r="P43" i="218"/>
  <c r="AO44" i="218"/>
  <c r="P43" i="217"/>
  <c r="AO44" i="217"/>
  <c r="P43" i="216"/>
  <c r="AO44" i="216"/>
  <c r="P43" i="215"/>
  <c r="AO44" i="215"/>
  <c r="P43" i="214"/>
  <c r="AO44" i="214"/>
  <c r="P43" i="213"/>
  <c r="AO44" i="213"/>
  <c r="P43" i="212"/>
  <c r="AO44" i="212"/>
  <c r="P44" i="211"/>
  <c r="AO45" i="211"/>
  <c r="P43" i="210"/>
  <c r="AO44" i="210"/>
  <c r="P43" i="209"/>
  <c r="AO44" i="209"/>
  <c r="P43" i="208"/>
  <c r="AO44" i="208"/>
  <c r="P43" i="207"/>
  <c r="AO44" i="207"/>
  <c r="P43" i="206"/>
  <c r="AO44" i="206"/>
  <c r="P43" i="205"/>
  <c r="AO44" i="205"/>
  <c r="P43" i="204"/>
  <c r="AO44" i="204"/>
  <c r="P43" i="203"/>
  <c r="AO44" i="203"/>
  <c r="P43" i="202"/>
  <c r="AO44" i="202"/>
  <c r="P43" i="201"/>
  <c r="AO44" i="201"/>
  <c r="P43" i="200"/>
  <c r="AO44" i="200"/>
  <c r="P43" i="199"/>
  <c r="AO44" i="199"/>
  <c r="P43" i="198"/>
  <c r="AO44" i="198"/>
  <c r="P43" i="197"/>
  <c r="AO44" i="197"/>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P44" i="230" l="1"/>
  <c r="AO45" i="230"/>
  <c r="P44" i="229"/>
  <c r="AO45" i="229"/>
  <c r="P44" i="228"/>
  <c r="AO45" i="228"/>
  <c r="P44" i="227"/>
  <c r="AO45" i="227"/>
  <c r="P44" i="226"/>
  <c r="AO45" i="226"/>
  <c r="P44" i="225"/>
  <c r="AO45" i="225"/>
  <c r="P44" i="224"/>
  <c r="AO45" i="224"/>
  <c r="P44" i="223"/>
  <c r="AO45" i="223"/>
  <c r="P44" i="222"/>
  <c r="AO45" i="222"/>
  <c r="P44" i="221"/>
  <c r="AO45" i="221"/>
  <c r="P44" i="220"/>
  <c r="AO45" i="220"/>
  <c r="P44" i="219"/>
  <c r="AO45" i="219"/>
  <c r="P44" i="218"/>
  <c r="AO45" i="218"/>
  <c r="P44" i="217"/>
  <c r="AO45" i="217"/>
  <c r="P44" i="216"/>
  <c r="AO45" i="216"/>
  <c r="P44" i="215"/>
  <c r="AO45" i="215"/>
  <c r="P44" i="214"/>
  <c r="AO45" i="214"/>
  <c r="P44" i="213"/>
  <c r="AO45" i="213"/>
  <c r="P44" i="212"/>
  <c r="AO45" i="212"/>
  <c r="AO46" i="211"/>
  <c r="P45" i="211"/>
  <c r="P44" i="210"/>
  <c r="AO45" i="210"/>
  <c r="P44" i="209"/>
  <c r="AO45" i="209"/>
  <c r="P44" i="208"/>
  <c r="AO45" i="208"/>
  <c r="P44" i="207"/>
  <c r="AO45" i="207"/>
  <c r="P44" i="206"/>
  <c r="AO45" i="206"/>
  <c r="P44" i="205"/>
  <c r="AO45" i="205"/>
  <c r="P44" i="204"/>
  <c r="AO45" i="204"/>
  <c r="P44" i="203"/>
  <c r="AO45" i="203"/>
  <c r="P44" i="202"/>
  <c r="AO45" i="202"/>
  <c r="P44" i="201"/>
  <c r="AO45" i="201"/>
  <c r="P44" i="200"/>
  <c r="AO45" i="200"/>
  <c r="P44" i="199"/>
  <c r="AO45" i="199"/>
  <c r="P44" i="198"/>
  <c r="AO45" i="198"/>
  <c r="P44" i="197"/>
  <c r="AO45" i="197"/>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AO46" i="230" l="1"/>
  <c r="P45" i="230"/>
  <c r="AO46" i="229"/>
  <c r="P45" i="229"/>
  <c r="AO46" i="228"/>
  <c r="P45" i="228"/>
  <c r="AO46" i="227"/>
  <c r="P45" i="227"/>
  <c r="AO46" i="226"/>
  <c r="P45" i="226"/>
  <c r="AO46" i="225"/>
  <c r="P45" i="225"/>
  <c r="AO46" i="224"/>
  <c r="P45" i="224"/>
  <c r="AO46" i="223"/>
  <c r="P45" i="223"/>
  <c r="AO46" i="222"/>
  <c r="P45" i="222"/>
  <c r="AO46" i="221"/>
  <c r="P45" i="221"/>
  <c r="AO46" i="220"/>
  <c r="P45" i="220"/>
  <c r="AO46" i="219"/>
  <c r="P45" i="219"/>
  <c r="AO46" i="218"/>
  <c r="P45" i="218"/>
  <c r="AO46" i="217"/>
  <c r="P45" i="217"/>
  <c r="AO46" i="216"/>
  <c r="P45" i="216"/>
  <c r="AO46" i="215"/>
  <c r="P45" i="215"/>
  <c r="AO46" i="214"/>
  <c r="P45" i="214"/>
  <c r="AO46" i="213"/>
  <c r="P45" i="213"/>
  <c r="AO46" i="212"/>
  <c r="P45" i="212"/>
  <c r="AO47" i="211"/>
  <c r="P46" i="211"/>
  <c r="AO46" i="210"/>
  <c r="P45" i="210"/>
  <c r="AO46" i="209"/>
  <c r="P45" i="209"/>
  <c r="AO46" i="208"/>
  <c r="P45" i="208"/>
  <c r="AO46" i="207"/>
  <c r="P45" i="207"/>
  <c r="AO46" i="206"/>
  <c r="P45" i="206"/>
  <c r="AO46" i="205"/>
  <c r="P45" i="205"/>
  <c r="AO46" i="204"/>
  <c r="P45" i="204"/>
  <c r="AO46" i="203"/>
  <c r="P45" i="203"/>
  <c r="AO46" i="202"/>
  <c r="P45" i="202"/>
  <c r="AO46" i="201"/>
  <c r="P45" i="201"/>
  <c r="AO46" i="200"/>
  <c r="P45" i="200"/>
  <c r="AO46" i="199"/>
  <c r="P45" i="199"/>
  <c r="AO46" i="198"/>
  <c r="P45" i="198"/>
  <c r="AO46" i="197"/>
  <c r="P45" i="197"/>
  <c r="L37" i="169"/>
  <c r="L31" i="80"/>
  <c r="N31" i="80" s="1"/>
  <c r="O31" i="80" s="1" a="1"/>
  <c r="O31" i="80" s="1"/>
  <c r="AO32" i="114"/>
  <c r="P31" i="114"/>
  <c r="AO47" i="230" l="1"/>
  <c r="P46" i="230"/>
  <c r="AO47" i="229"/>
  <c r="P46" i="229"/>
  <c r="AO47" i="228"/>
  <c r="P46" i="228"/>
  <c r="AO47" i="227"/>
  <c r="P46" i="227"/>
  <c r="AO47" i="226"/>
  <c r="P46" i="226"/>
  <c r="AO47" i="225"/>
  <c r="P46" i="225"/>
  <c r="AO47" i="224"/>
  <c r="P46" i="224"/>
  <c r="AO47" i="223"/>
  <c r="P46" i="223"/>
  <c r="AO47" i="222"/>
  <c r="P46" i="222"/>
  <c r="AO47" i="221"/>
  <c r="P46" i="221"/>
  <c r="AO47" i="220"/>
  <c r="P46" i="220"/>
  <c r="AO47" i="219"/>
  <c r="P46" i="219"/>
  <c r="AO47" i="218"/>
  <c r="P46" i="218"/>
  <c r="AO47" i="217"/>
  <c r="P46" i="217"/>
  <c r="AO47" i="216"/>
  <c r="P46" i="216"/>
  <c r="AO47" i="215"/>
  <c r="P46" i="215"/>
  <c r="AO47" i="214"/>
  <c r="P46" i="214"/>
  <c r="AO47" i="213"/>
  <c r="P46" i="213"/>
  <c r="AO47" i="212"/>
  <c r="P46" i="212"/>
  <c r="P47" i="211"/>
  <c r="AO48" i="211"/>
  <c r="AO47" i="210"/>
  <c r="P46" i="210"/>
  <c r="AO47" i="209"/>
  <c r="P46" i="209"/>
  <c r="AO47" i="208"/>
  <c r="P46" i="208"/>
  <c r="AO47" i="207"/>
  <c r="P46" i="207"/>
  <c r="AO47" i="206"/>
  <c r="P46" i="206"/>
  <c r="AO47" i="205"/>
  <c r="P46" i="205"/>
  <c r="AO47" i="204"/>
  <c r="P46" i="204"/>
  <c r="AO47" i="203"/>
  <c r="P46" i="203"/>
  <c r="AO47" i="202"/>
  <c r="P46" i="202"/>
  <c r="AO47" i="201"/>
  <c r="P46" i="201"/>
  <c r="AO47" i="200"/>
  <c r="P46" i="200"/>
  <c r="AO47" i="199"/>
  <c r="P46" i="199"/>
  <c r="AO47" i="198"/>
  <c r="P46" i="198"/>
  <c r="AO47" i="197"/>
  <c r="P46" i="197"/>
  <c r="L38" i="169"/>
  <c r="L32" i="80"/>
  <c r="N32" i="80" s="1"/>
  <c r="O32" i="80" s="1" a="1"/>
  <c r="O32" i="80" s="1"/>
  <c r="AO33" i="114"/>
  <c r="P32" i="114"/>
  <c r="P47" i="230" l="1"/>
  <c r="AO48" i="230"/>
  <c r="P47" i="229"/>
  <c r="AO48" i="229"/>
  <c r="P47" i="228"/>
  <c r="AO48" i="228"/>
  <c r="P47" i="227"/>
  <c r="AO48" i="227"/>
  <c r="P47" i="226"/>
  <c r="AO48" i="226"/>
  <c r="P47" i="225"/>
  <c r="AO48" i="225"/>
  <c r="P47" i="224"/>
  <c r="AO48" i="224"/>
  <c r="P47" i="223"/>
  <c r="AO48" i="223"/>
  <c r="P47" i="222"/>
  <c r="AO48" i="222"/>
  <c r="P47" i="221"/>
  <c r="AO48" i="221"/>
  <c r="P47" i="220"/>
  <c r="AO48" i="220"/>
  <c r="P47" i="219"/>
  <c r="AO48" i="219"/>
  <c r="P47" i="218"/>
  <c r="AO48" i="218"/>
  <c r="P47" i="217"/>
  <c r="AO48" i="217"/>
  <c r="P47" i="216"/>
  <c r="AO48" i="216"/>
  <c r="P47" i="215"/>
  <c r="AO48" i="215"/>
  <c r="P47" i="214"/>
  <c r="AO48" i="214"/>
  <c r="P47" i="213"/>
  <c r="AO48" i="213"/>
  <c r="P47" i="212"/>
  <c r="AO48" i="212"/>
  <c r="P48" i="211"/>
  <c r="AO49" i="211"/>
  <c r="P47" i="210"/>
  <c r="AO48" i="210"/>
  <c r="P47" i="209"/>
  <c r="AO48" i="209"/>
  <c r="P47" i="208"/>
  <c r="AO48" i="208"/>
  <c r="P47" i="207"/>
  <c r="AO48" i="207"/>
  <c r="P47" i="206"/>
  <c r="AO48" i="206"/>
  <c r="P47" i="205"/>
  <c r="AO48" i="205"/>
  <c r="P47" i="204"/>
  <c r="AO48" i="204"/>
  <c r="P47" i="203"/>
  <c r="AO48" i="203"/>
  <c r="P47" i="202"/>
  <c r="AO48" i="202"/>
  <c r="P47" i="201"/>
  <c r="AO48" i="201"/>
  <c r="P47" i="200"/>
  <c r="AO48" i="200"/>
  <c r="P47" i="199"/>
  <c r="AO48" i="199"/>
  <c r="P47" i="198"/>
  <c r="AO48" i="198"/>
  <c r="P47" i="197"/>
  <c r="AO48" i="197"/>
  <c r="L39" i="169"/>
  <c r="L33" i="80"/>
  <c r="N33" i="80" s="1"/>
  <c r="O33" i="80" s="1" a="1"/>
  <c r="O33" i="80" s="1"/>
  <c r="AO34" i="114"/>
  <c r="P33" i="114"/>
  <c r="BG1" i="167"/>
  <c r="AD1" i="168"/>
  <c r="EC1" i="168"/>
  <c r="EC2" i="168" s="1"/>
  <c r="BR1" i="168"/>
  <c r="P48" i="230" l="1"/>
  <c r="AO49" i="230"/>
  <c r="P48" i="229"/>
  <c r="AO49" i="229"/>
  <c r="P48" i="228"/>
  <c r="AO49" i="228"/>
  <c r="P48" i="227"/>
  <c r="AO49" i="227"/>
  <c r="P48" i="226"/>
  <c r="AO49" i="226"/>
  <c r="P48" i="225"/>
  <c r="AO49" i="225"/>
  <c r="P48" i="224"/>
  <c r="AO49" i="224"/>
  <c r="P48" i="223"/>
  <c r="AO49" i="223"/>
  <c r="P48" i="222"/>
  <c r="AO49" i="222"/>
  <c r="P48" i="221"/>
  <c r="AO49" i="221"/>
  <c r="P48" i="220"/>
  <c r="AO49" i="220"/>
  <c r="P48" i="219"/>
  <c r="AO49" i="219"/>
  <c r="P48" i="218"/>
  <c r="AO49" i="218"/>
  <c r="P48" i="217"/>
  <c r="AO49" i="217"/>
  <c r="P48" i="216"/>
  <c r="AO49" i="216"/>
  <c r="P48" i="215"/>
  <c r="AO49" i="215"/>
  <c r="P48" i="214"/>
  <c r="AO49" i="214"/>
  <c r="P48" i="213"/>
  <c r="AO49" i="213"/>
  <c r="P48" i="212"/>
  <c r="AO49" i="212"/>
  <c r="AO50" i="211"/>
  <c r="P49" i="211"/>
  <c r="P48" i="210"/>
  <c r="AO49" i="210"/>
  <c r="P48" i="209"/>
  <c r="AO49" i="209"/>
  <c r="P48" i="208"/>
  <c r="AO49" i="208"/>
  <c r="P48" i="207"/>
  <c r="AO49" i="207"/>
  <c r="P48" i="206"/>
  <c r="AO49" i="206"/>
  <c r="P48" i="205"/>
  <c r="AO49" i="205"/>
  <c r="P48" i="204"/>
  <c r="AO49" i="204"/>
  <c r="P48" i="203"/>
  <c r="AO49" i="203"/>
  <c r="P48" i="202"/>
  <c r="AO49" i="202"/>
  <c r="P48" i="201"/>
  <c r="AO49" i="201"/>
  <c r="P48" i="200"/>
  <c r="AO49" i="200"/>
  <c r="P48" i="199"/>
  <c r="AO49" i="199"/>
  <c r="P48" i="198"/>
  <c r="AO49" i="198"/>
  <c r="P48" i="197"/>
  <c r="AO49" i="197"/>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AO50" i="230" l="1"/>
  <c r="P49" i="230"/>
  <c r="AO50" i="229"/>
  <c r="P49" i="229"/>
  <c r="AO50" i="228"/>
  <c r="P49" i="228"/>
  <c r="AO50" i="227"/>
  <c r="P49" i="227"/>
  <c r="AO50" i="226"/>
  <c r="P49" i="226"/>
  <c r="AO50" i="225"/>
  <c r="P49" i="225"/>
  <c r="AO50" i="224"/>
  <c r="P49" i="224"/>
  <c r="AO50" i="223"/>
  <c r="P49" i="223"/>
  <c r="AO50" i="222"/>
  <c r="P49" i="222"/>
  <c r="AO50" i="221"/>
  <c r="P49" i="221"/>
  <c r="AO50" i="220"/>
  <c r="P49" i="220"/>
  <c r="AO50" i="219"/>
  <c r="P49" i="219"/>
  <c r="AO50" i="218"/>
  <c r="P49" i="218"/>
  <c r="AO50" i="217"/>
  <c r="P49" i="217"/>
  <c r="AO50" i="216"/>
  <c r="P49" i="216"/>
  <c r="AO50" i="215"/>
  <c r="P49" i="215"/>
  <c r="AO50" i="214"/>
  <c r="P49" i="214"/>
  <c r="AO50" i="213"/>
  <c r="P49" i="213"/>
  <c r="AO50" i="212"/>
  <c r="P49" i="212"/>
  <c r="AO51" i="211"/>
  <c r="P50" i="211"/>
  <c r="AO50" i="210"/>
  <c r="P49" i="210"/>
  <c r="AO50" i="209"/>
  <c r="P49" i="209"/>
  <c r="AO50" i="208"/>
  <c r="P49" i="208"/>
  <c r="AO50" i="207"/>
  <c r="P49" i="207"/>
  <c r="AO50" i="206"/>
  <c r="P49" i="206"/>
  <c r="AO50" i="205"/>
  <c r="P49" i="205"/>
  <c r="AO50" i="204"/>
  <c r="P49" i="204"/>
  <c r="AO50" i="203"/>
  <c r="P49" i="203"/>
  <c r="AO50" i="202"/>
  <c r="P49" i="202"/>
  <c r="AO50" i="201"/>
  <c r="P49" i="201"/>
  <c r="AO50" i="200"/>
  <c r="P49" i="200"/>
  <c r="AO50" i="199"/>
  <c r="P49" i="199"/>
  <c r="AO50" i="198"/>
  <c r="P49" i="198"/>
  <c r="AO50" i="197"/>
  <c r="P49" i="19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AO51" i="230" l="1"/>
  <c r="P50" i="230"/>
  <c r="AO51" i="229"/>
  <c r="P50" i="229"/>
  <c r="AO51" i="228"/>
  <c r="P50" i="228"/>
  <c r="AO51" i="227"/>
  <c r="P50" i="227"/>
  <c r="AO51" i="226"/>
  <c r="P50" i="226"/>
  <c r="AO51" i="225"/>
  <c r="P50" i="225"/>
  <c r="AO51" i="224"/>
  <c r="P50" i="224"/>
  <c r="AO51" i="223"/>
  <c r="P50" i="223"/>
  <c r="AO51" i="222"/>
  <c r="P50" i="222"/>
  <c r="AO51" i="221"/>
  <c r="P50" i="221"/>
  <c r="AO51" i="220"/>
  <c r="P50" i="220"/>
  <c r="AO51" i="219"/>
  <c r="P50" i="219"/>
  <c r="AO51" i="218"/>
  <c r="P50" i="218"/>
  <c r="AO51" i="217"/>
  <c r="P50" i="217"/>
  <c r="AO51" i="216"/>
  <c r="P50" i="216"/>
  <c r="AO51" i="215"/>
  <c r="P50" i="215"/>
  <c r="AO51" i="214"/>
  <c r="P50" i="214"/>
  <c r="AO51" i="213"/>
  <c r="P50" i="213"/>
  <c r="AO51" i="212"/>
  <c r="P50" i="212"/>
  <c r="P51" i="211"/>
  <c r="AO52" i="211"/>
  <c r="AO51" i="210"/>
  <c r="P50" i="210"/>
  <c r="AO51" i="209"/>
  <c r="P50" i="209"/>
  <c r="AO51" i="208"/>
  <c r="P50" i="208"/>
  <c r="AO51" i="207"/>
  <c r="P50" i="207"/>
  <c r="AO51" i="206"/>
  <c r="P50" i="206"/>
  <c r="AO51" i="205"/>
  <c r="P50" i="205"/>
  <c r="AO51" i="204"/>
  <c r="P50" i="204"/>
  <c r="AO51" i="203"/>
  <c r="P50" i="203"/>
  <c r="AO51" i="202"/>
  <c r="P50" i="202"/>
  <c r="AO51" i="201"/>
  <c r="P50" i="201"/>
  <c r="AO51" i="200"/>
  <c r="P50" i="200"/>
  <c r="AO51" i="199"/>
  <c r="P50" i="199"/>
  <c r="AO51" i="198"/>
  <c r="P50" i="198"/>
  <c r="AO51" i="197"/>
  <c r="P50" i="197"/>
  <c r="L42" i="169"/>
  <c r="L36" i="80"/>
  <c r="N36" i="80" s="1"/>
  <c r="O36" i="80" s="1" a="1"/>
  <c r="O36" i="80" s="1"/>
  <c r="AO37" i="114"/>
  <c r="P36" i="114"/>
  <c r="BR87" i="84"/>
  <c r="P51" i="230" l="1"/>
  <c r="AO52" i="230"/>
  <c r="P51" i="229"/>
  <c r="AO52" i="229"/>
  <c r="P51" i="228"/>
  <c r="AO52" i="228"/>
  <c r="P51" i="227"/>
  <c r="AO52" i="227"/>
  <c r="P51" i="226"/>
  <c r="AO52" i="226"/>
  <c r="P51" i="225"/>
  <c r="AO52" i="225"/>
  <c r="P51" i="224"/>
  <c r="AO52" i="224"/>
  <c r="P51" i="223"/>
  <c r="AO52" i="223"/>
  <c r="P51" i="222"/>
  <c r="AO52" i="222"/>
  <c r="P51" i="221"/>
  <c r="AO52" i="221"/>
  <c r="P51" i="220"/>
  <c r="AO52" i="220"/>
  <c r="P51" i="219"/>
  <c r="AO52" i="219"/>
  <c r="P51" i="218"/>
  <c r="AO52" i="218"/>
  <c r="P51" i="217"/>
  <c r="AO52" i="217"/>
  <c r="P51" i="216"/>
  <c r="AO52" i="216"/>
  <c r="P51" i="215"/>
  <c r="AO52" i="215"/>
  <c r="P51" i="214"/>
  <c r="AO52" i="214"/>
  <c r="P51" i="213"/>
  <c r="AO52" i="213"/>
  <c r="P51" i="212"/>
  <c r="AO52" i="212"/>
  <c r="P52" i="211"/>
  <c r="AO53" i="211"/>
  <c r="P51" i="210"/>
  <c r="AO52" i="210"/>
  <c r="P51" i="209"/>
  <c r="AO52" i="209"/>
  <c r="P51" i="208"/>
  <c r="AO52" i="208"/>
  <c r="P51" i="207"/>
  <c r="AO52" i="207"/>
  <c r="P51" i="206"/>
  <c r="AO52" i="206"/>
  <c r="P51" i="205"/>
  <c r="AO52" i="205"/>
  <c r="P51" i="204"/>
  <c r="AO52" i="204"/>
  <c r="P51" i="203"/>
  <c r="AO52" i="203"/>
  <c r="P51" i="202"/>
  <c r="AO52" i="202"/>
  <c r="P51" i="201"/>
  <c r="AO52" i="201"/>
  <c r="P51" i="200"/>
  <c r="AO52" i="200"/>
  <c r="P51" i="199"/>
  <c r="AO52" i="199"/>
  <c r="P51" i="198"/>
  <c r="AO52" i="198"/>
  <c r="P51" i="197"/>
  <c r="AO52" i="197"/>
  <c r="L43" i="169"/>
  <c r="L37" i="80"/>
  <c r="N37" i="80" s="1"/>
  <c r="O37" i="80" s="1" a="1"/>
  <c r="O37" i="80" s="1"/>
  <c r="AO38" i="114"/>
  <c r="P37" i="114"/>
  <c r="GF26" i="147"/>
  <c r="P52" i="230" l="1"/>
  <c r="AO53" i="230"/>
  <c r="P52" i="229"/>
  <c r="AO53" i="229"/>
  <c r="P52" i="228"/>
  <c r="AO53" i="228"/>
  <c r="P52" i="227"/>
  <c r="AO53" i="227"/>
  <c r="P52" i="226"/>
  <c r="AO53" i="226"/>
  <c r="P52" i="225"/>
  <c r="AO53" i="225"/>
  <c r="P52" i="224"/>
  <c r="AO53" i="224"/>
  <c r="P52" i="223"/>
  <c r="AO53" i="223"/>
  <c r="P52" i="222"/>
  <c r="AO53" i="222"/>
  <c r="P52" i="221"/>
  <c r="AO53" i="221"/>
  <c r="P52" i="220"/>
  <c r="AO53" i="220"/>
  <c r="P52" i="219"/>
  <c r="AO53" i="219"/>
  <c r="P52" i="218"/>
  <c r="AO53" i="218"/>
  <c r="P52" i="217"/>
  <c r="AO53" i="217"/>
  <c r="P52" i="216"/>
  <c r="AO53" i="216"/>
  <c r="P52" i="215"/>
  <c r="AO53" i="215"/>
  <c r="P52" i="214"/>
  <c r="AO53" i="214"/>
  <c r="P52" i="213"/>
  <c r="AO53" i="213"/>
  <c r="P52" i="212"/>
  <c r="AO53" i="212"/>
  <c r="AO54" i="211"/>
  <c r="P53" i="211"/>
  <c r="P52" i="210"/>
  <c r="AO53" i="210"/>
  <c r="P52" i="209"/>
  <c r="AO53" i="209"/>
  <c r="P52" i="208"/>
  <c r="AO53" i="208"/>
  <c r="P52" i="207"/>
  <c r="AO53" i="207"/>
  <c r="P52" i="206"/>
  <c r="AO53" i="206"/>
  <c r="P52" i="205"/>
  <c r="AO53" i="205"/>
  <c r="P52" i="204"/>
  <c r="AO53" i="204"/>
  <c r="P52" i="203"/>
  <c r="AO53" i="203"/>
  <c r="P52" i="202"/>
  <c r="AO53" i="202"/>
  <c r="P52" i="201"/>
  <c r="AO53" i="201"/>
  <c r="P52" i="200"/>
  <c r="AO53" i="200"/>
  <c r="P52" i="199"/>
  <c r="AO53" i="199"/>
  <c r="P52" i="198"/>
  <c r="AO53" i="198"/>
  <c r="P52" i="197"/>
  <c r="AO53" i="197"/>
  <c r="L44" i="169"/>
  <c r="L38" i="80"/>
  <c r="N38" i="80" s="1"/>
  <c r="O38" i="80" s="1" a="1"/>
  <c r="O38" i="80" s="1"/>
  <c r="AO39" i="114"/>
  <c r="P38" i="114"/>
  <c r="GB26" i="147"/>
  <c r="GA26" i="147"/>
  <c r="U9" i="13"/>
  <c r="AO54" i="230" l="1"/>
  <c r="P53" i="230"/>
  <c r="AO54" i="229"/>
  <c r="P53" i="229"/>
  <c r="AO54" i="228"/>
  <c r="P53" i="228"/>
  <c r="AO54" i="227"/>
  <c r="P53" i="227"/>
  <c r="AO54" i="226"/>
  <c r="P53" i="226"/>
  <c r="AO54" i="225"/>
  <c r="P53" i="225"/>
  <c r="AO54" i="224"/>
  <c r="P53" i="224"/>
  <c r="AO54" i="223"/>
  <c r="P53" i="223"/>
  <c r="AO54" i="222"/>
  <c r="P53" i="222"/>
  <c r="AO54" i="221"/>
  <c r="P53" i="221"/>
  <c r="AO54" i="220"/>
  <c r="P53" i="220"/>
  <c r="AO54" i="219"/>
  <c r="P53" i="219"/>
  <c r="AO54" i="218"/>
  <c r="P53" i="218"/>
  <c r="AO54" i="217"/>
  <c r="P53" i="217"/>
  <c r="AO54" i="216"/>
  <c r="P53" i="216"/>
  <c r="AO54" i="215"/>
  <c r="P53" i="215"/>
  <c r="AO54" i="214"/>
  <c r="P53" i="214"/>
  <c r="AO54" i="213"/>
  <c r="P53" i="213"/>
  <c r="AO54" i="212"/>
  <c r="P53" i="212"/>
  <c r="AO55" i="211"/>
  <c r="P55" i="211" s="1"/>
  <c r="P56" i="211" s="1"/>
  <c r="P54" i="211"/>
  <c r="AO54" i="210"/>
  <c r="P53" i="210"/>
  <c r="AO54" i="209"/>
  <c r="P53" i="209"/>
  <c r="AO54" i="208"/>
  <c r="P53" i="208"/>
  <c r="AO54" i="207"/>
  <c r="P53" i="207"/>
  <c r="AO54" i="206"/>
  <c r="P53" i="206"/>
  <c r="AO54" i="205"/>
  <c r="P53" i="205"/>
  <c r="AO54" i="204"/>
  <c r="P53" i="204"/>
  <c r="AO54" i="203"/>
  <c r="P53" i="203"/>
  <c r="AO54" i="202"/>
  <c r="P53" i="202"/>
  <c r="AO54" i="201"/>
  <c r="P53" i="201"/>
  <c r="AO54" i="200"/>
  <c r="P53" i="200"/>
  <c r="AO54" i="199"/>
  <c r="P53" i="199"/>
  <c r="AO54" i="198"/>
  <c r="P53" i="198"/>
  <c r="AO54" i="197"/>
  <c r="P53" i="19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5" i="230" l="1"/>
  <c r="P55" i="230" s="1"/>
  <c r="P54" i="230"/>
  <c r="AO55" i="229"/>
  <c r="P55" i="229" s="1"/>
  <c r="P56" i="229" s="1"/>
  <c r="P54" i="229"/>
  <c r="AO55" i="228"/>
  <c r="P55" i="228" s="1"/>
  <c r="P56" i="228" s="1"/>
  <c r="P54" i="228"/>
  <c r="AO55" i="227"/>
  <c r="P55" i="227" s="1"/>
  <c r="P56" i="227" s="1"/>
  <c r="P54" i="227"/>
  <c r="AO55" i="226"/>
  <c r="P55" i="226" s="1"/>
  <c r="P56" i="226" s="1"/>
  <c r="P54" i="226"/>
  <c r="AO55" i="225"/>
  <c r="P55" i="225" s="1"/>
  <c r="P56" i="225" s="1"/>
  <c r="P54" i="225"/>
  <c r="AO55" i="224"/>
  <c r="P55" i="224" s="1"/>
  <c r="P56" i="224" s="1"/>
  <c r="P54" i="224"/>
  <c r="AO55" i="223"/>
  <c r="P55" i="223" s="1"/>
  <c r="P56" i="223" s="1"/>
  <c r="P54" i="223"/>
  <c r="AO55" i="222"/>
  <c r="P55" i="222" s="1"/>
  <c r="P56" i="222" s="1"/>
  <c r="P54" i="222"/>
  <c r="AO55" i="221"/>
  <c r="P55" i="221" s="1"/>
  <c r="P54" i="221"/>
  <c r="AO55" i="220"/>
  <c r="P55" i="220" s="1"/>
  <c r="P54" i="220"/>
  <c r="AO55" i="219"/>
  <c r="P55" i="219" s="1"/>
  <c r="P56" i="219" s="1"/>
  <c r="P54" i="219"/>
  <c r="AO55" i="218"/>
  <c r="P55" i="218" s="1"/>
  <c r="P56" i="218" s="1"/>
  <c r="P54" i="218"/>
  <c r="AO55" i="217"/>
  <c r="P55" i="217" s="1"/>
  <c r="P56" i="217" s="1"/>
  <c r="P54" i="217"/>
  <c r="AO55" i="216"/>
  <c r="P55" i="216" s="1"/>
  <c r="P54" i="216"/>
  <c r="AO55" i="215"/>
  <c r="P55" i="215" s="1"/>
  <c r="P56" i="215" s="1"/>
  <c r="P54" i="215"/>
  <c r="AO55" i="214"/>
  <c r="P55" i="214" s="1"/>
  <c r="P56" i="214" s="1"/>
  <c r="P54" i="214"/>
  <c r="AO55" i="213"/>
  <c r="P55" i="213" s="1"/>
  <c r="P56" i="213" s="1"/>
  <c r="P54" i="213"/>
  <c r="AO55" i="212"/>
  <c r="P55" i="212" s="1"/>
  <c r="P56" i="212" s="1"/>
  <c r="P54" i="212"/>
  <c r="AO55" i="210"/>
  <c r="P55" i="210" s="1"/>
  <c r="P54" i="210"/>
  <c r="AO55" i="209"/>
  <c r="P55" i="209" s="1"/>
  <c r="P56" i="209" s="1"/>
  <c r="P54" i="209"/>
  <c r="AO55" i="208"/>
  <c r="P55" i="208" s="1"/>
  <c r="P56" i="208" s="1"/>
  <c r="P54" i="208"/>
  <c r="AO55" i="207"/>
  <c r="P55" i="207" s="1"/>
  <c r="P54" i="207"/>
  <c r="AO55" i="206"/>
  <c r="P55" i="206" s="1"/>
  <c r="P56" i="206" s="1"/>
  <c r="P54" i="206"/>
  <c r="AO55" i="205"/>
  <c r="P55" i="205" s="1"/>
  <c r="P56" i="205" s="1"/>
  <c r="P54" i="205"/>
  <c r="AO55" i="204"/>
  <c r="P55" i="204" s="1"/>
  <c r="P54" i="204"/>
  <c r="AO55" i="203"/>
  <c r="P55" i="203" s="1"/>
  <c r="P54" i="203"/>
  <c r="AO55" i="202"/>
  <c r="P55" i="202" s="1"/>
  <c r="P56" i="202" s="1"/>
  <c r="P54" i="202"/>
  <c r="AO55" i="201"/>
  <c r="P55" i="201" s="1"/>
  <c r="P56" i="201" s="1"/>
  <c r="P54" i="201"/>
  <c r="AO55" i="200"/>
  <c r="P55" i="200" s="1"/>
  <c r="P56" i="200" s="1"/>
  <c r="P54" i="200"/>
  <c r="AO55" i="199"/>
  <c r="P55" i="199" s="1"/>
  <c r="P56" i="199" s="1"/>
  <c r="P54" i="199"/>
  <c r="AO55" i="198"/>
  <c r="P55" i="198" s="1"/>
  <c r="P56" i="198" s="1"/>
  <c r="P54" i="198"/>
  <c r="AO55" i="197"/>
  <c r="P55" i="197" s="1"/>
  <c r="P54" i="19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6" i="230" l="1"/>
  <c r="P56" i="221"/>
  <c r="P56" i="220"/>
  <c r="P56" i="216"/>
  <c r="P56" i="210"/>
  <c r="P56" i="207"/>
  <c r="P56" i="204"/>
  <c r="P56" i="203"/>
  <c r="P56" i="197"/>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M65" i="184" l="1"/>
  <c r="CM68" i="183"/>
  <c r="CM83" i="183"/>
  <c r="CM57" i="186"/>
  <c r="CM58" i="186"/>
  <c r="CM73" i="185"/>
  <c r="CM74" i="185"/>
  <c r="CM60" i="184"/>
  <c r="CM59" i="184"/>
  <c r="CM76" i="183"/>
  <c r="CM75" i="183"/>
  <c r="CM70" i="184"/>
  <c r="CM71" i="184"/>
  <c r="CD69" i="183"/>
  <c r="CM54" i="184"/>
  <c r="CD83" i="183"/>
  <c r="CM70" i="183"/>
  <c r="CM69" i="185"/>
  <c r="CM66" i="186"/>
  <c r="CM80" i="185"/>
  <c r="CM68" i="185"/>
  <c r="CM79" i="185"/>
  <c r="CM58" i="185"/>
  <c r="CM80" i="184"/>
  <c r="CM79" i="184"/>
  <c r="CM57" i="185"/>
  <c r="CM67" i="185"/>
  <c r="CM77" i="184"/>
  <c r="CM78" i="185"/>
  <c r="CM66" i="185"/>
  <c r="CM64" i="184"/>
  <c r="CM78" i="184"/>
  <c r="CM82" i="183"/>
  <c r="CM73" i="184"/>
  <c r="CM76" i="184"/>
  <c r="CD76" i="184"/>
  <c r="CD72" i="184"/>
  <c r="CM75" i="184"/>
  <c r="CD74" i="184"/>
  <c r="CD77" i="184"/>
  <c r="CD73" i="184"/>
  <c r="CD70" i="184"/>
  <c r="CD66" i="184"/>
  <c r="CD62" i="184"/>
  <c r="CD58" i="184"/>
  <c r="CD75" i="184"/>
  <c r="CM69" i="184"/>
  <c r="CM61" i="184"/>
  <c r="CM57" i="184"/>
  <c r="CM74" i="184"/>
  <c r="CD69" i="184"/>
  <c r="CD65" i="184"/>
  <c r="CD61" i="184"/>
  <c r="CD57" i="184"/>
  <c r="CM72" i="184"/>
  <c r="CM68" i="184"/>
  <c r="CM56" i="184"/>
  <c r="CD68" i="184"/>
  <c r="CD64" i="184"/>
  <c r="CD60" i="184"/>
  <c r="CD56" i="184"/>
  <c r="CM81" i="183"/>
  <c r="CM77" i="183"/>
  <c r="CM73" i="183"/>
  <c r="CM69" i="183"/>
  <c r="CD59" i="184"/>
  <c r="CD81" i="183"/>
  <c r="CD77" i="183"/>
  <c r="CD73" i="183"/>
  <c r="CD71" i="184"/>
  <c r="CM62" i="184"/>
  <c r="CM80" i="183"/>
  <c r="CM72" i="183"/>
  <c r="CD80" i="183"/>
  <c r="CD76" i="183"/>
  <c r="CD72" i="183"/>
  <c r="CD68" i="183"/>
  <c r="CM66" i="184"/>
  <c r="CM63" i="184"/>
  <c r="CM55" i="184"/>
  <c r="CM79" i="183"/>
  <c r="CM71" i="183"/>
  <c r="CM78" i="183"/>
  <c r="CM74" i="183"/>
  <c r="CD63" i="184"/>
  <c r="CD78" i="183"/>
  <c r="CD75" i="183"/>
  <c r="CD82" i="183"/>
  <c r="CD79" i="183"/>
  <c r="CM67" i="184"/>
  <c r="CD55" i="184"/>
  <c r="CD54" i="184"/>
  <c r="CD67" i="184"/>
  <c r="CM58" i="184"/>
  <c r="CD74" i="183"/>
  <c r="CD71" i="183"/>
  <c r="CD70" i="183"/>
  <c r="CM72" i="186"/>
  <c r="CM71" i="186"/>
  <c r="CD71" i="186"/>
  <c r="CM69" i="186"/>
  <c r="CM65" i="186"/>
  <c r="CM61" i="186"/>
  <c r="CD69" i="186"/>
  <c r="CD65" i="186"/>
  <c r="CD61" i="186"/>
  <c r="CM68" i="186"/>
  <c r="CM64" i="186"/>
  <c r="CM60" i="186"/>
  <c r="CM56" i="186"/>
  <c r="CD68" i="186"/>
  <c r="CD64" i="186"/>
  <c r="CD60" i="186"/>
  <c r="CD56" i="186"/>
  <c r="CD72" i="186"/>
  <c r="CM67" i="186"/>
  <c r="CM63" i="186"/>
  <c r="CM59" i="186"/>
  <c r="CM55" i="186"/>
  <c r="CD67" i="186"/>
  <c r="CD63" i="186"/>
  <c r="CD59" i="186"/>
  <c r="CD55" i="186"/>
  <c r="CM54" i="186"/>
  <c r="CD70" i="186"/>
  <c r="CD66" i="186"/>
  <c r="CD62" i="186"/>
  <c r="CD58" i="186"/>
  <c r="CD78" i="185"/>
  <c r="CD74" i="185"/>
  <c r="CD70" i="185"/>
  <c r="CD66" i="185"/>
  <c r="CD62" i="185"/>
  <c r="CD58" i="185"/>
  <c r="CM62" i="186"/>
  <c r="CD57" i="186"/>
  <c r="CM77" i="185"/>
  <c r="CD77" i="185"/>
  <c r="CD73" i="185"/>
  <c r="CD69" i="185"/>
  <c r="CD65" i="185"/>
  <c r="CM76" i="185"/>
  <c r="CM72" i="185"/>
  <c r="CM64" i="185"/>
  <c r="CM75" i="185"/>
  <c r="CM71" i="185"/>
  <c r="CM63" i="185"/>
  <c r="CM59" i="185"/>
  <c r="CM55" i="185"/>
  <c r="CD71" i="185"/>
  <c r="CM61" i="185"/>
  <c r="CD57" i="185"/>
  <c r="CM54" i="185"/>
  <c r="CD76" i="185"/>
  <c r="CD64" i="185"/>
  <c r="CD61" i="185"/>
  <c r="CD54" i="185"/>
  <c r="CD80" i="185"/>
  <c r="CD72" i="185"/>
  <c r="CD80" i="184"/>
  <c r="CM70" i="186"/>
  <c r="CD54" i="186"/>
  <c r="CD79" i="185"/>
  <c r="CD67" i="185"/>
  <c r="CM60" i="185"/>
  <c r="CM56" i="185"/>
  <c r="CD78" i="184"/>
  <c r="CD75" i="185"/>
  <c r="CD60" i="185"/>
  <c r="CM65" i="185"/>
  <c r="CD56" i="185"/>
  <c r="CM62" i="185"/>
  <c r="CD79" i="184"/>
  <c r="CD68" i="185"/>
  <c r="CD59" i="185"/>
  <c r="CD63" i="185"/>
  <c r="CM70" i="185"/>
  <c r="CD55" i="185"/>
  <c r="CV23" i="147"/>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CV60" i="185" l="1"/>
  <c r="DZ60" i="185"/>
  <c r="GC60" i="185"/>
  <c r="GC20" i="185"/>
  <c r="GD60" i="185"/>
  <c r="AP20" i="185" s="1"/>
  <c r="CV63" i="186"/>
  <c r="GD63" i="186"/>
  <c r="AP23" i="186" s="1"/>
  <c r="DZ63" i="186"/>
  <c r="GC63" i="186"/>
  <c r="GC23" i="186"/>
  <c r="DZ54" i="184"/>
  <c r="CV54" i="184"/>
  <c r="GC54" i="184"/>
  <c r="GC14" i="184"/>
  <c r="CV65" i="184"/>
  <c r="GC65" i="184"/>
  <c r="DZ65" i="184"/>
  <c r="GC25" i="184"/>
  <c r="CV76" i="184"/>
  <c r="DZ76" i="184"/>
  <c r="GC36" i="184"/>
  <c r="GC76" i="184"/>
  <c r="GG76" i="184" s="1"/>
  <c r="CV83" i="183"/>
  <c r="DZ83" i="183"/>
  <c r="GC69" i="183"/>
  <c r="GC70" i="183" s="1"/>
  <c r="GC71" i="183" s="1"/>
  <c r="GC72" i="183" s="1"/>
  <c r="GC73" i="183" s="1"/>
  <c r="GC74" i="183" s="1"/>
  <c r="GC75" i="183" s="1"/>
  <c r="GC76" i="183" s="1"/>
  <c r="GC77" i="183" s="1"/>
  <c r="GC78" i="183" s="1"/>
  <c r="GC79" i="183" s="1"/>
  <c r="GC80" i="183" s="1"/>
  <c r="GC81" i="183" s="1"/>
  <c r="GC82" i="183" s="1"/>
  <c r="GC83" i="183" s="1"/>
  <c r="GC84" i="183" s="1"/>
  <c r="GC85" i="183" s="1"/>
  <c r="GC43" i="183"/>
  <c r="DZ63" i="185"/>
  <c r="CV63" i="185"/>
  <c r="GD63" i="185"/>
  <c r="AP23" i="185" s="1"/>
  <c r="GC63" i="185"/>
  <c r="GC23" i="185"/>
  <c r="CV80" i="184"/>
  <c r="DZ80" i="184"/>
  <c r="GC40" i="184"/>
  <c r="GC80" i="184"/>
  <c r="GF80" i="184" s="1"/>
  <c r="GD80" i="184"/>
  <c r="AP40" i="184" s="1"/>
  <c r="GC57" i="186"/>
  <c r="GF57" i="186" s="1"/>
  <c r="CV57" i="186"/>
  <c r="GD57" i="186"/>
  <c r="AP17" i="186" s="1"/>
  <c r="DZ57" i="186"/>
  <c r="GC17" i="186"/>
  <c r="CV67" i="186"/>
  <c r="GD67" i="186"/>
  <c r="AP27" i="186" s="1"/>
  <c r="GC67" i="186"/>
  <c r="DZ67" i="186"/>
  <c r="GC27" i="186"/>
  <c r="CV69" i="186"/>
  <c r="GC29" i="186"/>
  <c r="DZ69" i="186"/>
  <c r="GC69" i="186"/>
  <c r="GD69" i="186"/>
  <c r="AP29" i="186" s="1"/>
  <c r="CV55" i="184"/>
  <c r="DZ55" i="184"/>
  <c r="GC55" i="184"/>
  <c r="GG55" i="184" s="1"/>
  <c r="GC15" i="184"/>
  <c r="EA78" i="183"/>
  <c r="GD38" i="183"/>
  <c r="CV76" i="183"/>
  <c r="DZ76" i="183"/>
  <c r="GC62" i="183"/>
  <c r="GF62" i="183" s="1"/>
  <c r="GD62" i="183"/>
  <c r="AP22" i="183" s="1"/>
  <c r="GC36" i="183"/>
  <c r="CV64" i="184"/>
  <c r="GC24" i="184"/>
  <c r="GC64" i="184"/>
  <c r="DZ64" i="184"/>
  <c r="CV69" i="184"/>
  <c r="DZ69" i="184"/>
  <c r="GD69" i="184"/>
  <c r="AP29" i="184" s="1"/>
  <c r="GC69" i="184"/>
  <c r="GG69" i="184" s="1"/>
  <c r="GC29" i="184"/>
  <c r="CV66" i="184"/>
  <c r="GC26" i="184"/>
  <c r="GC66" i="184"/>
  <c r="GG66" i="184" s="1"/>
  <c r="DZ66" i="184"/>
  <c r="EA76" i="184"/>
  <c r="GE76" i="184"/>
  <c r="AQ36" i="184" s="1"/>
  <c r="GD36" i="184"/>
  <c r="EA67" i="185"/>
  <c r="GD27" i="185"/>
  <c r="EA58" i="185"/>
  <c r="GD18" i="185"/>
  <c r="EA54" i="184"/>
  <c r="GD14" i="184"/>
  <c r="EA74" i="185"/>
  <c r="GD34" i="185"/>
  <c r="EA70" i="185"/>
  <c r="GE70" i="185"/>
  <c r="AQ30" i="185" s="1"/>
  <c r="GD30" i="185"/>
  <c r="CV78" i="185"/>
  <c r="GC78" i="185"/>
  <c r="DZ78" i="185"/>
  <c r="GC38" i="185"/>
  <c r="EA74" i="183"/>
  <c r="GD34" i="183"/>
  <c r="CV62" i="184"/>
  <c r="GD62" i="184"/>
  <c r="AP22" i="184" s="1"/>
  <c r="DZ62" i="184"/>
  <c r="GC62" i="184"/>
  <c r="GG62" i="184" s="1"/>
  <c r="GC22" i="184"/>
  <c r="EA77" i="184"/>
  <c r="GD37" i="184"/>
  <c r="EA80" i="184"/>
  <c r="GD40" i="184"/>
  <c r="EA60" i="184"/>
  <c r="GD20" i="184"/>
  <c r="DZ75" i="185"/>
  <c r="CV75" i="185"/>
  <c r="GC35" i="185"/>
  <c r="GC75" i="185"/>
  <c r="GD75" i="185"/>
  <c r="AP35" i="185" s="1"/>
  <c r="CV57" i="185"/>
  <c r="DZ57" i="185"/>
  <c r="GD57" i="185"/>
  <c r="AP17" i="185" s="1"/>
  <c r="GC57" i="185"/>
  <c r="GF57" i="185" s="1"/>
  <c r="GC17" i="185"/>
  <c r="EA64" i="185"/>
  <c r="GE64" i="185"/>
  <c r="AQ24" i="185" s="1"/>
  <c r="GD24" i="185"/>
  <c r="CV58" i="186"/>
  <c r="DZ58" i="186"/>
  <c r="GC18" i="186"/>
  <c r="GD58" i="186"/>
  <c r="AP18" i="186" s="1"/>
  <c r="GC58" i="186"/>
  <c r="GF58" i="186" s="1"/>
  <c r="CV64" i="186"/>
  <c r="GC24" i="186"/>
  <c r="GD64" i="186"/>
  <c r="AP24" i="186" s="1"/>
  <c r="DZ64" i="186"/>
  <c r="GC64" i="186"/>
  <c r="CV81" i="183"/>
  <c r="DZ81" i="183"/>
  <c r="GC67" i="183"/>
  <c r="GG67" i="183" s="1"/>
  <c r="GC41" i="183"/>
  <c r="CV59" i="185"/>
  <c r="DZ59" i="185"/>
  <c r="GC59" i="185"/>
  <c r="GC19" i="185"/>
  <c r="GD59" i="185"/>
  <c r="AP19" i="185" s="1"/>
  <c r="CV78" i="184"/>
  <c r="GC78" i="184"/>
  <c r="DZ78" i="184"/>
  <c r="GC38" i="184"/>
  <c r="CV72" i="185"/>
  <c r="DZ72" i="185"/>
  <c r="GD72" i="185"/>
  <c r="AP32" i="185" s="1"/>
  <c r="GC32" i="185"/>
  <c r="GC72" i="185"/>
  <c r="GD21" i="185"/>
  <c r="EA61" i="185"/>
  <c r="GE61" i="185"/>
  <c r="AQ21" i="185" s="1"/>
  <c r="EA72" i="185"/>
  <c r="GE72" i="185"/>
  <c r="AQ32" i="185" s="1"/>
  <c r="GD32" i="185"/>
  <c r="EA62" i="186"/>
  <c r="GE62" i="186"/>
  <c r="AQ22" i="186" s="1"/>
  <c r="GD22" i="186"/>
  <c r="CV62" i="186"/>
  <c r="DZ62" i="186"/>
  <c r="GC62" i="186"/>
  <c r="GD62" i="186"/>
  <c r="AP22" i="186" s="1"/>
  <c r="GC22" i="186"/>
  <c r="EA55" i="186"/>
  <c r="GE55" i="186"/>
  <c r="AQ15" i="186" s="1"/>
  <c r="GD15" i="186"/>
  <c r="CV68" i="186"/>
  <c r="GD68" i="186"/>
  <c r="AP28" i="186" s="1"/>
  <c r="GC28" i="186"/>
  <c r="GC68" i="186"/>
  <c r="DZ68" i="186"/>
  <c r="EA61" i="186"/>
  <c r="GD21" i="186"/>
  <c r="GE61" i="186"/>
  <c r="AQ21" i="186" s="1"/>
  <c r="EA67" i="184"/>
  <c r="GD27" i="184"/>
  <c r="EA71" i="183"/>
  <c r="GE57" i="183"/>
  <c r="AQ17" i="183" s="1"/>
  <c r="GD31" i="183"/>
  <c r="CV80" i="183"/>
  <c r="DZ80" i="183"/>
  <c r="GC40" i="183"/>
  <c r="GD66" i="183"/>
  <c r="AP26" i="183" s="1"/>
  <c r="GC66" i="183"/>
  <c r="GG66" i="183" s="1"/>
  <c r="CV59" i="184"/>
  <c r="DZ59" i="184"/>
  <c r="GC59" i="184"/>
  <c r="GD59" i="184"/>
  <c r="AP19" i="184" s="1"/>
  <c r="GC19" i="184"/>
  <c r="CV68" i="184"/>
  <c r="GC68" i="184"/>
  <c r="GG68" i="184" s="1"/>
  <c r="AV28" i="184" s="1"/>
  <c r="DZ68" i="184"/>
  <c r="GC28" i="184"/>
  <c r="EA74" i="184"/>
  <c r="GE74" i="184"/>
  <c r="AQ34" i="184" s="1"/>
  <c r="GD34" i="184"/>
  <c r="CV70" i="184"/>
  <c r="GD70" i="184"/>
  <c r="AP30" i="184" s="1"/>
  <c r="GC70" i="184"/>
  <c r="DZ70" i="184"/>
  <c r="GC30" i="184"/>
  <c r="EA73" i="184"/>
  <c r="GD33" i="184"/>
  <c r="EA79" i="185"/>
  <c r="GD39" i="185"/>
  <c r="GC55" i="183"/>
  <c r="CV69" i="183"/>
  <c r="DZ69" i="183"/>
  <c r="GC29" i="183"/>
  <c r="EA73" i="185"/>
  <c r="GD33" i="185"/>
  <c r="GD37" i="185"/>
  <c r="EA77" i="185"/>
  <c r="CV72" i="183"/>
  <c r="DZ72" i="183"/>
  <c r="GD58" i="183"/>
  <c r="AP18" i="183" s="1"/>
  <c r="GC32" i="183"/>
  <c r="GC58" i="183"/>
  <c r="GG58" i="183" s="1"/>
  <c r="CV68" i="185"/>
  <c r="DZ68" i="185"/>
  <c r="GC68" i="185"/>
  <c r="GC28" i="185"/>
  <c r="CV80" i="185"/>
  <c r="DZ80" i="185"/>
  <c r="GC80" i="185"/>
  <c r="GD80" i="185"/>
  <c r="AP40" i="185" s="1"/>
  <c r="GC40" i="185"/>
  <c r="EA76" i="185"/>
  <c r="GD36" i="185"/>
  <c r="GE76" i="185"/>
  <c r="AQ36" i="185" s="1"/>
  <c r="CV66" i="186"/>
  <c r="DZ66" i="186"/>
  <c r="GC66" i="186"/>
  <c r="GF66" i="186" s="1"/>
  <c r="GC26" i="186"/>
  <c r="GD66" i="186"/>
  <c r="AP26" i="186" s="1"/>
  <c r="EA56" i="186"/>
  <c r="GD16" i="186"/>
  <c r="GE56" i="186"/>
  <c r="AQ16" i="186" s="1"/>
  <c r="DZ70" i="183"/>
  <c r="CV70" i="183"/>
  <c r="GC56" i="183"/>
  <c r="GC30" i="183"/>
  <c r="EA79" i="183"/>
  <c r="GD39" i="183"/>
  <c r="GE65" i="183"/>
  <c r="AQ25" i="183" s="1"/>
  <c r="EA69" i="183"/>
  <c r="GD29" i="183"/>
  <c r="EA57" i="184"/>
  <c r="GE57" i="184"/>
  <c r="AQ17" i="184" s="1"/>
  <c r="GD17" i="184"/>
  <c r="EA82" i="183"/>
  <c r="GD42" i="183"/>
  <c r="EA71" i="184"/>
  <c r="GD31" i="184"/>
  <c r="CV79" i="184"/>
  <c r="DZ79" i="184"/>
  <c r="GC39" i="184"/>
  <c r="GC79" i="184"/>
  <c r="EA60" i="185"/>
  <c r="GD20" i="185"/>
  <c r="GE60" i="185"/>
  <c r="AQ20" i="185" s="1"/>
  <c r="CV54" i="185"/>
  <c r="DZ54" i="185"/>
  <c r="GC54" i="185"/>
  <c r="GD54" i="185"/>
  <c r="AP14" i="185" s="1"/>
  <c r="GC14" i="185"/>
  <c r="EA55" i="185"/>
  <c r="GE55" i="185"/>
  <c r="AQ15" i="185" s="1"/>
  <c r="GD15" i="185"/>
  <c r="CV65" i="185"/>
  <c r="GC65" i="185"/>
  <c r="GG65" i="185" s="1"/>
  <c r="AV25" i="185" s="1"/>
  <c r="DZ65" i="185"/>
  <c r="GD65" i="185"/>
  <c r="AP25" i="185" s="1"/>
  <c r="GC25" i="185"/>
  <c r="CV62" i="185"/>
  <c r="GD62" i="185"/>
  <c r="AP22" i="185" s="1"/>
  <c r="GC62" i="185"/>
  <c r="DZ62" i="185"/>
  <c r="GC22" i="185"/>
  <c r="CV70" i="186"/>
  <c r="DZ70" i="186"/>
  <c r="GD70" i="186"/>
  <c r="AP30" i="186" s="1"/>
  <c r="GC70" i="186"/>
  <c r="GC30" i="186"/>
  <c r="EA63" i="186"/>
  <c r="GD23" i="186"/>
  <c r="EA60" i="186"/>
  <c r="GD20" i="186"/>
  <c r="GE60" i="186"/>
  <c r="AQ20" i="186" s="1"/>
  <c r="EA69" i="186"/>
  <c r="GD29" i="186"/>
  <c r="GE69" i="186"/>
  <c r="AQ29" i="186" s="1"/>
  <c r="CV71" i="183"/>
  <c r="GC57" i="183"/>
  <c r="GG57" i="183" s="1"/>
  <c r="DZ71" i="183"/>
  <c r="GC31" i="183"/>
  <c r="CV82" i="183"/>
  <c r="DZ82" i="183"/>
  <c r="GC68" i="183"/>
  <c r="GC42" i="183"/>
  <c r="GL42" i="183" s="1"/>
  <c r="GE55" i="184"/>
  <c r="AQ15" i="184" s="1"/>
  <c r="EA55" i="184"/>
  <c r="GD15" i="184"/>
  <c r="GD40" i="183"/>
  <c r="EA80" i="183"/>
  <c r="EA73" i="183"/>
  <c r="GD33" i="183"/>
  <c r="GE59" i="183"/>
  <c r="AQ19" i="183" s="1"/>
  <c r="EA68" i="184"/>
  <c r="GD28" i="184"/>
  <c r="GE68" i="184"/>
  <c r="AQ28" i="184" s="1"/>
  <c r="EA61" i="184"/>
  <c r="GE61" i="184"/>
  <c r="AQ21" i="184" s="1"/>
  <c r="GD21" i="184"/>
  <c r="CV77" i="184"/>
  <c r="DZ77" i="184"/>
  <c r="GC77" i="184"/>
  <c r="GC37" i="184"/>
  <c r="GL37" i="184" s="1"/>
  <c r="EA78" i="184"/>
  <c r="GD38" i="184"/>
  <c r="EA80" i="185"/>
  <c r="GD40" i="185"/>
  <c r="EA70" i="184"/>
  <c r="GD30" i="184"/>
  <c r="EA57" i="186"/>
  <c r="GD17" i="186"/>
  <c r="EA75" i="185"/>
  <c r="GD35" i="185"/>
  <c r="GE75" i="185"/>
  <c r="AQ35" i="185" s="1"/>
  <c r="CV65" i="186"/>
  <c r="GC65" i="186"/>
  <c r="GD65" i="186"/>
  <c r="AP25" i="186" s="1"/>
  <c r="DZ65" i="186"/>
  <c r="GC25" i="186"/>
  <c r="EA56" i="185"/>
  <c r="GE56" i="185"/>
  <c r="AQ16" i="185" s="1"/>
  <c r="GD16" i="185"/>
  <c r="DZ71" i="185"/>
  <c r="CV71" i="185"/>
  <c r="GC71" i="185"/>
  <c r="GD71" i="185"/>
  <c r="AP31" i="185" s="1"/>
  <c r="GC31" i="185"/>
  <c r="CV58" i="185"/>
  <c r="GD58" i="185"/>
  <c r="AP18" i="185" s="1"/>
  <c r="DZ58" i="185"/>
  <c r="GC58" i="185"/>
  <c r="GF58" i="185" s="1"/>
  <c r="GC18" i="185"/>
  <c r="GL18" i="185" s="1"/>
  <c r="GD19" i="186"/>
  <c r="EA59" i="186"/>
  <c r="GE59" i="186"/>
  <c r="AQ19" i="186" s="1"/>
  <c r="EA65" i="186"/>
  <c r="GE65" i="186"/>
  <c r="AQ25" i="186" s="1"/>
  <c r="GD25" i="186"/>
  <c r="CV79" i="183"/>
  <c r="GC65" i="183"/>
  <c r="GG65" i="183" s="1"/>
  <c r="DZ79" i="183"/>
  <c r="GC39" i="183"/>
  <c r="GD32" i="183"/>
  <c r="EA72" i="183"/>
  <c r="EA56" i="184"/>
  <c r="GD16" i="184"/>
  <c r="CV73" i="184"/>
  <c r="DZ73" i="184"/>
  <c r="GD73" i="184"/>
  <c r="AP33" i="184" s="1"/>
  <c r="GC33" i="184"/>
  <c r="GC73" i="184"/>
  <c r="GG73" i="184" s="1"/>
  <c r="AV33" i="184" s="1"/>
  <c r="EA68" i="185"/>
  <c r="GD28" i="185"/>
  <c r="EA58" i="186"/>
  <c r="GD18" i="186"/>
  <c r="GE62" i="185"/>
  <c r="AQ22" i="185" s="1"/>
  <c r="EA62" i="185"/>
  <c r="GD22" i="185"/>
  <c r="CV67" i="185"/>
  <c r="DZ67" i="185"/>
  <c r="GC27" i="185"/>
  <c r="GL27" i="185" s="1"/>
  <c r="GC67" i="185"/>
  <c r="CV61" i="185"/>
  <c r="GC21" i="185"/>
  <c r="GL21" i="185" s="1"/>
  <c r="DZ61" i="185"/>
  <c r="GC61" i="185"/>
  <c r="GD61" i="185"/>
  <c r="AP21" i="185" s="1"/>
  <c r="EA59" i="185"/>
  <c r="GD19" i="185"/>
  <c r="GE59" i="185"/>
  <c r="AQ19" i="185" s="1"/>
  <c r="CV69" i="185"/>
  <c r="GC29" i="185"/>
  <c r="DZ69" i="185"/>
  <c r="GD69" i="185"/>
  <c r="AP29" i="185" s="1"/>
  <c r="GC69" i="185"/>
  <c r="GF69" i="185" s="1"/>
  <c r="CV66" i="185"/>
  <c r="GC66" i="185"/>
  <c r="GC26" i="185"/>
  <c r="DZ66" i="185"/>
  <c r="GE54" i="186"/>
  <c r="AQ14" i="186" s="1"/>
  <c r="EA54" i="186"/>
  <c r="GD14" i="186"/>
  <c r="EA67" i="186"/>
  <c r="GD27" i="186"/>
  <c r="GE67" i="186"/>
  <c r="AQ27" i="186" s="1"/>
  <c r="EA64" i="186"/>
  <c r="GD24" i="186"/>
  <c r="GE64" i="186"/>
  <c r="AQ24" i="186" s="1"/>
  <c r="CV71" i="186"/>
  <c r="DZ71" i="186"/>
  <c r="GD71" i="186"/>
  <c r="AP31" i="186" s="1"/>
  <c r="GC71" i="186"/>
  <c r="GC31" i="186"/>
  <c r="DZ74" i="183"/>
  <c r="GC60" i="183"/>
  <c r="GG60" i="183" s="1"/>
  <c r="CV74" i="183"/>
  <c r="GD60" i="183"/>
  <c r="AP20" i="183" s="1"/>
  <c r="GC34" i="183"/>
  <c r="CV75" i="183"/>
  <c r="DZ75" i="183"/>
  <c r="GC61" i="183"/>
  <c r="GF61" i="183" s="1"/>
  <c r="GD61" i="183"/>
  <c r="AP21" i="183" s="1"/>
  <c r="GC35" i="183"/>
  <c r="GE63" i="184"/>
  <c r="AQ23" i="184" s="1"/>
  <c r="EA63" i="184"/>
  <c r="GD23" i="184"/>
  <c r="EA62" i="184"/>
  <c r="GD22" i="184"/>
  <c r="EA77" i="183"/>
  <c r="GD37" i="183"/>
  <c r="GE63" i="183"/>
  <c r="AQ23" i="183" s="1"/>
  <c r="EA72" i="184"/>
  <c r="GE72" i="184"/>
  <c r="AQ32" i="184" s="1"/>
  <c r="GD32" i="184"/>
  <c r="EA69" i="184"/>
  <c r="GD29" i="184"/>
  <c r="CV74" i="184"/>
  <c r="GC34" i="184"/>
  <c r="DZ74" i="184"/>
  <c r="GC74" i="184"/>
  <c r="GG74" i="184" s="1"/>
  <c r="EA64" i="184"/>
  <c r="GD24" i="184"/>
  <c r="EA66" i="186"/>
  <c r="GD26" i="186"/>
  <c r="EA75" i="183"/>
  <c r="GD35" i="183"/>
  <c r="EA83" i="183"/>
  <c r="GD43" i="183"/>
  <c r="EA54" i="185"/>
  <c r="GE54" i="185"/>
  <c r="AQ14" i="185" s="1"/>
  <c r="GD14" i="185"/>
  <c r="CV77" i="183"/>
  <c r="GC37" i="183"/>
  <c r="DZ77" i="183"/>
  <c r="GC63" i="183"/>
  <c r="GG63" i="183" s="1"/>
  <c r="EA58" i="184"/>
  <c r="GD18" i="184"/>
  <c r="GD64" i="183"/>
  <c r="AP24" i="183" s="1"/>
  <c r="DZ78" i="183"/>
  <c r="CV78" i="183"/>
  <c r="GC64" i="183"/>
  <c r="GG64" i="183" s="1"/>
  <c r="GC38" i="183"/>
  <c r="GL38" i="183" s="1"/>
  <c r="EA66" i="184"/>
  <c r="GE66" i="184"/>
  <c r="AQ26" i="184" s="1"/>
  <c r="GD26" i="184"/>
  <c r="CV71" i="184"/>
  <c r="DZ71" i="184"/>
  <c r="GC71" i="184"/>
  <c r="GD71" i="184"/>
  <c r="AP31" i="184" s="1"/>
  <c r="GC31" i="184"/>
  <c r="EA81" i="183"/>
  <c r="GE67" i="183"/>
  <c r="AQ27" i="183" s="1"/>
  <c r="GD41" i="183"/>
  <c r="CV57" i="184"/>
  <c r="DZ57" i="184"/>
  <c r="GC57" i="184"/>
  <c r="GG57" i="184" s="1"/>
  <c r="GC17" i="184"/>
  <c r="CV75" i="184"/>
  <c r="DZ75" i="184"/>
  <c r="GC75" i="184"/>
  <c r="GG75" i="184" s="1"/>
  <c r="GD75" i="184"/>
  <c r="AP35" i="184" s="1"/>
  <c r="GC35" i="184"/>
  <c r="EA75" i="184"/>
  <c r="GD35" i="184"/>
  <c r="EA66" i="185"/>
  <c r="GD26" i="185"/>
  <c r="EA57" i="185"/>
  <c r="GD17" i="185"/>
  <c r="GD29" i="185"/>
  <c r="EA69" i="185"/>
  <c r="GD36" i="183"/>
  <c r="EA76" i="183"/>
  <c r="EA68" i="183"/>
  <c r="GD28" i="183"/>
  <c r="GE70" i="186"/>
  <c r="AQ30" i="186" s="1"/>
  <c r="EA70" i="186"/>
  <c r="GD30" i="186"/>
  <c r="CV60" i="186"/>
  <c r="DZ60" i="186"/>
  <c r="GD60" i="186"/>
  <c r="AP20" i="186" s="1"/>
  <c r="GC60" i="186"/>
  <c r="GC20" i="186"/>
  <c r="CV60" i="184"/>
  <c r="GC20" i="184"/>
  <c r="GC60" i="184"/>
  <c r="DZ60" i="184"/>
  <c r="GD60" i="184"/>
  <c r="AP20" i="184" s="1"/>
  <c r="CV56" i="185"/>
  <c r="DZ56" i="185"/>
  <c r="GD56" i="185"/>
  <c r="AP16" i="185" s="1"/>
  <c r="GC56" i="185"/>
  <c r="GC16" i="185"/>
  <c r="DZ79" i="185"/>
  <c r="CV79" i="185"/>
  <c r="GC79" i="185"/>
  <c r="GC39" i="185"/>
  <c r="GL39" i="185" s="1"/>
  <c r="CV64" i="185"/>
  <c r="DZ64" i="185"/>
  <c r="GC64" i="185"/>
  <c r="GD64" i="185"/>
  <c r="AP24" i="185" s="1"/>
  <c r="GC24" i="185"/>
  <c r="GE63" i="185"/>
  <c r="AQ23" i="185" s="1"/>
  <c r="EA63" i="185"/>
  <c r="GD23" i="185"/>
  <c r="CV73" i="185"/>
  <c r="GC73" i="185"/>
  <c r="GF73" i="185" s="1"/>
  <c r="DZ73" i="185"/>
  <c r="GD73" i="185"/>
  <c r="AP33" i="185" s="1"/>
  <c r="GC33" i="185"/>
  <c r="CV70" i="185"/>
  <c r="GC70" i="185"/>
  <c r="DZ70" i="185"/>
  <c r="GD70" i="185"/>
  <c r="AP30" i="185" s="1"/>
  <c r="GC30" i="185"/>
  <c r="CV55" i="186"/>
  <c r="GC55" i="186"/>
  <c r="GD55" i="186"/>
  <c r="AP15" i="186" s="1"/>
  <c r="DZ55" i="186"/>
  <c r="GC15" i="186"/>
  <c r="GL15" i="186" s="1"/>
  <c r="CV72" i="186"/>
  <c r="GC32" i="186"/>
  <c r="GD72" i="186"/>
  <c r="AP32" i="186" s="1"/>
  <c r="GC72" i="186"/>
  <c r="DZ72" i="186"/>
  <c r="EA68" i="186"/>
  <c r="GD28" i="186"/>
  <c r="GE68" i="186"/>
  <c r="AQ28" i="186" s="1"/>
  <c r="EA71" i="186"/>
  <c r="GE71" i="186"/>
  <c r="AQ31" i="186" s="1"/>
  <c r="GD31" i="186"/>
  <c r="CV55" i="185"/>
  <c r="DZ55" i="185"/>
  <c r="GC55" i="185"/>
  <c r="GD55" i="185"/>
  <c r="AP15" i="185" s="1"/>
  <c r="GC15" i="185"/>
  <c r="EA65" i="185"/>
  <c r="GD25" i="185"/>
  <c r="CV54" i="186"/>
  <c r="DZ54" i="186"/>
  <c r="GC54" i="186"/>
  <c r="GD54" i="186"/>
  <c r="AP14" i="186" s="1"/>
  <c r="GC14" i="186"/>
  <c r="CV76" i="185"/>
  <c r="DZ76" i="185"/>
  <c r="GD76" i="185"/>
  <c r="AP36" i="185" s="1"/>
  <c r="GC36" i="185"/>
  <c r="GC76" i="185"/>
  <c r="EA71" i="185"/>
  <c r="GE71" i="185"/>
  <c r="AQ31" i="185" s="1"/>
  <c r="GD31" i="185"/>
  <c r="CV77" i="185"/>
  <c r="GC37" i="185"/>
  <c r="DZ77" i="185"/>
  <c r="GD77" i="185"/>
  <c r="AP37" i="185" s="1"/>
  <c r="GC77" i="185"/>
  <c r="GG77" i="185" s="1"/>
  <c r="CV74" i="185"/>
  <c r="GD74" i="185"/>
  <c r="AP34" i="185" s="1"/>
  <c r="GC34" i="185"/>
  <c r="GC74" i="185"/>
  <c r="GF74" i="185" s="1"/>
  <c r="DZ74" i="185"/>
  <c r="CV59" i="186"/>
  <c r="GD59" i="186"/>
  <c r="AP19" i="186" s="1"/>
  <c r="GC19" i="186"/>
  <c r="GL19" i="186" s="1"/>
  <c r="DZ59" i="186"/>
  <c r="GC59" i="186"/>
  <c r="CV56" i="186"/>
  <c r="GC16" i="186"/>
  <c r="GC56" i="186"/>
  <c r="DZ56" i="186"/>
  <c r="GD56" i="186"/>
  <c r="AP16" i="186" s="1"/>
  <c r="CV61" i="186"/>
  <c r="DZ61" i="186"/>
  <c r="GD61" i="186"/>
  <c r="AP21" i="186" s="1"/>
  <c r="GC21" i="186"/>
  <c r="GL21" i="186" s="1"/>
  <c r="GC61" i="186"/>
  <c r="GD32" i="186"/>
  <c r="EA72" i="186"/>
  <c r="CV67" i="184"/>
  <c r="DZ67" i="184"/>
  <c r="GD67" i="184"/>
  <c r="AP27" i="184" s="1"/>
  <c r="GC67" i="184"/>
  <c r="GG67" i="184" s="1"/>
  <c r="GC27" i="184"/>
  <c r="GL27" i="184" s="1"/>
  <c r="CV63" i="184"/>
  <c r="DZ63" i="184"/>
  <c r="GC63" i="184"/>
  <c r="GG63" i="184" s="1"/>
  <c r="GC23" i="184"/>
  <c r="CV68" i="183"/>
  <c r="DZ68" i="183"/>
  <c r="GC54" i="183"/>
  <c r="GC28" i="183"/>
  <c r="CV73" i="183"/>
  <c r="GC33" i="183"/>
  <c r="GC59" i="183"/>
  <c r="GG59" i="183" s="1"/>
  <c r="DZ73" i="183"/>
  <c r="CV56" i="184"/>
  <c r="GC56" i="184"/>
  <c r="GG56" i="184" s="1"/>
  <c r="GC16" i="184"/>
  <c r="GD56" i="184"/>
  <c r="AP16" i="184" s="1"/>
  <c r="DZ56" i="184"/>
  <c r="CV61" i="184"/>
  <c r="GC21" i="184"/>
  <c r="DZ61" i="184"/>
  <c r="GC61" i="184"/>
  <c r="GG61" i="184" s="1"/>
  <c r="CV58" i="184"/>
  <c r="DZ58" i="184"/>
  <c r="GC18" i="184"/>
  <c r="GC58" i="184"/>
  <c r="GG58" i="184" s="1"/>
  <c r="GD58" i="184"/>
  <c r="AP18" i="184" s="1"/>
  <c r="CV72" i="184"/>
  <c r="GC32" i="184"/>
  <c r="GC72" i="184"/>
  <c r="GG72" i="184" s="1"/>
  <c r="DZ72" i="184"/>
  <c r="EA78" i="185"/>
  <c r="GD38" i="185"/>
  <c r="GD39" i="184"/>
  <c r="EA79" i="184"/>
  <c r="EA70" i="183"/>
  <c r="GD30" i="183"/>
  <c r="EA59" i="184"/>
  <c r="GD19" i="184"/>
  <c r="EA65" i="184"/>
  <c r="GD25" i="184"/>
  <c r="DW26" i="147"/>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GG65" i="186" l="1"/>
  <c r="AV25" i="186" s="1"/>
  <c r="GF65" i="186"/>
  <c r="GL31" i="184"/>
  <c r="GL33" i="183"/>
  <c r="GL18" i="184"/>
  <c r="GG60" i="184"/>
  <c r="GF60" i="184"/>
  <c r="GG59" i="184"/>
  <c r="AV19" i="184" s="1"/>
  <c r="AW19" i="184" s="1"/>
  <c r="FG59" i="184" s="1"/>
  <c r="GF59" i="184"/>
  <c r="GG71" i="184"/>
  <c r="AV31" i="184" s="1"/>
  <c r="AW31" i="184" s="1"/>
  <c r="FG71" i="184" s="1"/>
  <c r="GF71" i="184"/>
  <c r="AR40" i="184"/>
  <c r="AS40" i="184" s="1"/>
  <c r="FF80" i="184" s="1"/>
  <c r="GG70" i="184"/>
  <c r="GF70" i="184"/>
  <c r="AR30" i="184" s="1"/>
  <c r="GH63" i="186"/>
  <c r="GG63" i="186"/>
  <c r="GF76" i="185"/>
  <c r="GG76" i="185"/>
  <c r="GI70" i="185"/>
  <c r="GH70" i="185"/>
  <c r="GI71" i="185"/>
  <c r="GH71" i="185"/>
  <c r="GL16" i="186"/>
  <c r="GL32" i="184"/>
  <c r="GL23" i="184"/>
  <c r="GL39" i="183"/>
  <c r="GL36" i="185"/>
  <c r="GL34" i="184"/>
  <c r="GL34" i="185"/>
  <c r="GL16" i="184"/>
  <c r="GL28" i="183"/>
  <c r="GL37" i="183"/>
  <c r="GL15" i="185"/>
  <c r="GL31" i="183"/>
  <c r="GL30" i="185"/>
  <c r="GL34" i="183"/>
  <c r="GL21" i="184"/>
  <c r="GL17" i="184"/>
  <c r="GL33" i="184"/>
  <c r="GL22" i="186"/>
  <c r="GL20" i="184"/>
  <c r="GL33" i="185"/>
  <c r="AV19" i="183"/>
  <c r="AW19" i="183" s="1"/>
  <c r="FG59" i="183" s="1"/>
  <c r="AV24" i="183"/>
  <c r="AW24" i="183" s="1"/>
  <c r="FG64" i="183" s="1"/>
  <c r="AV23" i="183"/>
  <c r="AW23" i="183" s="1"/>
  <c r="FG63" i="183" s="1"/>
  <c r="AR21" i="183"/>
  <c r="AS21" i="183" s="1"/>
  <c r="FF61" i="183" s="1"/>
  <c r="AV20" i="183"/>
  <c r="AW20" i="183" s="1"/>
  <c r="AV25" i="183"/>
  <c r="AW25" i="183" s="1"/>
  <c r="FG65" i="183" s="1"/>
  <c r="AV17" i="183"/>
  <c r="AW17" i="183" s="1"/>
  <c r="FG57" i="183" s="1"/>
  <c r="AV18" i="183"/>
  <c r="AW18" i="183" s="1"/>
  <c r="FG58" i="183" s="1"/>
  <c r="AV26" i="183"/>
  <c r="AW26" i="183" s="1"/>
  <c r="AV27" i="183"/>
  <c r="AW27" i="183" s="1"/>
  <c r="FG67" i="183" s="1"/>
  <c r="AR22" i="183"/>
  <c r="AS22" i="183" s="1"/>
  <c r="FF62" i="183" s="1"/>
  <c r="GI65" i="186"/>
  <c r="BD25" i="186" s="1"/>
  <c r="GH65" i="186"/>
  <c r="GG70" i="186"/>
  <c r="AV30" i="186" s="1"/>
  <c r="GF70" i="186"/>
  <c r="AR30" i="186" s="1"/>
  <c r="GG56" i="186"/>
  <c r="GF56" i="186"/>
  <c r="GG68" i="186"/>
  <c r="GF68" i="186"/>
  <c r="GI64" i="186"/>
  <c r="GH64" i="186"/>
  <c r="AR17" i="186"/>
  <c r="AS17" i="186" s="1"/>
  <c r="GG62" i="186"/>
  <c r="GF62" i="186"/>
  <c r="GG67" i="186"/>
  <c r="AV27" i="186" s="1"/>
  <c r="GF67" i="186"/>
  <c r="AR27" i="186" s="1"/>
  <c r="GI55" i="186"/>
  <c r="GH55" i="186"/>
  <c r="GC73" i="186"/>
  <c r="GC74" i="186" s="1"/>
  <c r="GC75" i="186" s="1"/>
  <c r="GC76" i="186" s="1"/>
  <c r="GC77" i="186" s="1"/>
  <c r="GC78" i="186" s="1"/>
  <c r="GC79" i="186" s="1"/>
  <c r="GC80" i="186" s="1"/>
  <c r="GC81" i="186" s="1"/>
  <c r="GC82" i="186" s="1"/>
  <c r="GC83" i="186" s="1"/>
  <c r="GC84" i="186" s="1"/>
  <c r="GC85" i="186" s="1"/>
  <c r="GG72" i="186"/>
  <c r="AV32" i="186" s="1"/>
  <c r="AZ23" i="186"/>
  <c r="BA23" i="186" s="1"/>
  <c r="FH63" i="186" s="1"/>
  <c r="GG61" i="186"/>
  <c r="GF61" i="186"/>
  <c r="GG59" i="186"/>
  <c r="AV19" i="186" s="1"/>
  <c r="GF59" i="186"/>
  <c r="GG60" i="186"/>
  <c r="GF60" i="186"/>
  <c r="GG69" i="186"/>
  <c r="GF69" i="186"/>
  <c r="AR26" i="186"/>
  <c r="AS26" i="186" s="1"/>
  <c r="FF66" i="186" s="1"/>
  <c r="GI54" i="186"/>
  <c r="GH54" i="186"/>
  <c r="GG71" i="186"/>
  <c r="GF71" i="186"/>
  <c r="AR18" i="186"/>
  <c r="GF70" i="185"/>
  <c r="GG70" i="185"/>
  <c r="GG61" i="185"/>
  <c r="GF61" i="185"/>
  <c r="AR21" i="185" s="1"/>
  <c r="GG63" i="185"/>
  <c r="GF63" i="185"/>
  <c r="AR23" i="185" s="1"/>
  <c r="AR18" i="185"/>
  <c r="AS18" i="185" s="1"/>
  <c r="FF58" i="185" s="1"/>
  <c r="AR17" i="185"/>
  <c r="AS17" i="185" s="1"/>
  <c r="FF57" i="185" s="1"/>
  <c r="GG59" i="185"/>
  <c r="GF59" i="185"/>
  <c r="GG60" i="185"/>
  <c r="GF60" i="185"/>
  <c r="AR20" i="185" s="1"/>
  <c r="GC81" i="185"/>
  <c r="GC82" i="185" s="1"/>
  <c r="GC83" i="185" s="1"/>
  <c r="GC84" i="185" s="1"/>
  <c r="GC85" i="185" s="1"/>
  <c r="GF80" i="185"/>
  <c r="AR34" i="185"/>
  <c r="AS34" i="185" s="1"/>
  <c r="FF74" i="185" s="1"/>
  <c r="GG64" i="185"/>
  <c r="AV24" i="185" s="1"/>
  <c r="GF64" i="185"/>
  <c r="GG56" i="185"/>
  <c r="AV16" i="185" s="1"/>
  <c r="GF56" i="185"/>
  <c r="AR16" i="185" s="1"/>
  <c r="GG54" i="185"/>
  <c r="GF54" i="185"/>
  <c r="AW25" i="185"/>
  <c r="FG65" i="185" s="1"/>
  <c r="GG75" i="185"/>
  <c r="GF75" i="185"/>
  <c r="GG55" i="185"/>
  <c r="GF55" i="185"/>
  <c r="GG71" i="185"/>
  <c r="GF71" i="185"/>
  <c r="AR29" i="185"/>
  <c r="AS29" i="185" s="1"/>
  <c r="AR33" i="185"/>
  <c r="AS33" i="185" s="1"/>
  <c r="FF73" i="185" s="1"/>
  <c r="AV37" i="185"/>
  <c r="AW37" i="185" s="1"/>
  <c r="FG77" i="185" s="1"/>
  <c r="GG62" i="185"/>
  <c r="AV22" i="185" s="1"/>
  <c r="GF62" i="185"/>
  <c r="GF72" i="185"/>
  <c r="GG72" i="185"/>
  <c r="AV32" i="185" s="1"/>
  <c r="AV18" i="184"/>
  <c r="AW18" i="184" s="1"/>
  <c r="FG58" i="184" s="1"/>
  <c r="AV34" i="184"/>
  <c r="AW34" i="184" s="1"/>
  <c r="FG74" i="184" s="1"/>
  <c r="AV35" i="184"/>
  <c r="AW35" i="184" s="1"/>
  <c r="AV22" i="184"/>
  <c r="AW22" i="184" s="1"/>
  <c r="FG62" i="184" s="1"/>
  <c r="AV20" i="184"/>
  <c r="AW20" i="184" s="1"/>
  <c r="FG60" i="184" s="1"/>
  <c r="AV27" i="184"/>
  <c r="AW33" i="184"/>
  <c r="FG73" i="184" s="1"/>
  <c r="GC81" i="184"/>
  <c r="GC82" i="184" s="1"/>
  <c r="GC83" i="184" s="1"/>
  <c r="GC84" i="184" s="1"/>
  <c r="GC85" i="184" s="1"/>
  <c r="GG80" i="184"/>
  <c r="AV21" i="184"/>
  <c r="AW21" i="184" s="1"/>
  <c r="FG61" i="184" s="1"/>
  <c r="AV36" i="184"/>
  <c r="AV15" i="184"/>
  <c r="AW15" i="184" s="1"/>
  <c r="AV16" i="184"/>
  <c r="AW16" i="184" s="1"/>
  <c r="FG56" i="184" s="1"/>
  <c r="AV26" i="184"/>
  <c r="AW26" i="184" s="1"/>
  <c r="FG66" i="184" s="1"/>
  <c r="AV32" i="184"/>
  <c r="AW32" i="184" s="1"/>
  <c r="FG72" i="184" s="1"/>
  <c r="AV17" i="184"/>
  <c r="AW17" i="184" s="1"/>
  <c r="AV30" i="184"/>
  <c r="AW30" i="184" s="1"/>
  <c r="FG70" i="184" s="1"/>
  <c r="AW28" i="184"/>
  <c r="FG68" i="184" s="1"/>
  <c r="AV29" i="184"/>
  <c r="AW29" i="184" s="1"/>
  <c r="AV23" i="184"/>
  <c r="AW23" i="184" s="1"/>
  <c r="FG63" i="184" s="1"/>
  <c r="GL20" i="185"/>
  <c r="GL14" i="185"/>
  <c r="GL35" i="184"/>
  <c r="GL14" i="186"/>
  <c r="O16" i="184"/>
  <c r="P16" i="184" s="1"/>
  <c r="D33" i="183"/>
  <c r="E33" i="183" s="1"/>
  <c r="D15" i="185"/>
  <c r="Q35" i="184"/>
  <c r="R35" i="184" s="1"/>
  <c r="Q23" i="186"/>
  <c r="R23" i="186" s="1"/>
  <c r="D26" i="186"/>
  <c r="Q15" i="186"/>
  <c r="R15" i="186" s="1"/>
  <c r="D17" i="185"/>
  <c r="E17" i="185" s="1"/>
  <c r="D18" i="184"/>
  <c r="Q27" i="184"/>
  <c r="R27" i="184" s="1"/>
  <c r="D16" i="184"/>
  <c r="E16" i="184" s="1"/>
  <c r="Q31" i="186"/>
  <c r="R31" i="186" s="1"/>
  <c r="D39" i="185"/>
  <c r="E39" i="185" s="1"/>
  <c r="O20" i="184"/>
  <c r="P20" i="184" s="1"/>
  <c r="O21" i="185"/>
  <c r="P21" i="185" s="1"/>
  <c r="Q38" i="184"/>
  <c r="R38" i="184" s="1"/>
  <c r="GL30" i="183"/>
  <c r="O40" i="183"/>
  <c r="P40" i="183" s="1"/>
  <c r="O21" i="184"/>
  <c r="P21" i="184" s="1"/>
  <c r="Q31" i="185"/>
  <c r="R31" i="185" s="1"/>
  <c r="D32" i="184"/>
  <c r="E32" i="184" s="1"/>
  <c r="O27" i="184"/>
  <c r="P27" i="184" s="1"/>
  <c r="Q26" i="186"/>
  <c r="R26" i="186" s="1"/>
  <c r="Q32" i="185"/>
  <c r="R32" i="185" s="1"/>
  <c r="O30" i="183"/>
  <c r="P30" i="183" s="1"/>
  <c r="GL18" i="186"/>
  <c r="O15" i="184"/>
  <c r="P15" i="184" s="1"/>
  <c r="O17" i="186"/>
  <c r="P17" i="186" s="1"/>
  <c r="O32" i="184"/>
  <c r="P32" i="184" s="1"/>
  <c r="D27" i="184"/>
  <c r="E27" i="184" s="1"/>
  <c r="D14" i="186"/>
  <c r="D15" i="186"/>
  <c r="E15" i="186" s="1"/>
  <c r="D30" i="185"/>
  <c r="E30" i="185" s="1"/>
  <c r="O33" i="185"/>
  <c r="P33" i="185" s="1"/>
  <c r="GL24" i="185"/>
  <c r="O39" i="185"/>
  <c r="P39" i="185" s="1"/>
  <c r="Q29" i="185"/>
  <c r="R29" i="185" s="1"/>
  <c r="D17" i="184"/>
  <c r="E17" i="184" s="1"/>
  <c r="Q26" i="184"/>
  <c r="R26" i="184" s="1"/>
  <c r="O35" i="183"/>
  <c r="P35" i="183" s="1"/>
  <c r="O31" i="186"/>
  <c r="P31" i="186" s="1"/>
  <c r="Q14" i="186"/>
  <c r="R14" i="186" s="1"/>
  <c r="Q18" i="186"/>
  <c r="R18" i="186" s="1"/>
  <c r="D33" i="184"/>
  <c r="E33" i="184" s="1"/>
  <c r="Q25" i="186"/>
  <c r="R25" i="186" s="1"/>
  <c r="Q40" i="185"/>
  <c r="R40" i="185" s="1"/>
  <c r="Q21" i="184"/>
  <c r="R21" i="184" s="1"/>
  <c r="Q33" i="183"/>
  <c r="R33" i="183" s="1"/>
  <c r="GL22" i="185"/>
  <c r="Q20" i="185"/>
  <c r="R20" i="185" s="1"/>
  <c r="Q31" i="184"/>
  <c r="R31" i="184" s="1"/>
  <c r="O40" i="185"/>
  <c r="P40" i="185" s="1"/>
  <c r="GL30" i="184"/>
  <c r="Q34" i="184"/>
  <c r="R34" i="184" s="1"/>
  <c r="D38" i="184"/>
  <c r="E38" i="184" s="1"/>
  <c r="GL19" i="185"/>
  <c r="Q34" i="183"/>
  <c r="R34" i="183" s="1"/>
  <c r="O26" i="184"/>
  <c r="P26" i="184" s="1"/>
  <c r="GL15" i="184"/>
  <c r="D15" i="184"/>
  <c r="E15" i="184" s="1"/>
  <c r="O40" i="184"/>
  <c r="P40" i="184" s="1"/>
  <c r="D43" i="183"/>
  <c r="GL36" i="184"/>
  <c r="GL25" i="184"/>
  <c r="Q30" i="183"/>
  <c r="R30" i="183" s="1"/>
  <c r="Q38" i="185"/>
  <c r="R38" i="185" s="1"/>
  <c r="O28" i="183"/>
  <c r="P28" i="183" s="1"/>
  <c r="GL32" i="186"/>
  <c r="O15" i="186"/>
  <c r="P15" i="186" s="1"/>
  <c r="Q23" i="185"/>
  <c r="R23" i="185" s="1"/>
  <c r="D24" i="185"/>
  <c r="GL20" i="186"/>
  <c r="D20" i="186"/>
  <c r="Q26" i="185"/>
  <c r="R26" i="185" s="1"/>
  <c r="O31" i="184"/>
  <c r="P31" i="184" s="1"/>
  <c r="D38" i="183"/>
  <c r="Q24" i="184"/>
  <c r="R24" i="184" s="1"/>
  <c r="D34" i="184"/>
  <c r="E34" i="184" s="1"/>
  <c r="D34" i="183"/>
  <c r="E34" i="183" s="1"/>
  <c r="Q27" i="186"/>
  <c r="R27" i="186" s="1"/>
  <c r="O26" i="185"/>
  <c r="P26" i="185" s="1"/>
  <c r="Q16" i="184"/>
  <c r="R16" i="184" s="1"/>
  <c r="D39" i="183"/>
  <c r="E39" i="183" s="1"/>
  <c r="D37" i="184"/>
  <c r="O22" i="185"/>
  <c r="P22" i="185" s="1"/>
  <c r="Q15" i="185"/>
  <c r="R15" i="185" s="1"/>
  <c r="D39" i="184"/>
  <c r="E39" i="184" s="1"/>
  <c r="Q29" i="183"/>
  <c r="R29" i="183" s="1"/>
  <c r="Q36" i="185"/>
  <c r="R36" i="185" s="1"/>
  <c r="O32" i="183"/>
  <c r="P32" i="183" s="1"/>
  <c r="GL29" i="183"/>
  <c r="O30" i="184"/>
  <c r="P30" i="184" s="1"/>
  <c r="D40" i="183"/>
  <c r="E40" i="183" s="1"/>
  <c r="Q31" i="183"/>
  <c r="R31" i="183" s="1"/>
  <c r="Q21" i="186"/>
  <c r="R21" i="186" s="1"/>
  <c r="GL32" i="185"/>
  <c r="D32" i="185"/>
  <c r="E32" i="185" s="1"/>
  <c r="O41" i="183"/>
  <c r="P41" i="183" s="1"/>
  <c r="D24" i="186"/>
  <c r="E24" i="186" s="1"/>
  <c r="D22" i="184"/>
  <c r="E22" i="184" s="1"/>
  <c r="Q30" i="185"/>
  <c r="R30" i="185" s="1"/>
  <c r="Q27" i="185"/>
  <c r="R27" i="185" s="1"/>
  <c r="GL29" i="184"/>
  <c r="GL24" i="184"/>
  <c r="D23" i="185"/>
  <c r="E23" i="185" s="1"/>
  <c r="GL43" i="183"/>
  <c r="O36" i="184"/>
  <c r="P36" i="184" s="1"/>
  <c r="GL14" i="184"/>
  <c r="O14" i="184"/>
  <c r="P14" i="184" s="1"/>
  <c r="D36" i="183"/>
  <c r="E36" i="183" s="1"/>
  <c r="D20" i="185"/>
  <c r="E20" i="185" s="1"/>
  <c r="O33" i="183"/>
  <c r="P33" i="183" s="1"/>
  <c r="O21" i="186"/>
  <c r="P21" i="186" s="1"/>
  <c r="D37" i="185"/>
  <c r="E37" i="185" s="1"/>
  <c r="O36" i="185"/>
  <c r="P36" i="185" s="1"/>
  <c r="Q36" i="183"/>
  <c r="R36" i="183" s="1"/>
  <c r="Q17" i="185"/>
  <c r="R17" i="185" s="1"/>
  <c r="O35" i="184"/>
  <c r="P35" i="184" s="1"/>
  <c r="D31" i="184"/>
  <c r="E31" i="184" s="1"/>
  <c r="Q18" i="184"/>
  <c r="R18" i="184" s="1"/>
  <c r="O37" i="183"/>
  <c r="P37" i="183" s="1"/>
  <c r="GL35" i="183"/>
  <c r="GL26" i="185"/>
  <c r="D29" i="185"/>
  <c r="E29" i="185" s="1"/>
  <c r="Q22" i="185"/>
  <c r="R22" i="185" s="1"/>
  <c r="Q19" i="186"/>
  <c r="R19" i="186" s="1"/>
  <c r="D18" i="185"/>
  <c r="E18" i="185" s="1"/>
  <c r="D31" i="185"/>
  <c r="E31" i="185" s="1"/>
  <c r="Q16" i="185"/>
  <c r="R16" i="185" s="1"/>
  <c r="O42" i="183"/>
  <c r="P42" i="183" s="1"/>
  <c r="O30" i="186"/>
  <c r="P30" i="186" s="1"/>
  <c r="Q17" i="184"/>
  <c r="R17" i="184" s="1"/>
  <c r="GL26" i="186"/>
  <c r="O28" i="185"/>
  <c r="P28" i="185" s="1"/>
  <c r="Q33" i="184"/>
  <c r="R33" i="184" s="1"/>
  <c r="Q21" i="185"/>
  <c r="R21" i="185" s="1"/>
  <c r="O19" i="185"/>
  <c r="P19" i="185" s="1"/>
  <c r="O18" i="186"/>
  <c r="P18" i="186" s="1"/>
  <c r="O35" i="185"/>
  <c r="P35" i="185" s="1"/>
  <c r="Q40" i="184"/>
  <c r="R40" i="184" s="1"/>
  <c r="GL22" i="184"/>
  <c r="D29" i="184"/>
  <c r="E29" i="184" s="1"/>
  <c r="D40" i="184"/>
  <c r="O23" i="185"/>
  <c r="P23" i="185" s="1"/>
  <c r="D36" i="184"/>
  <c r="E36" i="184" s="1"/>
  <c r="O25" i="184"/>
  <c r="P25" i="184" s="1"/>
  <c r="Q19" i="184"/>
  <c r="R19" i="184" s="1"/>
  <c r="D28" i="183"/>
  <c r="E28" i="183" s="1"/>
  <c r="D21" i="186"/>
  <c r="E21" i="186" s="1"/>
  <c r="O16" i="186"/>
  <c r="P16" i="186" s="1"/>
  <c r="Q25" i="185"/>
  <c r="R25" i="185" s="1"/>
  <c r="Q28" i="186"/>
  <c r="R28" i="186" s="1"/>
  <c r="O16" i="185"/>
  <c r="P16" i="185" s="1"/>
  <c r="Q35" i="183"/>
  <c r="R35" i="183" s="1"/>
  <c r="D35" i="183"/>
  <c r="E35" i="183" s="1"/>
  <c r="O27" i="185"/>
  <c r="P27" i="185" s="1"/>
  <c r="Q28" i="185"/>
  <c r="R28" i="185" s="1"/>
  <c r="Q32" i="183"/>
  <c r="R32" i="183" s="1"/>
  <c r="D25" i="186"/>
  <c r="Q17" i="186"/>
  <c r="R17" i="186" s="1"/>
  <c r="O31" i="183"/>
  <c r="P31" i="183" s="1"/>
  <c r="GL25" i="185"/>
  <c r="O14" i="185"/>
  <c r="P14" i="185" s="1"/>
  <c r="GL39" i="184"/>
  <c r="Q42" i="183"/>
  <c r="R42" i="183" s="1"/>
  <c r="D30" i="183"/>
  <c r="E30" i="183" s="1"/>
  <c r="GL40" i="185"/>
  <c r="D40" i="185"/>
  <c r="E40" i="185" s="1"/>
  <c r="GL32" i="183"/>
  <c r="D32" i="183"/>
  <c r="E32" i="183" s="1"/>
  <c r="Q33" i="185"/>
  <c r="R33" i="185" s="1"/>
  <c r="D28" i="184"/>
  <c r="E28" i="184" s="1"/>
  <c r="O28" i="186"/>
  <c r="P28" i="186" s="1"/>
  <c r="D28" i="186"/>
  <c r="Q22" i="186"/>
  <c r="R22" i="186" s="1"/>
  <c r="D19" i="185"/>
  <c r="D41" i="183"/>
  <c r="O24" i="186"/>
  <c r="P24" i="186" s="1"/>
  <c r="D18" i="186"/>
  <c r="E18" i="186" s="1"/>
  <c r="O17" i="185"/>
  <c r="P17" i="185" s="1"/>
  <c r="Q20" i="184"/>
  <c r="R20" i="184" s="1"/>
  <c r="D38" i="185"/>
  <c r="E38" i="185" s="1"/>
  <c r="GL26" i="184"/>
  <c r="Q38" i="183"/>
  <c r="R38" i="183" s="1"/>
  <c r="O29" i="186"/>
  <c r="P29" i="186" s="1"/>
  <c r="Q25" i="184"/>
  <c r="R25" i="184" s="1"/>
  <c r="D21" i="184"/>
  <c r="E21" i="184" s="1"/>
  <c r="O23" i="184"/>
  <c r="P23" i="184" s="1"/>
  <c r="D19" i="186"/>
  <c r="E19" i="186" s="1"/>
  <c r="O37" i="185"/>
  <c r="P37" i="185" s="1"/>
  <c r="O32" i="186"/>
  <c r="P32" i="186" s="1"/>
  <c r="D32" i="186"/>
  <c r="E32" i="186" s="1"/>
  <c r="O24" i="185"/>
  <c r="P24" i="185" s="1"/>
  <c r="Q30" i="186"/>
  <c r="R30" i="186" s="1"/>
  <c r="Q28" i="183"/>
  <c r="R28" i="183" s="1"/>
  <c r="O17" i="184"/>
  <c r="P17" i="184" s="1"/>
  <c r="Q14" i="185"/>
  <c r="R14" i="185" s="1"/>
  <c r="Q43" i="183"/>
  <c r="R43" i="183" s="1"/>
  <c r="D31" i="186"/>
  <c r="O29" i="185"/>
  <c r="P29" i="185" s="1"/>
  <c r="O33" i="184"/>
  <c r="P33" i="184" s="1"/>
  <c r="O18" i="185"/>
  <c r="P18" i="185" s="1"/>
  <c r="GL31" i="185"/>
  <c r="Q28" i="184"/>
  <c r="R28" i="184" s="1"/>
  <c r="D42" i="183"/>
  <c r="E42" i="183" s="1"/>
  <c r="D25" i="185"/>
  <c r="E25" i="185" s="1"/>
  <c r="O29" i="183"/>
  <c r="P29" i="183" s="1"/>
  <c r="GL28" i="184"/>
  <c r="GL40" i="183"/>
  <c r="O22" i="186"/>
  <c r="P22" i="186" s="1"/>
  <c r="GL38" i="184"/>
  <c r="O22" i="184"/>
  <c r="P22" i="184" s="1"/>
  <c r="GL38" i="185"/>
  <c r="D26" i="184"/>
  <c r="E26" i="184" s="1"/>
  <c r="D24" i="184"/>
  <c r="GL29" i="186"/>
  <c r="D27" i="186"/>
  <c r="E27" i="186" s="1"/>
  <c r="D17" i="186"/>
  <c r="E17" i="186" s="1"/>
  <c r="O43" i="183"/>
  <c r="P43" i="183" s="1"/>
  <c r="GL23" i="186"/>
  <c r="D23" i="186"/>
  <c r="D25" i="184"/>
  <c r="E25" i="184" s="1"/>
  <c r="D23" i="184"/>
  <c r="E23" i="184" s="1"/>
  <c r="GL37" i="185"/>
  <c r="D36" i="185"/>
  <c r="E36" i="185" s="1"/>
  <c r="O14" i="186"/>
  <c r="P14" i="186" s="1"/>
  <c r="O30" i="185"/>
  <c r="P30" i="185" s="1"/>
  <c r="GL16" i="185"/>
  <c r="D16" i="185"/>
  <c r="O20" i="186"/>
  <c r="P20" i="186" s="1"/>
  <c r="Q41" i="183"/>
  <c r="R41" i="183" s="1"/>
  <c r="O38" i="183"/>
  <c r="P38" i="183" s="1"/>
  <c r="D37" i="183"/>
  <c r="E37" i="183" s="1"/>
  <c r="O34" i="184"/>
  <c r="P34" i="184" s="1"/>
  <c r="Q37" i="183"/>
  <c r="R37" i="183" s="1"/>
  <c r="Q22" i="184"/>
  <c r="R22" i="184" s="1"/>
  <c r="GL31" i="186"/>
  <c r="D21" i="185"/>
  <c r="E21" i="185" s="1"/>
  <c r="D27" i="185"/>
  <c r="O39" i="183"/>
  <c r="P39" i="183" s="1"/>
  <c r="O31" i="185"/>
  <c r="P31" i="185" s="1"/>
  <c r="GL25" i="186"/>
  <c r="Q35" i="185"/>
  <c r="R35" i="185" s="1"/>
  <c r="O37" i="184"/>
  <c r="P37" i="184" s="1"/>
  <c r="Q29" i="186"/>
  <c r="R29" i="186" s="1"/>
  <c r="Q20" i="186"/>
  <c r="R20" i="186" s="1"/>
  <c r="GL30" i="186"/>
  <c r="O39" i="184"/>
  <c r="P39" i="184" s="1"/>
  <c r="Q39" i="183"/>
  <c r="R39" i="183" s="1"/>
  <c r="D28" i="185"/>
  <c r="E28" i="185" s="1"/>
  <c r="D29" i="183"/>
  <c r="E29" i="183" s="1"/>
  <c r="GL19" i="184"/>
  <c r="O19" i="184"/>
  <c r="P19" i="184" s="1"/>
  <c r="GL28" i="186"/>
  <c r="D22" i="186"/>
  <c r="O32" i="185"/>
  <c r="P32" i="185" s="1"/>
  <c r="O38" i="184"/>
  <c r="P38" i="184" s="1"/>
  <c r="GL24" i="186"/>
  <c r="Q24" i="185"/>
  <c r="R24" i="185" s="1"/>
  <c r="GL35" i="185"/>
  <c r="Q37" i="184"/>
  <c r="R37" i="184" s="1"/>
  <c r="O24" i="184"/>
  <c r="P24" i="184" s="1"/>
  <c r="O36" i="183"/>
  <c r="P36" i="183" s="1"/>
  <c r="GL27" i="186"/>
  <c r="GL40" i="184"/>
  <c r="GL23" i="185"/>
  <c r="D14" i="184"/>
  <c r="E14" i="184" s="1"/>
  <c r="O20" i="185"/>
  <c r="P20" i="185" s="1"/>
  <c r="Q39" i="184"/>
  <c r="R39" i="184" s="1"/>
  <c r="O18" i="184"/>
  <c r="P18" i="184" s="1"/>
  <c r="Q32" i="186"/>
  <c r="R32" i="186" s="1"/>
  <c r="D16" i="186"/>
  <c r="E16" i="186" s="1"/>
  <c r="O19" i="186"/>
  <c r="P19" i="186" s="1"/>
  <c r="O34" i="185"/>
  <c r="P34" i="185" s="1"/>
  <c r="D34" i="185"/>
  <c r="E34" i="185" s="1"/>
  <c r="O15" i="185"/>
  <c r="P15" i="185" s="1"/>
  <c r="D33" i="185"/>
  <c r="E33" i="185" s="1"/>
  <c r="D20" i="184"/>
  <c r="E20" i="184" s="1"/>
  <c r="D35" i="184"/>
  <c r="E35" i="184" s="1"/>
  <c r="Q29" i="184"/>
  <c r="R29" i="184" s="1"/>
  <c r="Q32" i="184"/>
  <c r="R32" i="184" s="1"/>
  <c r="Q23" i="184"/>
  <c r="R23" i="184" s="1"/>
  <c r="O34" i="183"/>
  <c r="P34" i="183" s="1"/>
  <c r="Q24" i="186"/>
  <c r="R24" i="186" s="1"/>
  <c r="D26" i="185"/>
  <c r="E26" i="185" s="1"/>
  <c r="GL29" i="185"/>
  <c r="Q19" i="185"/>
  <c r="R19" i="185" s="1"/>
  <c r="O25" i="186"/>
  <c r="P25" i="186" s="1"/>
  <c r="Q30" i="184"/>
  <c r="R30" i="184" s="1"/>
  <c r="Q40" i="183"/>
  <c r="R40" i="183" s="1"/>
  <c r="Q15" i="184"/>
  <c r="R15" i="184" s="1"/>
  <c r="D31" i="183"/>
  <c r="E31" i="183" s="1"/>
  <c r="D30" i="186"/>
  <c r="E30" i="186" s="1"/>
  <c r="D22" i="185"/>
  <c r="E22" i="185" s="1"/>
  <c r="O25" i="185"/>
  <c r="P25" i="185" s="1"/>
  <c r="D14" i="185"/>
  <c r="Q16" i="186"/>
  <c r="R16" i="186" s="1"/>
  <c r="O26" i="186"/>
  <c r="P26" i="186" s="1"/>
  <c r="GL28" i="185"/>
  <c r="Q37" i="185"/>
  <c r="R37" i="185" s="1"/>
  <c r="Q39" i="185"/>
  <c r="R39" i="185" s="1"/>
  <c r="D30" i="184"/>
  <c r="O28" i="184"/>
  <c r="P28" i="184" s="1"/>
  <c r="D19" i="184"/>
  <c r="E19" i="184" s="1"/>
  <c r="GL41" i="183"/>
  <c r="GL17" i="185"/>
  <c r="D35" i="185"/>
  <c r="E35" i="185" s="1"/>
  <c r="O38" i="185"/>
  <c r="P38" i="185" s="1"/>
  <c r="Q34" i="185"/>
  <c r="R34" i="185" s="1"/>
  <c r="Q14" i="184"/>
  <c r="R14" i="184" s="1"/>
  <c r="Q18" i="185"/>
  <c r="R18" i="185" s="1"/>
  <c r="Q36" i="184"/>
  <c r="R36" i="184" s="1"/>
  <c r="O29" i="184"/>
  <c r="P29" i="184" s="1"/>
  <c r="GL36" i="183"/>
  <c r="D29" i="186"/>
  <c r="O27" i="186"/>
  <c r="P27" i="186" s="1"/>
  <c r="GL17" i="186"/>
  <c r="O23" i="186"/>
  <c r="P23" i="186" s="1"/>
  <c r="D24" i="147"/>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AR25" i="186" l="1"/>
  <c r="AS25" i="186"/>
  <c r="FF65" i="186" s="1"/>
  <c r="AW25" i="186"/>
  <c r="FG65" i="186"/>
  <c r="AR31" i="184"/>
  <c r="AS31" i="184" s="1"/>
  <c r="FF71" i="184" s="1"/>
  <c r="AR19" i="184"/>
  <c r="AS19" i="184" s="1"/>
  <c r="FF59" i="184" s="1"/>
  <c r="AS30" i="184"/>
  <c r="FF70" i="184" s="1"/>
  <c r="AR20" i="184"/>
  <c r="AS20" i="184" s="1"/>
  <c r="FF60" i="184" s="1"/>
  <c r="AZ31" i="185"/>
  <c r="BA31" i="185" s="1"/>
  <c r="FH71" i="185" s="1"/>
  <c r="BD31" i="185"/>
  <c r="BE31" i="185" s="1"/>
  <c r="FI71" i="185" s="1"/>
  <c r="AZ30" i="185"/>
  <c r="BA30" i="185" s="1"/>
  <c r="FH70" i="185" s="1"/>
  <c r="BD30" i="185"/>
  <c r="BE30" i="185" s="1"/>
  <c r="FI70" i="185" s="1"/>
  <c r="AV36" i="185"/>
  <c r="AW36" i="185" s="1"/>
  <c r="FG76" i="185" s="1"/>
  <c r="AR36" i="185"/>
  <c r="AS36" i="185" s="1"/>
  <c r="FF76" i="185" s="1"/>
  <c r="AV23" i="186"/>
  <c r="AW23" i="186" s="1"/>
  <c r="FG63" i="186" s="1"/>
  <c r="FG66" i="183"/>
  <c r="FG60" i="183"/>
  <c r="AR21" i="186"/>
  <c r="AS21" i="186" s="1"/>
  <c r="FF61" i="186" s="1"/>
  <c r="AS27" i="186"/>
  <c r="FF67" i="186" s="1"/>
  <c r="AR28" i="186"/>
  <c r="AS28" i="186" s="1"/>
  <c r="FF68" i="186" s="1"/>
  <c r="AV21" i="186"/>
  <c r="AW21" i="186" s="1"/>
  <c r="AW27" i="186"/>
  <c r="FG67" i="186" s="1"/>
  <c r="AV28" i="186"/>
  <c r="AW28" i="186" s="1"/>
  <c r="FG68" i="186" s="1"/>
  <c r="AR16" i="186"/>
  <c r="AS16" i="186" s="1"/>
  <c r="FF56" i="186" s="1"/>
  <c r="AS18" i="186"/>
  <c r="FF58" i="186" s="1"/>
  <c r="AV29" i="186"/>
  <c r="AW29" i="186" s="1"/>
  <c r="FG69" i="186" s="1"/>
  <c r="AV22" i="186"/>
  <c r="AW22" i="186" s="1"/>
  <c r="FG62" i="186" s="1"/>
  <c r="AV16" i="186"/>
  <c r="AW16" i="186" s="1"/>
  <c r="FG56" i="186" s="1"/>
  <c r="AR22" i="186"/>
  <c r="AS22" i="186" s="1"/>
  <c r="FF62" i="186" s="1"/>
  <c r="AR31" i="186"/>
  <c r="AS31" i="186" s="1"/>
  <c r="FF71" i="186" s="1"/>
  <c r="AR20" i="186"/>
  <c r="AW32" i="186"/>
  <c r="FG72" i="186" s="1"/>
  <c r="AS30" i="186"/>
  <c r="FF70" i="186" s="1"/>
  <c r="AV31" i="186"/>
  <c r="AW31" i="186" s="1"/>
  <c r="FG71" i="186" s="1"/>
  <c r="AV20" i="186"/>
  <c r="AW20" i="186" s="1"/>
  <c r="FG60" i="186" s="1"/>
  <c r="FF57" i="186"/>
  <c r="AW30" i="186"/>
  <c r="FG70" i="186" s="1"/>
  <c r="AR29" i="186"/>
  <c r="AS29" i="186" s="1"/>
  <c r="FF69" i="186" s="1"/>
  <c r="AZ14" i="186"/>
  <c r="BA14" i="186" s="1"/>
  <c r="AR19" i="186"/>
  <c r="AS19" i="186" s="1"/>
  <c r="FF59" i="186" s="1"/>
  <c r="AZ15" i="186"/>
  <c r="BA15" i="186" s="1"/>
  <c r="FH55" i="186" s="1"/>
  <c r="AZ24" i="186"/>
  <c r="BA24" i="186" s="1"/>
  <c r="FH64" i="186" s="1"/>
  <c r="AZ25" i="186"/>
  <c r="BA25" i="186" s="1"/>
  <c r="FH65" i="186" s="1"/>
  <c r="BD14" i="186"/>
  <c r="BE14" i="186" s="1"/>
  <c r="AW19" i="186"/>
  <c r="FG59" i="186" s="1"/>
  <c r="BD15" i="186"/>
  <c r="BE15" i="186" s="1"/>
  <c r="FI55" i="186" s="1"/>
  <c r="BD24" i="186"/>
  <c r="BE24" i="186" s="1"/>
  <c r="FI64" i="186" s="1"/>
  <c r="BE25" i="186"/>
  <c r="FI65" i="186" s="1"/>
  <c r="AR22" i="185"/>
  <c r="AS22" i="185" s="1"/>
  <c r="FF62" i="185" s="1"/>
  <c r="AR31" i="185"/>
  <c r="AS31" i="185" s="1"/>
  <c r="FF71" i="185" s="1"/>
  <c r="AR14" i="185"/>
  <c r="AS14" i="185" s="1"/>
  <c r="FF54" i="185" s="1"/>
  <c r="AR40" i="185"/>
  <c r="AS40" i="185" s="1"/>
  <c r="FF80" i="185" s="1"/>
  <c r="AW22" i="185"/>
  <c r="FG62" i="185" s="1"/>
  <c r="AV31" i="185"/>
  <c r="AW31" i="185" s="1"/>
  <c r="FG71" i="185" s="1"/>
  <c r="AV14" i="185"/>
  <c r="AW14" i="185" s="1"/>
  <c r="FG54" i="185" s="1"/>
  <c r="AR15" i="185"/>
  <c r="AS15" i="185" s="1"/>
  <c r="FF55" i="185" s="1"/>
  <c r="AS16" i="185"/>
  <c r="FF56" i="185" s="1"/>
  <c r="AS20" i="185"/>
  <c r="FF60" i="185" s="1"/>
  <c r="AS23" i="185"/>
  <c r="FF63" i="185" s="1"/>
  <c r="AV15" i="185"/>
  <c r="AW15" i="185" s="1"/>
  <c r="FG55" i="185" s="1"/>
  <c r="AW16" i="185"/>
  <c r="FG56" i="185" s="1"/>
  <c r="AV20" i="185"/>
  <c r="AW20" i="185" s="1"/>
  <c r="FG60" i="185" s="1"/>
  <c r="AV23" i="185"/>
  <c r="AW23" i="185" s="1"/>
  <c r="AR35" i="185"/>
  <c r="AS35" i="185" s="1"/>
  <c r="FF75" i="185" s="1"/>
  <c r="AR24" i="185"/>
  <c r="AS24" i="185" s="1"/>
  <c r="FF64" i="185" s="1"/>
  <c r="AR19" i="185"/>
  <c r="AS19" i="185" s="1"/>
  <c r="FF59" i="185" s="1"/>
  <c r="AS21" i="185"/>
  <c r="FF61" i="185" s="1"/>
  <c r="AV35" i="185"/>
  <c r="AW35" i="185" s="1"/>
  <c r="FG75" i="185" s="1"/>
  <c r="AW24" i="185"/>
  <c r="FG64" i="185" s="1"/>
  <c r="AV19" i="185"/>
  <c r="AW19" i="185" s="1"/>
  <c r="FG59" i="185" s="1"/>
  <c r="AV21" i="185"/>
  <c r="AW21" i="185" s="1"/>
  <c r="FG61" i="185" s="1"/>
  <c r="AW32" i="185"/>
  <c r="FG72" i="185" s="1"/>
  <c r="AV30" i="185"/>
  <c r="AW30" i="185" s="1"/>
  <c r="FG70" i="185" s="1"/>
  <c r="AR32" i="185"/>
  <c r="AS32" i="185" s="1"/>
  <c r="FF72" i="185" s="1"/>
  <c r="FF69" i="185"/>
  <c r="AR30" i="185"/>
  <c r="AS30" i="185" s="1"/>
  <c r="FF70" i="185" s="1"/>
  <c r="FG57" i="184"/>
  <c r="AW36" i="184"/>
  <c r="FG76" i="184" s="1"/>
  <c r="AW27" i="184"/>
  <c r="FG67" i="184" s="1"/>
  <c r="FG75" i="184"/>
  <c r="FG55" i="184"/>
  <c r="AV40" i="184"/>
  <c r="AW40" i="184" s="1"/>
  <c r="FG80" i="184" s="1"/>
  <c r="FG69" i="184"/>
  <c r="GK35" i="185"/>
  <c r="GM35" i="185" s="1"/>
  <c r="GK16" i="186"/>
  <c r="GM16" i="186" s="1"/>
  <c r="GK36" i="185"/>
  <c r="GM36" i="185" s="1"/>
  <c r="GK17" i="186"/>
  <c r="GM17" i="186" s="1"/>
  <c r="GK42" i="183"/>
  <c r="GM42" i="183" s="1"/>
  <c r="GK32" i="186"/>
  <c r="GM32" i="186" s="1"/>
  <c r="GK21" i="184"/>
  <c r="GM21" i="184" s="1"/>
  <c r="GK38" i="185"/>
  <c r="GM38" i="185" s="1"/>
  <c r="GK21" i="186"/>
  <c r="GM21" i="186" s="1"/>
  <c r="GK29" i="184"/>
  <c r="GM29" i="184" s="1"/>
  <c r="GK31" i="185"/>
  <c r="GM31" i="185" s="1"/>
  <c r="GK31" i="184"/>
  <c r="GM31" i="184" s="1"/>
  <c r="GK22" i="184"/>
  <c r="GM22" i="184" s="1"/>
  <c r="GK15" i="186"/>
  <c r="GM15" i="186" s="1"/>
  <c r="GK32" i="184"/>
  <c r="GM32" i="184" s="1"/>
  <c r="GK22" i="185"/>
  <c r="GM22" i="185" s="1"/>
  <c r="GK30" i="186"/>
  <c r="GM30" i="186" s="1"/>
  <c r="GK20" i="184"/>
  <c r="GM20" i="184" s="1"/>
  <c r="E22" i="186"/>
  <c r="GK22" i="186" s="1"/>
  <c r="GM22" i="186" s="1"/>
  <c r="GK28" i="185"/>
  <c r="GM28" i="185" s="1"/>
  <c r="GK21" i="185"/>
  <c r="GM21" i="185" s="1"/>
  <c r="GK25" i="184"/>
  <c r="GM25" i="184" s="1"/>
  <c r="E24" i="184"/>
  <c r="GK24" i="184" s="1"/>
  <c r="GM24" i="184" s="1"/>
  <c r="GK28" i="184"/>
  <c r="GM28" i="184" s="1"/>
  <c r="GK32" i="183"/>
  <c r="GM32" i="183" s="1"/>
  <c r="GK39" i="183"/>
  <c r="GM39" i="183" s="1"/>
  <c r="GK15" i="184"/>
  <c r="GM15" i="184" s="1"/>
  <c r="GK16" i="184"/>
  <c r="GM16" i="184" s="1"/>
  <c r="GK37" i="185"/>
  <c r="GM37" i="185" s="1"/>
  <c r="GK34" i="185"/>
  <c r="GM34" i="185" s="1"/>
  <c r="GK37" i="183"/>
  <c r="GM37" i="183" s="1"/>
  <c r="E14" i="185"/>
  <c r="GK14" i="185" s="1"/>
  <c r="GM14" i="185" s="1"/>
  <c r="E16" i="185"/>
  <c r="GK16" i="185" s="1"/>
  <c r="GM16" i="185" s="1"/>
  <c r="E23" i="186"/>
  <c r="GK23" i="186" s="1"/>
  <c r="GM23" i="186" s="1"/>
  <c r="GK26" i="184"/>
  <c r="GM26" i="184" s="1"/>
  <c r="GK19" i="186"/>
  <c r="GM19" i="186" s="1"/>
  <c r="GK35" i="183"/>
  <c r="GM35" i="183" s="1"/>
  <c r="GK34" i="183"/>
  <c r="GM34" i="183" s="1"/>
  <c r="E20" i="186"/>
  <c r="GK20" i="186" s="1"/>
  <c r="GM20" i="186" s="1"/>
  <c r="E43" i="183"/>
  <c r="GK43" i="183" s="1"/>
  <c r="GM43" i="183" s="1"/>
  <c r="E18" i="184"/>
  <c r="GK18" i="184" s="1"/>
  <c r="GM18" i="184" s="1"/>
  <c r="GK27" i="184"/>
  <c r="GM27" i="184" s="1"/>
  <c r="GK27" i="186"/>
  <c r="GM27" i="186" s="1"/>
  <c r="E41" i="183"/>
  <c r="GK41" i="183" s="1"/>
  <c r="GM41" i="183" s="1"/>
  <c r="E28" i="186"/>
  <c r="GK28" i="186" s="1"/>
  <c r="GM28" i="186" s="1"/>
  <c r="GK30" i="183"/>
  <c r="GM30" i="183" s="1"/>
  <c r="GK28" i="183"/>
  <c r="GM28" i="183" s="1"/>
  <c r="GK23" i="185"/>
  <c r="GM23" i="185" s="1"/>
  <c r="GK24" i="186"/>
  <c r="GM24" i="186" s="1"/>
  <c r="E37" i="184"/>
  <c r="GK37" i="184" s="1"/>
  <c r="GM37" i="184" s="1"/>
  <c r="GK34" i="184"/>
  <c r="GM34" i="184" s="1"/>
  <c r="E38" i="183"/>
  <c r="GK38" i="183" s="1"/>
  <c r="GM38" i="183" s="1"/>
  <c r="E24" i="185"/>
  <c r="GK24" i="185" s="1"/>
  <c r="GM24" i="185" s="1"/>
  <c r="GK17" i="184"/>
  <c r="GM17" i="184" s="1"/>
  <c r="E14" i="186"/>
  <c r="GK14" i="186" s="1"/>
  <c r="GM14" i="186" s="1"/>
  <c r="GK39" i="185"/>
  <c r="GM39" i="185" s="1"/>
  <c r="E15" i="185"/>
  <c r="GK15" i="185" s="1"/>
  <c r="GM15" i="185" s="1"/>
  <c r="GK19" i="184"/>
  <c r="GM19" i="184" s="1"/>
  <c r="GK18" i="186"/>
  <c r="GM18" i="186" s="1"/>
  <c r="GK31" i="183"/>
  <c r="GM31" i="183" s="1"/>
  <c r="GK26" i="185"/>
  <c r="GM26" i="185" s="1"/>
  <c r="GK33" i="185"/>
  <c r="GM33" i="185" s="1"/>
  <c r="GK29" i="183"/>
  <c r="GM29" i="183" s="1"/>
  <c r="GK25" i="185"/>
  <c r="GM25" i="185" s="1"/>
  <c r="GK18" i="185"/>
  <c r="GM18" i="185" s="1"/>
  <c r="GK39" i="184"/>
  <c r="GM39" i="184" s="1"/>
  <c r="GK33" i="184"/>
  <c r="GM33" i="184" s="1"/>
  <c r="GK17" i="185"/>
  <c r="GM17" i="185" s="1"/>
  <c r="E29" i="186"/>
  <c r="GK29" i="186" s="1"/>
  <c r="GM29" i="186" s="1"/>
  <c r="E30" i="184"/>
  <c r="GK30" i="184" s="1"/>
  <c r="GM30" i="184" s="1"/>
  <c r="GK35" i="184"/>
  <c r="GM35" i="184" s="1"/>
  <c r="GK14" i="184"/>
  <c r="GM14" i="184" s="1"/>
  <c r="E27" i="185"/>
  <c r="GK27" i="185" s="1"/>
  <c r="GM27" i="185" s="1"/>
  <c r="GK23" i="184"/>
  <c r="GM23" i="184" s="1"/>
  <c r="E31" i="186"/>
  <c r="GK31" i="186" s="1"/>
  <c r="GM31" i="186" s="1"/>
  <c r="E19" i="185"/>
  <c r="GK19" i="185" s="1"/>
  <c r="GM19" i="185" s="1"/>
  <c r="GK40" i="185"/>
  <c r="GM40" i="185" s="1"/>
  <c r="E25" i="186"/>
  <c r="GK25" i="186" s="1"/>
  <c r="GM25" i="186" s="1"/>
  <c r="GK36" i="184"/>
  <c r="GM36" i="184" s="1"/>
  <c r="E40" i="184"/>
  <c r="GK40" i="184" s="1"/>
  <c r="GM40" i="184" s="1"/>
  <c r="GK29" i="185"/>
  <c r="GM29" i="185" s="1"/>
  <c r="GK20" i="185"/>
  <c r="GM20" i="185" s="1"/>
  <c r="GK36" i="183"/>
  <c r="GM36" i="183" s="1"/>
  <c r="GK32" i="185"/>
  <c r="GM32" i="185" s="1"/>
  <c r="GK40" i="183"/>
  <c r="GM40" i="183" s="1"/>
  <c r="GK38" i="184"/>
  <c r="GM38" i="184" s="1"/>
  <c r="GK30" i="185"/>
  <c r="GM30" i="185" s="1"/>
  <c r="E26" i="186"/>
  <c r="GK26" i="186" s="1"/>
  <c r="GM26" i="186" s="1"/>
  <c r="GK33" i="183"/>
  <c r="GM33" i="183" s="1"/>
  <c r="H26" i="147"/>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FI54" i="186" l="1"/>
  <c r="AS20" i="186"/>
  <c r="FF60" i="186" s="1"/>
  <c r="FH54" i="186"/>
  <c r="FG61" i="186"/>
  <c r="FG63" i="185"/>
  <c r="G28" i="147"/>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A5" i="229" l="1"/>
  <c r="A5" i="230"/>
  <c r="N1" i="229"/>
  <c r="N1" i="230"/>
  <c r="N2" i="229"/>
  <c r="N2" i="230"/>
  <c r="N3" i="229"/>
  <c r="N3" i="230"/>
  <c r="N4" i="229"/>
  <c r="N4" i="230"/>
  <c r="A5" i="227"/>
  <c r="A5" i="228"/>
  <c r="N1" i="227"/>
  <c r="N1" i="228"/>
  <c r="N2" i="227"/>
  <c r="N2" i="228"/>
  <c r="N3" i="227"/>
  <c r="N3" i="228"/>
  <c r="N4" i="227"/>
  <c r="N4" i="228"/>
  <c r="A5" i="225"/>
  <c r="A5" i="226"/>
  <c r="N1" i="225"/>
  <c r="N1" i="226"/>
  <c r="N2" i="225"/>
  <c r="N2" i="226"/>
  <c r="N3" i="225"/>
  <c r="N3" i="226"/>
  <c r="N4" i="225"/>
  <c r="N4" i="226"/>
  <c r="A5" i="223"/>
  <c r="A5" i="224"/>
  <c r="N1" i="223"/>
  <c r="N1" i="224"/>
  <c r="N2" i="223"/>
  <c r="N2" i="224"/>
  <c r="N3" i="223"/>
  <c r="N3" i="224"/>
  <c r="N4" i="223"/>
  <c r="N4" i="224"/>
  <c r="A5" i="221"/>
  <c r="A5" i="222"/>
  <c r="N1" i="221"/>
  <c r="N1" i="222"/>
  <c r="N2" i="221"/>
  <c r="N2" i="222"/>
  <c r="N3" i="221"/>
  <c r="N3" i="222"/>
  <c r="N4" i="221"/>
  <c r="N4" i="222"/>
  <c r="A5" i="219"/>
  <c r="A5" i="220"/>
  <c r="N1" i="219"/>
  <c r="N1" i="220"/>
  <c r="N2" i="219"/>
  <c r="N2" i="220"/>
  <c r="N3" i="219"/>
  <c r="N3" i="220"/>
  <c r="N4" i="219"/>
  <c r="N4" i="220"/>
  <c r="A5" i="217"/>
  <c r="A5" i="218"/>
  <c r="N1" i="217"/>
  <c r="N1" i="218"/>
  <c r="N2" i="217"/>
  <c r="N2" i="218"/>
  <c r="N3" i="217"/>
  <c r="N3" i="218"/>
  <c r="N4" i="217"/>
  <c r="N4" i="218"/>
  <c r="A5" i="215"/>
  <c r="A5" i="216"/>
  <c r="N1" i="215"/>
  <c r="N1" i="216"/>
  <c r="N2" i="215"/>
  <c r="N2" i="216"/>
  <c r="N3" i="215"/>
  <c r="N3" i="216"/>
  <c r="N4" i="215"/>
  <c r="N4" i="216"/>
  <c r="A5" i="213"/>
  <c r="A5" i="214"/>
  <c r="N1" i="213"/>
  <c r="N1" i="214"/>
  <c r="N2" i="213"/>
  <c r="N2" i="214"/>
  <c r="N3" i="213"/>
  <c r="N3" i="214"/>
  <c r="N4" i="213"/>
  <c r="N4" i="214"/>
  <c r="A5" i="211"/>
  <c r="A5" i="212"/>
  <c r="N1" i="211"/>
  <c r="N1" i="212"/>
  <c r="N2" i="211"/>
  <c r="N2" i="212"/>
  <c r="N3" i="211"/>
  <c r="N3" i="212"/>
  <c r="N4" i="211"/>
  <c r="N4" i="212"/>
  <c r="A5" i="209"/>
  <c r="A5" i="210"/>
  <c r="N1" i="209"/>
  <c r="N1" i="210"/>
  <c r="N2" i="209"/>
  <c r="N2" i="210"/>
  <c r="N3" i="209"/>
  <c r="N3" i="210"/>
  <c r="N4" i="209"/>
  <c r="N4" i="210"/>
  <c r="A5" i="207"/>
  <c r="A5" i="208"/>
  <c r="N1" i="207"/>
  <c r="N1" i="208"/>
  <c r="N2" i="207"/>
  <c r="N2" i="208"/>
  <c r="N3" i="207"/>
  <c r="N3" i="208"/>
  <c r="N4" i="207"/>
  <c r="N4" i="208"/>
  <c r="A5" i="205"/>
  <c r="A5" i="206"/>
  <c r="N1" i="205"/>
  <c r="N1" i="206"/>
  <c r="N2" i="205"/>
  <c r="N2" i="206"/>
  <c r="N3" i="205"/>
  <c r="N3" i="206"/>
  <c r="N4" i="205"/>
  <c r="N4" i="206"/>
  <c r="A5" i="203"/>
  <c r="A5" i="204"/>
  <c r="N1" i="203"/>
  <c r="N1" i="204"/>
  <c r="N2" i="203"/>
  <c r="N2" i="204"/>
  <c r="N3" i="203"/>
  <c r="N3" i="204"/>
  <c r="N4" i="203"/>
  <c r="N4" i="204"/>
  <c r="A5" i="201"/>
  <c r="A5" i="202"/>
  <c r="N1" i="201"/>
  <c r="N1" i="202"/>
  <c r="N2" i="201"/>
  <c r="N2" i="202"/>
  <c r="N3" i="201"/>
  <c r="N3" i="202"/>
  <c r="N4" i="201"/>
  <c r="N4" i="202"/>
  <c r="A5" i="199"/>
  <c r="A5" i="200"/>
  <c r="N1" i="199"/>
  <c r="N1" i="200"/>
  <c r="N2" i="199"/>
  <c r="N2" i="200"/>
  <c r="N3" i="199"/>
  <c r="N3" i="200"/>
  <c r="N4" i="199"/>
  <c r="N4" i="200"/>
  <c r="A5" i="197"/>
  <c r="A5" i="198"/>
  <c r="N1" i="197"/>
  <c r="N1" i="198"/>
  <c r="N2" i="197"/>
  <c r="N2" i="198"/>
  <c r="N3" i="197"/>
  <c r="N3" i="198"/>
  <c r="N4" i="197"/>
  <c r="N4" i="198"/>
  <c r="I2" i="196"/>
  <c r="A5" i="196"/>
  <c r="I1" i="196"/>
  <c r="I3" i="196"/>
  <c r="I4" i="196"/>
  <c r="A5" i="169"/>
  <c r="AB5" i="186"/>
  <c r="A5" i="186"/>
  <c r="A5" i="185"/>
  <c r="AB5" i="185"/>
  <c r="AB5" i="184"/>
  <c r="A5" i="184"/>
  <c r="A5" i="181"/>
  <c r="A5" i="175"/>
  <c r="A5" i="171"/>
  <c r="A5" i="182"/>
  <c r="A5" i="170"/>
  <c r="A5" i="183"/>
  <c r="A5" i="176"/>
  <c r="A5" i="172"/>
  <c r="A5" i="179"/>
  <c r="A5" i="177"/>
  <c r="A5" i="173"/>
  <c r="AB5" i="183"/>
  <c r="A5" i="178"/>
  <c r="A5" i="174"/>
  <c r="A5" i="180"/>
  <c r="I1" i="169"/>
  <c r="BD1" i="186"/>
  <c r="BD1" i="185"/>
  <c r="BD1" i="184"/>
  <c r="N1" i="181"/>
  <c r="I1" i="182"/>
  <c r="N1" i="176"/>
  <c r="N1" i="172"/>
  <c r="M1" i="170"/>
  <c r="BD1" i="183"/>
  <c r="N1" i="177"/>
  <c r="N1" i="173"/>
  <c r="N1" i="179"/>
  <c r="N1" i="178"/>
  <c r="N1" i="174"/>
  <c r="N1" i="180"/>
  <c r="N1" i="175"/>
  <c r="N1" i="171"/>
  <c r="I2" i="169"/>
  <c r="BD2" i="186"/>
  <c r="Z2" i="186"/>
  <c r="BD2" i="185"/>
  <c r="Z2" i="185"/>
  <c r="Z2" i="184"/>
  <c r="N2" i="177"/>
  <c r="N2" i="173"/>
  <c r="N2" i="176"/>
  <c r="BD2" i="183"/>
  <c r="N2" i="178"/>
  <c r="N2" i="179"/>
  <c r="N2" i="174"/>
  <c r="Z2" i="183"/>
  <c r="N2" i="180"/>
  <c r="BD2" i="184"/>
  <c r="N2" i="181"/>
  <c r="N2" i="175"/>
  <c r="N2" i="171"/>
  <c r="N2" i="172"/>
  <c r="I2" i="182"/>
  <c r="M2" i="170"/>
  <c r="I3" i="169"/>
  <c r="BD3" i="186"/>
  <c r="BD3" i="185"/>
  <c r="Z3" i="186"/>
  <c r="Z3" i="185"/>
  <c r="BD3" i="184"/>
  <c r="Z3" i="184"/>
  <c r="N3" i="178"/>
  <c r="N3" i="179"/>
  <c r="N3" i="174"/>
  <c r="N3" i="180"/>
  <c r="BD3" i="183"/>
  <c r="N3" i="181"/>
  <c r="N3" i="175"/>
  <c r="N3" i="171"/>
  <c r="Z3" i="183"/>
  <c r="I3" i="182"/>
  <c r="M3" i="170"/>
  <c r="N3" i="176"/>
  <c r="N3" i="172"/>
  <c r="N3" i="177"/>
  <c r="N3" i="173"/>
  <c r="I4" i="169"/>
  <c r="BD4" i="186"/>
  <c r="Z4" i="186"/>
  <c r="BD4" i="185"/>
  <c r="Z4" i="185"/>
  <c r="BD4" i="184"/>
  <c r="N4" i="180"/>
  <c r="Z4" i="183"/>
  <c r="N4" i="181"/>
  <c r="N4" i="175"/>
  <c r="N4" i="171"/>
  <c r="I4" i="182"/>
  <c r="N4" i="176"/>
  <c r="N4" i="172"/>
  <c r="Z4" i="184"/>
  <c r="N4" i="177"/>
  <c r="N4" i="173"/>
  <c r="N4" i="178"/>
  <c r="BD4" i="183"/>
  <c r="N4" i="179"/>
  <c r="N4" i="174"/>
  <c r="M4" i="170"/>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M16" i="146"/>
  <c r="M15" i="146"/>
  <c r="M12" i="146"/>
  <c r="M18" i="146"/>
  <c r="M13" i="146"/>
  <c r="M10" i="146"/>
  <c r="M8" i="146"/>
  <c r="M5" i="146"/>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CL78" i="185" l="1"/>
  <c r="CL66" i="185"/>
  <c r="CL67" i="185"/>
  <c r="CL78" i="184"/>
  <c r="CL77" i="184"/>
  <c r="CL64" i="184"/>
  <c r="CL82" i="183"/>
  <c r="CU25" i="147"/>
  <c r="BQ25" i="147" s="1"/>
  <c r="CL65" i="184"/>
  <c r="CL68" i="183"/>
  <c r="CL83" i="183"/>
  <c r="DE23" i="147"/>
  <c r="FR23" i="147" s="1"/>
  <c r="CC74" i="184"/>
  <c r="CC77" i="184"/>
  <c r="CL76" i="184"/>
  <c r="CL72" i="184"/>
  <c r="CC76" i="184"/>
  <c r="CL74" i="184"/>
  <c r="CL73" i="184"/>
  <c r="CL66" i="184"/>
  <c r="CL62" i="184"/>
  <c r="CL58" i="184"/>
  <c r="CC54" i="184"/>
  <c r="CL75" i="184"/>
  <c r="CC73" i="184"/>
  <c r="CC70" i="184"/>
  <c r="CC66" i="184"/>
  <c r="CC62" i="184"/>
  <c r="CC58" i="184"/>
  <c r="CC75" i="184"/>
  <c r="CL69" i="184"/>
  <c r="CL61" i="184"/>
  <c r="CL57" i="184"/>
  <c r="CC72" i="184"/>
  <c r="CC69" i="184"/>
  <c r="CC65" i="184"/>
  <c r="CC61" i="184"/>
  <c r="CC57" i="184"/>
  <c r="CL68" i="184"/>
  <c r="CL56" i="184"/>
  <c r="CC67" i="184"/>
  <c r="CC64" i="184"/>
  <c r="CC56" i="184"/>
  <c r="CC68" i="184"/>
  <c r="CC82" i="183"/>
  <c r="CC78" i="183"/>
  <c r="CC74" i="183"/>
  <c r="CC70" i="183"/>
  <c r="CL81" i="183"/>
  <c r="CL77" i="183"/>
  <c r="CL73" i="183"/>
  <c r="CL69" i="183"/>
  <c r="CC59" i="184"/>
  <c r="CC81" i="183"/>
  <c r="CC77" i="183"/>
  <c r="CC73" i="183"/>
  <c r="CC71" i="184"/>
  <c r="CC60" i="184"/>
  <c r="CL80" i="183"/>
  <c r="CL72" i="183"/>
  <c r="CC80" i="183"/>
  <c r="CC76" i="183"/>
  <c r="CC72" i="183"/>
  <c r="CC68" i="183"/>
  <c r="CC71" i="183"/>
  <c r="CL63" i="184"/>
  <c r="CL78" i="183"/>
  <c r="CC63" i="184"/>
  <c r="CC75" i="183"/>
  <c r="CL79" i="183"/>
  <c r="CL55" i="184"/>
  <c r="CC79" i="183"/>
  <c r="CL67" i="184"/>
  <c r="CC55" i="184"/>
  <c r="CL74" i="183"/>
  <c r="CL71" i="183"/>
  <c r="CL70" i="184"/>
  <c r="CL71" i="184"/>
  <c r="CC69" i="183"/>
  <c r="CL70" i="183"/>
  <c r="CC83" i="183"/>
  <c r="CL54" i="184"/>
  <c r="CC72" i="186"/>
  <c r="CL71" i="186"/>
  <c r="CC70" i="186"/>
  <c r="CC66" i="186"/>
  <c r="CC62" i="186"/>
  <c r="CC58" i="186"/>
  <c r="CL69" i="186"/>
  <c r="CL65" i="186"/>
  <c r="CL61" i="186"/>
  <c r="CC69" i="186"/>
  <c r="CC65" i="186"/>
  <c r="CC61" i="186"/>
  <c r="CC57" i="186"/>
  <c r="CC71" i="186"/>
  <c r="CL68" i="186"/>
  <c r="CL64" i="186"/>
  <c r="CL60" i="186"/>
  <c r="CL56" i="186"/>
  <c r="CL72" i="186"/>
  <c r="CC68" i="186"/>
  <c r="CC64" i="186"/>
  <c r="CC60" i="186"/>
  <c r="CC56" i="186"/>
  <c r="CL67" i="186"/>
  <c r="CL63" i="186"/>
  <c r="CL59" i="186"/>
  <c r="CL55" i="186"/>
  <c r="CL70" i="186"/>
  <c r="CL62" i="186"/>
  <c r="CC54" i="186"/>
  <c r="CC59" i="186"/>
  <c r="CL70" i="185"/>
  <c r="CL62" i="185"/>
  <c r="CC54" i="185"/>
  <c r="CC55" i="186"/>
  <c r="CC78" i="185"/>
  <c r="CC74" i="185"/>
  <c r="CC70" i="185"/>
  <c r="CC66" i="185"/>
  <c r="CC63" i="186"/>
  <c r="CL77" i="185"/>
  <c r="CL65" i="185"/>
  <c r="CC67" i="186"/>
  <c r="CC77" i="185"/>
  <c r="CC73" i="185"/>
  <c r="CC69" i="185"/>
  <c r="CC65" i="185"/>
  <c r="CC61" i="185"/>
  <c r="CC80" i="185"/>
  <c r="CC76" i="185"/>
  <c r="CC72" i="185"/>
  <c r="CC68" i="185"/>
  <c r="CC64" i="185"/>
  <c r="CC60" i="185"/>
  <c r="CC56" i="185"/>
  <c r="CL71" i="185"/>
  <c r="CC78" i="184"/>
  <c r="CL76" i="185"/>
  <c r="CC71" i="185"/>
  <c r="CL64" i="185"/>
  <c r="CL61" i="185"/>
  <c r="CC57" i="185"/>
  <c r="CL54" i="185"/>
  <c r="CC58" i="185"/>
  <c r="CL72" i="185"/>
  <c r="CL54" i="186"/>
  <c r="CC80" i="184"/>
  <c r="CC75" i="185"/>
  <c r="CC63" i="185"/>
  <c r="CC59" i="185"/>
  <c r="CC55" i="185"/>
  <c r="CL75" i="185"/>
  <c r="CL60" i="185"/>
  <c r="CC67" i="185"/>
  <c r="CL56" i="185"/>
  <c r="CC79" i="185"/>
  <c r="CC62" i="185"/>
  <c r="CL59" i="185"/>
  <c r="CL63" i="185"/>
  <c r="CC79" i="184"/>
  <c r="CL55" i="185"/>
  <c r="CL66" i="186"/>
  <c r="CL58" i="185"/>
  <c r="CL69" i="185"/>
  <c r="CL57" i="185"/>
  <c r="CL80" i="185"/>
  <c r="CL80" i="184"/>
  <c r="CL79" i="185"/>
  <c r="CL79" i="184"/>
  <c r="CL68" i="185"/>
  <c r="CL58" i="186"/>
  <c r="CL74" i="185"/>
  <c r="CL57" i="186"/>
  <c r="CL73" i="185"/>
  <c r="CL60" i="184"/>
  <c r="CL59" i="184"/>
  <c r="CL76" i="183"/>
  <c r="CL75" i="183"/>
  <c r="GF45" i="84"/>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EX20" i="165" s="1"/>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CC23" i="147" l="1"/>
  <c r="CM23" i="147" s="1"/>
  <c r="FA23" i="147"/>
  <c r="EI73" i="185"/>
  <c r="EH73" i="185"/>
  <c r="EJ73" i="185" s="1"/>
  <c r="DS73" i="185" s="1"/>
  <c r="DF73" i="185"/>
  <c r="DG73" i="185"/>
  <c r="DH73" i="185" s="1"/>
  <c r="FE73" i="185" s="1"/>
  <c r="EI80" i="185"/>
  <c r="EH80" i="185"/>
  <c r="EJ80" i="185" s="1"/>
  <c r="DS80" i="185" s="1"/>
  <c r="DF80" i="185"/>
  <c r="DG80" i="185"/>
  <c r="DH80" i="185" s="1"/>
  <c r="FE80" i="185" s="1"/>
  <c r="EF62" i="185"/>
  <c r="EE62" i="185"/>
  <c r="EG62" i="185" s="1"/>
  <c r="DL62" i="185" s="1"/>
  <c r="CZ62" i="185"/>
  <c r="DA62" i="185"/>
  <c r="DB62" i="185" s="1"/>
  <c r="FD62" i="185" s="1"/>
  <c r="EF63" i="185"/>
  <c r="EE63" i="185"/>
  <c r="EG63" i="185" s="1"/>
  <c r="DL63" i="185" s="1"/>
  <c r="CZ63" i="185"/>
  <c r="DA63" i="185"/>
  <c r="DB63" i="185" s="1"/>
  <c r="FD63" i="185" s="1"/>
  <c r="DF61" i="185"/>
  <c r="EH61" i="185"/>
  <c r="EJ61" i="185" s="1"/>
  <c r="DS61" i="185" s="1"/>
  <c r="EI61" i="185"/>
  <c r="DG61" i="185"/>
  <c r="DH61" i="185" s="1"/>
  <c r="FE61" i="185" s="1"/>
  <c r="CZ64" i="185"/>
  <c r="EF64" i="185"/>
  <c r="EE64" i="185"/>
  <c r="EG64" i="185" s="1"/>
  <c r="DL64" i="185" s="1"/>
  <c r="DA64" i="185"/>
  <c r="DB64" i="185" s="1"/>
  <c r="FD64" i="185" s="1"/>
  <c r="EE73" i="185"/>
  <c r="EG73" i="185" s="1"/>
  <c r="DL73" i="185" s="1"/>
  <c r="EF73" i="185"/>
  <c r="CZ73" i="185"/>
  <c r="DA73" i="185"/>
  <c r="DB73" i="185" s="1"/>
  <c r="FD73" i="185" s="1"/>
  <c r="EF74" i="185"/>
  <c r="EE74" i="185"/>
  <c r="EG74" i="185" s="1"/>
  <c r="DL74" i="185" s="1"/>
  <c r="CZ74" i="185"/>
  <c r="DA74" i="185"/>
  <c r="DB74" i="185" s="1"/>
  <c r="FD74" i="185" s="1"/>
  <c r="EH62" i="186"/>
  <c r="EJ62" i="186" s="1"/>
  <c r="DS62" i="186" s="1"/>
  <c r="EI62" i="186"/>
  <c r="DF62" i="186"/>
  <c r="DG62" i="186"/>
  <c r="DH62" i="186" s="1"/>
  <c r="FE62" i="186" s="1"/>
  <c r="EF64" i="186"/>
  <c r="EE64" i="186"/>
  <c r="EG64" i="186" s="1"/>
  <c r="DL64" i="186" s="1"/>
  <c r="CZ64" i="186"/>
  <c r="DA64" i="186"/>
  <c r="DB64" i="186" s="1"/>
  <c r="FD64" i="186" s="1"/>
  <c r="EF57" i="186"/>
  <c r="EE57" i="186"/>
  <c r="EG57" i="186" s="1"/>
  <c r="DL57" i="186" s="1"/>
  <c r="CZ57" i="186"/>
  <c r="DA57" i="186"/>
  <c r="DB57" i="186" s="1"/>
  <c r="FD57" i="186" s="1"/>
  <c r="EF62" i="186"/>
  <c r="EE62" i="186"/>
  <c r="EG62" i="186" s="1"/>
  <c r="DL62" i="186" s="1"/>
  <c r="CZ62" i="186"/>
  <c r="DA62" i="186"/>
  <c r="DB62" i="186" s="1"/>
  <c r="FD62" i="186" s="1"/>
  <c r="EI71" i="183"/>
  <c r="EH71" i="183"/>
  <c r="EJ71" i="183" s="1"/>
  <c r="DS71" i="183" s="1"/>
  <c r="DF71" i="183"/>
  <c r="DG71" i="183"/>
  <c r="DH71" i="183" s="1"/>
  <c r="FE71" i="183" s="1"/>
  <c r="EF63" i="184"/>
  <c r="EE63" i="184"/>
  <c r="EG63" i="184" s="1"/>
  <c r="DL63" i="184" s="1"/>
  <c r="CZ63" i="184"/>
  <c r="DA63" i="184"/>
  <c r="DB63" i="184" s="1"/>
  <c r="FD63" i="184" s="1"/>
  <c r="EI72" i="183"/>
  <c r="EH72" i="183"/>
  <c r="EJ72" i="183" s="1"/>
  <c r="DS72" i="183" s="1"/>
  <c r="DF72" i="183"/>
  <c r="DG72" i="183"/>
  <c r="DH72" i="183" s="1"/>
  <c r="FE72" i="183" s="1"/>
  <c r="EI69" i="183"/>
  <c r="EH69" i="183"/>
  <c r="EJ69" i="183" s="1"/>
  <c r="DS69" i="183" s="1"/>
  <c r="DF69" i="183"/>
  <c r="DG69" i="183"/>
  <c r="DH69" i="183" s="1"/>
  <c r="FE69" i="183" s="1"/>
  <c r="CZ68" i="184"/>
  <c r="EF68" i="184"/>
  <c r="EE68" i="184"/>
  <c r="EG68" i="184" s="1"/>
  <c r="DL68" i="184" s="1"/>
  <c r="DA68" i="184"/>
  <c r="DB68" i="184" s="1"/>
  <c r="FD68" i="184" s="1"/>
  <c r="EF65" i="184"/>
  <c r="EE65" i="184"/>
  <c r="EG65" i="184" s="1"/>
  <c r="DL65" i="184" s="1"/>
  <c r="CZ65" i="184"/>
  <c r="DA65" i="184"/>
  <c r="DB65" i="184" s="1"/>
  <c r="FD65" i="184" s="1"/>
  <c r="EF62" i="184"/>
  <c r="EE62" i="184"/>
  <c r="EG62" i="184" s="1"/>
  <c r="DL62" i="184" s="1"/>
  <c r="CZ62" i="184"/>
  <c r="DA62" i="184"/>
  <c r="DB62" i="184" s="1"/>
  <c r="FD62" i="184" s="1"/>
  <c r="EH66" i="184"/>
  <c r="EJ66" i="184" s="1"/>
  <c r="DS66" i="184" s="1"/>
  <c r="EI66" i="184"/>
  <c r="DF66" i="184"/>
  <c r="DG66" i="184"/>
  <c r="DH66" i="184" s="1"/>
  <c r="FE66" i="184" s="1"/>
  <c r="EI77" i="184"/>
  <c r="EH77" i="184"/>
  <c r="EJ77" i="184" s="1"/>
  <c r="DS77" i="184" s="1"/>
  <c r="DF77" i="184"/>
  <c r="DG77" i="184"/>
  <c r="DH77" i="184" s="1"/>
  <c r="FE77" i="184" s="1"/>
  <c r="EF75" i="185"/>
  <c r="EE75" i="185"/>
  <c r="EG75" i="185" s="1"/>
  <c r="DL75" i="185" s="1"/>
  <c r="CZ75" i="185"/>
  <c r="DA75" i="185"/>
  <c r="DB75" i="185" s="1"/>
  <c r="FD75" i="185" s="1"/>
  <c r="EH70" i="186"/>
  <c r="EJ70" i="186" s="1"/>
  <c r="DS70" i="186" s="1"/>
  <c r="EI70" i="186"/>
  <c r="DF70" i="186"/>
  <c r="DG70" i="186"/>
  <c r="DH70" i="186" s="1"/>
  <c r="FE70" i="186" s="1"/>
  <c r="DF78" i="183"/>
  <c r="EI78" i="183"/>
  <c r="EH78" i="183"/>
  <c r="EJ78" i="183" s="1"/>
  <c r="DS78" i="183" s="1"/>
  <c r="DG78" i="183"/>
  <c r="DH78" i="183" s="1"/>
  <c r="FE78" i="183" s="1"/>
  <c r="EF66" i="184"/>
  <c r="EE66" i="184"/>
  <c r="EG66" i="184" s="1"/>
  <c r="DL66" i="184" s="1"/>
  <c r="CZ66" i="184"/>
  <c r="DA66" i="184"/>
  <c r="DB66" i="184" s="1"/>
  <c r="FD66" i="184" s="1"/>
  <c r="EH74" i="185"/>
  <c r="EJ74" i="185" s="1"/>
  <c r="DS74" i="185" s="1"/>
  <c r="EI74" i="185"/>
  <c r="DF74" i="185"/>
  <c r="DG74" i="185"/>
  <c r="DH74" i="185" s="1"/>
  <c r="FE74" i="185" s="1"/>
  <c r="EI69" i="185"/>
  <c r="EH69" i="185"/>
  <c r="EJ69" i="185" s="1"/>
  <c r="DS69" i="185" s="1"/>
  <c r="DF69" i="185"/>
  <c r="DG69" i="185"/>
  <c r="DH69" i="185" s="1"/>
  <c r="FE69" i="185" s="1"/>
  <c r="EI56" i="185"/>
  <c r="EH56" i="185"/>
  <c r="EJ56" i="185" s="1"/>
  <c r="DS56" i="185" s="1"/>
  <c r="DF56" i="185"/>
  <c r="DI56" i="185" s="1"/>
  <c r="DG56" i="185"/>
  <c r="DH56" i="185" s="1"/>
  <c r="FE56" i="185" s="1"/>
  <c r="EF80" i="184"/>
  <c r="EE80" i="184"/>
  <c r="EG80" i="184" s="1"/>
  <c r="DL80" i="184" s="1"/>
  <c r="CZ80" i="184"/>
  <c r="DA80" i="184"/>
  <c r="DB80" i="184" s="1"/>
  <c r="FD80" i="184" s="1"/>
  <c r="EF71" i="185"/>
  <c r="EE71" i="185"/>
  <c r="EG71" i="185" s="1"/>
  <c r="DL71" i="185" s="1"/>
  <c r="CZ71" i="185"/>
  <c r="DA71" i="185"/>
  <c r="DB71" i="185" s="1"/>
  <c r="FD71" i="185" s="1"/>
  <c r="EF72" i="185"/>
  <c r="EE72" i="185"/>
  <c r="EG72" i="185" s="1"/>
  <c r="DL72" i="185" s="1"/>
  <c r="CZ72" i="185"/>
  <c r="DA72" i="185"/>
  <c r="DB72" i="185" s="1"/>
  <c r="FD72" i="185" s="1"/>
  <c r="EE67" i="186"/>
  <c r="EG67" i="186" s="1"/>
  <c r="DL67" i="186" s="1"/>
  <c r="EF67" i="186"/>
  <c r="CZ67" i="186"/>
  <c r="DA67" i="186"/>
  <c r="DB67" i="186" s="1"/>
  <c r="FD67" i="186" s="1"/>
  <c r="EE55" i="186"/>
  <c r="EG55" i="186" s="1"/>
  <c r="DL55" i="186" s="1"/>
  <c r="EF55" i="186"/>
  <c r="CZ55" i="186"/>
  <c r="DA55" i="186"/>
  <c r="DB55" i="186" s="1"/>
  <c r="FD55" i="186" s="1"/>
  <c r="EI55" i="186"/>
  <c r="EH55" i="186"/>
  <c r="EJ55" i="186" s="1"/>
  <c r="DS55" i="186" s="1"/>
  <c r="DF55" i="186"/>
  <c r="DI55" i="186" s="1"/>
  <c r="DG55" i="186"/>
  <c r="DH55" i="186" s="1"/>
  <c r="FE55" i="186" s="1"/>
  <c r="EI72" i="186"/>
  <c r="EH72" i="186"/>
  <c r="EJ72" i="186" s="1"/>
  <c r="DS72" i="186" s="1"/>
  <c r="DF72" i="186"/>
  <c r="DG72" i="186"/>
  <c r="DH72" i="186" s="1"/>
  <c r="FE72" i="186" s="1"/>
  <c r="EF65" i="186"/>
  <c r="EE65" i="186"/>
  <c r="EG65" i="186" s="1"/>
  <c r="DL65" i="186" s="1"/>
  <c r="CZ65" i="186"/>
  <c r="DA65" i="186"/>
  <c r="DB65" i="186" s="1"/>
  <c r="FD65" i="186" s="1"/>
  <c r="EF70" i="186"/>
  <c r="EE70" i="186"/>
  <c r="EG70" i="186" s="1"/>
  <c r="DL70" i="186" s="1"/>
  <c r="CZ70" i="186"/>
  <c r="DA70" i="186"/>
  <c r="DB70" i="186" s="1"/>
  <c r="FD70" i="186" s="1"/>
  <c r="DF54" i="184"/>
  <c r="EI54" i="184"/>
  <c r="EH54" i="184"/>
  <c r="EJ54" i="184" s="1"/>
  <c r="DS54" i="184" s="1"/>
  <c r="DG54" i="184"/>
  <c r="DH54" i="184" s="1"/>
  <c r="FE54" i="184" s="1"/>
  <c r="EF55" i="184"/>
  <c r="EE55" i="184"/>
  <c r="EG55" i="184" s="1"/>
  <c r="DL55" i="184" s="1"/>
  <c r="CZ55" i="184"/>
  <c r="DA55" i="184"/>
  <c r="DB55" i="184" s="1"/>
  <c r="FD55" i="184" s="1"/>
  <c r="EI63" i="184"/>
  <c r="EH63" i="184"/>
  <c r="EJ63" i="184" s="1"/>
  <c r="DS63" i="184" s="1"/>
  <c r="DF63" i="184"/>
  <c r="DG63" i="184"/>
  <c r="DH63" i="184" s="1"/>
  <c r="FE63" i="184" s="1"/>
  <c r="EF60" i="184"/>
  <c r="EE60" i="184"/>
  <c r="EG60" i="184" s="1"/>
  <c r="DL60" i="184" s="1"/>
  <c r="CZ60" i="184"/>
  <c r="DA60" i="184"/>
  <c r="DB60" i="184" s="1"/>
  <c r="FD60" i="184" s="1"/>
  <c r="EI77" i="183"/>
  <c r="EH77" i="183"/>
  <c r="EJ77" i="183" s="1"/>
  <c r="DS77" i="183" s="1"/>
  <c r="DF77" i="183"/>
  <c r="DG77" i="183"/>
  <c r="DH77" i="183" s="1"/>
  <c r="FE77" i="183" s="1"/>
  <c r="EF64" i="184"/>
  <c r="EE64" i="184"/>
  <c r="EG64" i="184" s="1"/>
  <c r="DL64" i="184" s="1"/>
  <c r="CZ64" i="184"/>
  <c r="DA64" i="184"/>
  <c r="DB64" i="184" s="1"/>
  <c r="FD64" i="184" s="1"/>
  <c r="EF72" i="184"/>
  <c r="EE72" i="184"/>
  <c r="EG72" i="184" s="1"/>
  <c r="DL72" i="184" s="1"/>
  <c r="CZ72" i="184"/>
  <c r="DA72" i="184"/>
  <c r="DB72" i="184" s="1"/>
  <c r="FD72" i="184" s="1"/>
  <c r="EF70" i="184"/>
  <c r="EE70" i="184"/>
  <c r="EG70" i="184" s="1"/>
  <c r="DL70" i="184" s="1"/>
  <c r="CZ70" i="184"/>
  <c r="DA70" i="184"/>
  <c r="DB70" i="184" s="1"/>
  <c r="FD70" i="184" s="1"/>
  <c r="EH74" i="184"/>
  <c r="EJ74" i="184" s="1"/>
  <c r="DS74" i="184" s="1"/>
  <c r="EI74" i="184"/>
  <c r="DF74" i="184"/>
  <c r="DG74" i="184"/>
  <c r="DH74" i="184" s="1"/>
  <c r="FE74" i="184" s="1"/>
  <c r="EI67" i="185"/>
  <c r="EH67" i="185"/>
  <c r="EJ67" i="185" s="1"/>
  <c r="DS67" i="185" s="1"/>
  <c r="DF67" i="185"/>
  <c r="DG67" i="185"/>
  <c r="DH67" i="185" s="1"/>
  <c r="FE67" i="185" s="1"/>
  <c r="EF78" i="185"/>
  <c r="EE78" i="185"/>
  <c r="EG78" i="185" s="1"/>
  <c r="DL78" i="185" s="1"/>
  <c r="CZ78" i="185"/>
  <c r="DA78" i="185"/>
  <c r="DB78" i="185" s="1"/>
  <c r="FD78" i="185" s="1"/>
  <c r="EF69" i="184"/>
  <c r="EE69" i="184"/>
  <c r="EG69" i="184" s="1"/>
  <c r="DL69" i="184" s="1"/>
  <c r="CZ69" i="184"/>
  <c r="DA69" i="184"/>
  <c r="DB69" i="184" s="1"/>
  <c r="FD69" i="184" s="1"/>
  <c r="EH58" i="186"/>
  <c r="EJ58" i="186" s="1"/>
  <c r="DS58" i="186" s="1"/>
  <c r="EI58" i="186"/>
  <c r="DF58" i="186"/>
  <c r="DG58" i="186"/>
  <c r="DH58" i="186" s="1"/>
  <c r="FE58" i="186" s="1"/>
  <c r="EH58" i="185"/>
  <c r="EJ58" i="185" s="1"/>
  <c r="DS58" i="185" s="1"/>
  <c r="EI58" i="185"/>
  <c r="DF58" i="185"/>
  <c r="DG58" i="185"/>
  <c r="DH58" i="185" s="1"/>
  <c r="FE58" i="185" s="1"/>
  <c r="EF67" i="185"/>
  <c r="EE67" i="185"/>
  <c r="EG67" i="185" s="1"/>
  <c r="DL67" i="185" s="1"/>
  <c r="CZ67" i="185"/>
  <c r="DA67" i="185"/>
  <c r="DB67" i="185" s="1"/>
  <c r="FD67" i="185" s="1"/>
  <c r="EI54" i="186"/>
  <c r="DF54" i="186"/>
  <c r="EH54" i="186"/>
  <c r="EJ54" i="186" s="1"/>
  <c r="DS54" i="186" s="1"/>
  <c r="DG54" i="186"/>
  <c r="DH54" i="186" s="1"/>
  <c r="FE54" i="186" s="1"/>
  <c r="EI76" i="185"/>
  <c r="EH76" i="185"/>
  <c r="EJ76" i="185" s="1"/>
  <c r="DS76" i="185" s="1"/>
  <c r="DF76" i="185"/>
  <c r="DG76" i="185"/>
  <c r="DH76" i="185" s="1"/>
  <c r="FE76" i="185" s="1"/>
  <c r="EF76" i="185"/>
  <c r="EE76" i="185"/>
  <c r="EG76" i="185" s="1"/>
  <c r="DL76" i="185" s="1"/>
  <c r="CZ76" i="185"/>
  <c r="DA76" i="185"/>
  <c r="DB76" i="185" s="1"/>
  <c r="FD76" i="185" s="1"/>
  <c r="EH65" i="185"/>
  <c r="EJ65" i="185" s="1"/>
  <c r="DS65" i="185" s="1"/>
  <c r="EI65" i="185"/>
  <c r="DF65" i="185"/>
  <c r="DG65" i="185"/>
  <c r="DH65" i="185" s="1"/>
  <c r="FE65" i="185" s="1"/>
  <c r="EF54" i="185"/>
  <c r="EE54" i="185"/>
  <c r="EG54" i="185" s="1"/>
  <c r="DL54" i="185" s="1"/>
  <c r="CZ54" i="185"/>
  <c r="DA54" i="185"/>
  <c r="DB54" i="185" s="1"/>
  <c r="FD54" i="185" s="1"/>
  <c r="EI59" i="186"/>
  <c r="EH59" i="186"/>
  <c r="EJ59" i="186" s="1"/>
  <c r="DS59" i="186" s="1"/>
  <c r="DF59" i="186"/>
  <c r="DG59" i="186"/>
  <c r="DH59" i="186" s="1"/>
  <c r="FE59" i="186" s="1"/>
  <c r="EI56" i="186"/>
  <c r="EH56" i="186"/>
  <c r="EJ56" i="186" s="1"/>
  <c r="DS56" i="186" s="1"/>
  <c r="DF56" i="186"/>
  <c r="DG56" i="186"/>
  <c r="DH56" i="186" s="1"/>
  <c r="FE56" i="186" s="1"/>
  <c r="EF69" i="186"/>
  <c r="EE69" i="186"/>
  <c r="EG69" i="186" s="1"/>
  <c r="DL69" i="186" s="1"/>
  <c r="CZ69" i="186"/>
  <c r="DA69" i="186"/>
  <c r="DB69" i="186" s="1"/>
  <c r="FD69" i="186" s="1"/>
  <c r="EI71" i="186"/>
  <c r="EH71" i="186"/>
  <c r="EJ71" i="186" s="1"/>
  <c r="DS71" i="186" s="1"/>
  <c r="DF71" i="186"/>
  <c r="DG71" i="186"/>
  <c r="DH71" i="186" s="1"/>
  <c r="FE71" i="186" s="1"/>
  <c r="EE83" i="183"/>
  <c r="EG83" i="183" s="1"/>
  <c r="DL83" i="183" s="1"/>
  <c r="CZ83" i="183"/>
  <c r="EF83" i="183"/>
  <c r="DA83" i="183"/>
  <c r="DB83" i="183" s="1"/>
  <c r="FD83" i="183" s="1"/>
  <c r="EI67" i="184"/>
  <c r="EH67" i="184"/>
  <c r="EJ67" i="184" s="1"/>
  <c r="DS67" i="184" s="1"/>
  <c r="DF67" i="184"/>
  <c r="DG67" i="184"/>
  <c r="DH67" i="184" s="1"/>
  <c r="FE67" i="184" s="1"/>
  <c r="EE71" i="183"/>
  <c r="EG71" i="183" s="1"/>
  <c r="DL71" i="183" s="1"/>
  <c r="EF71" i="183"/>
  <c r="CZ71" i="183"/>
  <c r="DA71" i="183"/>
  <c r="DB71" i="183" s="1"/>
  <c r="FD71" i="183" s="1"/>
  <c r="EF71" i="184"/>
  <c r="EE71" i="184"/>
  <c r="EG71" i="184" s="1"/>
  <c r="DL71" i="184" s="1"/>
  <c r="CZ71" i="184"/>
  <c r="DA71" i="184"/>
  <c r="DB71" i="184" s="1"/>
  <c r="FD71" i="184" s="1"/>
  <c r="EI81" i="183"/>
  <c r="EH81" i="183"/>
  <c r="EJ81" i="183" s="1"/>
  <c r="DS81" i="183" s="1"/>
  <c r="DF81" i="183"/>
  <c r="DG81" i="183"/>
  <c r="DH81" i="183" s="1"/>
  <c r="FE81" i="183" s="1"/>
  <c r="EF67" i="184"/>
  <c r="EE67" i="184"/>
  <c r="EG67" i="184" s="1"/>
  <c r="DL67" i="184" s="1"/>
  <c r="CZ67" i="184"/>
  <c r="DA67" i="184"/>
  <c r="DB67" i="184" s="1"/>
  <c r="FD67" i="184" s="1"/>
  <c r="EI57" i="184"/>
  <c r="EH57" i="184"/>
  <c r="EJ57" i="184" s="1"/>
  <c r="DS57" i="184" s="1"/>
  <c r="DF57" i="184"/>
  <c r="DG57" i="184"/>
  <c r="DH57" i="184" s="1"/>
  <c r="FE57" i="184" s="1"/>
  <c r="EF73" i="184"/>
  <c r="EE73" i="184"/>
  <c r="EG73" i="184" s="1"/>
  <c r="DL73" i="184" s="1"/>
  <c r="CZ73" i="184"/>
  <c r="DA73" i="184"/>
  <c r="DB73" i="184" s="1"/>
  <c r="FD73" i="184" s="1"/>
  <c r="EF76" i="184"/>
  <c r="EE76" i="184"/>
  <c r="EG76" i="184" s="1"/>
  <c r="DL76" i="184" s="1"/>
  <c r="CZ76" i="184"/>
  <c r="DA76" i="184"/>
  <c r="DB76" i="184" s="1"/>
  <c r="FD76" i="184" s="1"/>
  <c r="EH66" i="185"/>
  <c r="EJ66" i="185" s="1"/>
  <c r="DS66" i="185" s="1"/>
  <c r="EI66" i="185"/>
  <c r="DF66" i="185"/>
  <c r="DG66" i="185"/>
  <c r="DH66" i="185" s="1"/>
  <c r="FE66" i="185" s="1"/>
  <c r="EF79" i="185"/>
  <c r="EE79" i="185"/>
  <c r="EG79" i="185" s="1"/>
  <c r="DL79" i="185" s="1"/>
  <c r="CZ79" i="185"/>
  <c r="DA79" i="185"/>
  <c r="DB79" i="185" s="1"/>
  <c r="FD79" i="185" s="1"/>
  <c r="EF66" i="186"/>
  <c r="EE66" i="186"/>
  <c r="EG66" i="186" s="1"/>
  <c r="DL66" i="186" s="1"/>
  <c r="CZ66" i="186"/>
  <c r="DA66" i="186"/>
  <c r="DB66" i="186" s="1"/>
  <c r="FD66" i="186" s="1"/>
  <c r="DF74" i="183"/>
  <c r="EI74" i="183"/>
  <c r="EH74" i="183"/>
  <c r="EJ74" i="183" s="1"/>
  <c r="DS74" i="183" s="1"/>
  <c r="DG74" i="183"/>
  <c r="DH74" i="183" s="1"/>
  <c r="FE74" i="183" s="1"/>
  <c r="DF78" i="184"/>
  <c r="EH78" i="184"/>
  <c r="EJ78" i="184" s="1"/>
  <c r="DS78" i="184" s="1"/>
  <c r="EI78" i="184"/>
  <c r="DG78" i="184"/>
  <c r="DH78" i="184" s="1"/>
  <c r="FE78" i="184" s="1"/>
  <c r="EI75" i="183"/>
  <c r="EH75" i="183"/>
  <c r="EJ75" i="183" s="1"/>
  <c r="DS75" i="183" s="1"/>
  <c r="DF75" i="183"/>
  <c r="DG75" i="183"/>
  <c r="DH75" i="183" s="1"/>
  <c r="FE75" i="183" s="1"/>
  <c r="EI68" i="185"/>
  <c r="EH68" i="185"/>
  <c r="EJ68" i="185" s="1"/>
  <c r="DS68" i="185" s="1"/>
  <c r="DF68" i="185"/>
  <c r="DG68" i="185"/>
  <c r="DH68" i="185" s="1"/>
  <c r="FE68" i="185" s="1"/>
  <c r="EH66" i="186"/>
  <c r="EJ66" i="186" s="1"/>
  <c r="DS66" i="186" s="1"/>
  <c r="EI66" i="186"/>
  <c r="DF66" i="186"/>
  <c r="DG66" i="186"/>
  <c r="DH66" i="186" s="1"/>
  <c r="FE66" i="186" s="1"/>
  <c r="EI55" i="185"/>
  <c r="EH55" i="185"/>
  <c r="EJ55" i="185" s="1"/>
  <c r="DS55" i="185" s="1"/>
  <c r="DF55" i="185"/>
  <c r="DG55" i="185"/>
  <c r="DH55" i="185" s="1"/>
  <c r="FE55" i="185" s="1"/>
  <c r="EI60" i="185"/>
  <c r="EH60" i="185"/>
  <c r="EJ60" i="185" s="1"/>
  <c r="DS60" i="185" s="1"/>
  <c r="DF60" i="185"/>
  <c r="DG60" i="185"/>
  <c r="DH60" i="185" s="1"/>
  <c r="FE60" i="185" s="1"/>
  <c r="EI72" i="185"/>
  <c r="EH72" i="185"/>
  <c r="EJ72" i="185" s="1"/>
  <c r="DS72" i="185" s="1"/>
  <c r="DF72" i="185"/>
  <c r="DG72" i="185"/>
  <c r="DH72" i="185" s="1"/>
  <c r="FE72" i="185" s="1"/>
  <c r="EE78" i="184"/>
  <c r="EG78" i="184" s="1"/>
  <c r="DL78" i="184" s="1"/>
  <c r="EF78" i="184"/>
  <c r="CZ78" i="184"/>
  <c r="DA78" i="184"/>
  <c r="DB78" i="184" s="1"/>
  <c r="FD78" i="184" s="1"/>
  <c r="EE80" i="185"/>
  <c r="EG80" i="185" s="1"/>
  <c r="DL80" i="185" s="1"/>
  <c r="EF80" i="185"/>
  <c r="CZ80" i="185"/>
  <c r="DA80" i="185"/>
  <c r="DB80" i="185" s="1"/>
  <c r="FD80" i="185" s="1"/>
  <c r="EI77" i="185"/>
  <c r="EH77" i="185"/>
  <c r="EJ77" i="185" s="1"/>
  <c r="DS77" i="185" s="1"/>
  <c r="DF77" i="185"/>
  <c r="DG77" i="185"/>
  <c r="DH77" i="185" s="1"/>
  <c r="FE77" i="185" s="1"/>
  <c r="EH62" i="185"/>
  <c r="EJ62" i="185" s="1"/>
  <c r="DS62" i="185" s="1"/>
  <c r="EI62" i="185"/>
  <c r="DF62" i="185"/>
  <c r="DG62" i="185"/>
  <c r="DH62" i="185" s="1"/>
  <c r="FE62" i="185" s="1"/>
  <c r="EI63" i="186"/>
  <c r="EH63" i="186"/>
  <c r="EJ63" i="186" s="1"/>
  <c r="DS63" i="186" s="1"/>
  <c r="DF63" i="186"/>
  <c r="DG63" i="186"/>
  <c r="DH63" i="186" s="1"/>
  <c r="FE63" i="186" s="1"/>
  <c r="EI60" i="186"/>
  <c r="EH60" i="186"/>
  <c r="EJ60" i="186" s="1"/>
  <c r="DS60" i="186" s="1"/>
  <c r="DF60" i="186"/>
  <c r="DG60" i="186"/>
  <c r="DH60" i="186" s="1"/>
  <c r="FE60" i="186" s="1"/>
  <c r="EI61" i="186"/>
  <c r="EH61" i="186"/>
  <c r="EJ61" i="186" s="1"/>
  <c r="DS61" i="186" s="1"/>
  <c r="DF61" i="186"/>
  <c r="DG61" i="186"/>
  <c r="DH61" i="186" s="1"/>
  <c r="FE61" i="186" s="1"/>
  <c r="EF72" i="186"/>
  <c r="EE72" i="186"/>
  <c r="EG72" i="186" s="1"/>
  <c r="DL72" i="186" s="1"/>
  <c r="CZ72" i="186"/>
  <c r="DA72" i="186"/>
  <c r="DB72" i="186" s="1"/>
  <c r="FD72" i="186" s="1"/>
  <c r="DF70" i="183"/>
  <c r="EI70" i="183"/>
  <c r="EH70" i="183"/>
  <c r="EJ70" i="183" s="1"/>
  <c r="DS70" i="183" s="1"/>
  <c r="DG70" i="183"/>
  <c r="DH70" i="183" s="1"/>
  <c r="FE70" i="183" s="1"/>
  <c r="EE79" i="183"/>
  <c r="EG79" i="183" s="1"/>
  <c r="DL79" i="183" s="1"/>
  <c r="CZ79" i="183"/>
  <c r="EF79" i="183"/>
  <c r="DA79" i="183"/>
  <c r="DB79" i="183" s="1"/>
  <c r="FD79" i="183" s="1"/>
  <c r="EE68" i="183"/>
  <c r="EG68" i="183" s="1"/>
  <c r="DL68" i="183" s="1"/>
  <c r="EF68" i="183"/>
  <c r="CZ68" i="183"/>
  <c r="DA68" i="183"/>
  <c r="DB68" i="183" s="1"/>
  <c r="FD68" i="183" s="1"/>
  <c r="EF73" i="183"/>
  <c r="EE73" i="183"/>
  <c r="EG73" i="183" s="1"/>
  <c r="DL73" i="183" s="1"/>
  <c r="CZ73" i="183"/>
  <c r="DA73" i="183"/>
  <c r="DB73" i="183" s="1"/>
  <c r="FD73" i="183" s="1"/>
  <c r="EF70" i="183"/>
  <c r="EE70" i="183"/>
  <c r="EG70" i="183" s="1"/>
  <c r="DL70" i="183" s="1"/>
  <c r="CZ70" i="183"/>
  <c r="DA70" i="183"/>
  <c r="DB70" i="183" s="1"/>
  <c r="FD70" i="183" s="1"/>
  <c r="EI56" i="184"/>
  <c r="EH56" i="184"/>
  <c r="EJ56" i="184" s="1"/>
  <c r="DS56" i="184" s="1"/>
  <c r="DF56" i="184"/>
  <c r="DG56" i="184"/>
  <c r="DH56" i="184" s="1"/>
  <c r="FE56" i="184" s="1"/>
  <c r="EI61" i="184"/>
  <c r="EH61" i="184"/>
  <c r="EJ61" i="184" s="1"/>
  <c r="DS61" i="184" s="1"/>
  <c r="DF61" i="184"/>
  <c r="DG61" i="184"/>
  <c r="DH61" i="184" s="1"/>
  <c r="FE61" i="184" s="1"/>
  <c r="EI75" i="184"/>
  <c r="EH75" i="184"/>
  <c r="EJ75" i="184" s="1"/>
  <c r="DS75" i="184" s="1"/>
  <c r="DF75" i="184"/>
  <c r="DG75" i="184"/>
  <c r="DH75" i="184" s="1"/>
  <c r="FE75" i="184" s="1"/>
  <c r="EH72" i="184"/>
  <c r="EJ72" i="184" s="1"/>
  <c r="DS72" i="184" s="1"/>
  <c r="EI72" i="184"/>
  <c r="DF72" i="184"/>
  <c r="DG72" i="184"/>
  <c r="DH72" i="184" s="1"/>
  <c r="FE72" i="184" s="1"/>
  <c r="EI83" i="183"/>
  <c r="EH83" i="183"/>
  <c r="EJ83" i="183" s="1"/>
  <c r="DS83" i="183" s="1"/>
  <c r="DF83" i="183"/>
  <c r="DG83" i="183"/>
  <c r="DH83" i="183" s="1"/>
  <c r="FE83" i="183" s="1"/>
  <c r="EH78" i="185"/>
  <c r="EJ78" i="185" s="1"/>
  <c r="DS78" i="185" s="1"/>
  <c r="EI78" i="185"/>
  <c r="DF78" i="185"/>
  <c r="DG78" i="185"/>
  <c r="DH78" i="185" s="1"/>
  <c r="FE78" i="185" s="1"/>
  <c r="EE77" i="185"/>
  <c r="EG77" i="185" s="1"/>
  <c r="DL77" i="185" s="1"/>
  <c r="CZ77" i="185"/>
  <c r="EF77" i="185"/>
  <c r="DA77" i="185"/>
  <c r="DB77" i="185" s="1"/>
  <c r="FD77" i="185" s="1"/>
  <c r="EI73" i="183"/>
  <c r="EH73" i="183"/>
  <c r="EJ73" i="183" s="1"/>
  <c r="DS73" i="183" s="1"/>
  <c r="DF73" i="183"/>
  <c r="DG73" i="183"/>
  <c r="DH73" i="183" s="1"/>
  <c r="FE73" i="183" s="1"/>
  <c r="EI76" i="183"/>
  <c r="EH76" i="183"/>
  <c r="EJ76" i="183" s="1"/>
  <c r="DS76" i="183" s="1"/>
  <c r="DF76" i="183"/>
  <c r="DG76" i="183"/>
  <c r="DH76" i="183" s="1"/>
  <c r="FE76" i="183" s="1"/>
  <c r="EI79" i="184"/>
  <c r="EH79" i="184"/>
  <c r="EJ79" i="184" s="1"/>
  <c r="DS79" i="184" s="1"/>
  <c r="DF79" i="184"/>
  <c r="DG79" i="184"/>
  <c r="DH79" i="184" s="1"/>
  <c r="FE79" i="184" s="1"/>
  <c r="EE79" i="184"/>
  <c r="EG79" i="184" s="1"/>
  <c r="DL79" i="184" s="1"/>
  <c r="EF79" i="184"/>
  <c r="CZ79" i="184"/>
  <c r="DA79" i="184"/>
  <c r="DB79" i="184" s="1"/>
  <c r="FD79" i="184" s="1"/>
  <c r="EI75" i="185"/>
  <c r="EH75" i="185"/>
  <c r="EJ75" i="185" s="1"/>
  <c r="DS75" i="185" s="1"/>
  <c r="DF75" i="185"/>
  <c r="DG75" i="185"/>
  <c r="DH75" i="185" s="1"/>
  <c r="FE75" i="185" s="1"/>
  <c r="EF58" i="185"/>
  <c r="EE58" i="185"/>
  <c r="EG58" i="185" s="1"/>
  <c r="DL58" i="185" s="1"/>
  <c r="CZ58" i="185"/>
  <c r="DA58" i="185"/>
  <c r="DB58" i="185" s="1"/>
  <c r="FD58" i="185" s="1"/>
  <c r="EI71" i="185"/>
  <c r="EH71" i="185"/>
  <c r="EJ71" i="185" s="1"/>
  <c r="DS71" i="185" s="1"/>
  <c r="DF71" i="185"/>
  <c r="DG71" i="185"/>
  <c r="DH71" i="185" s="1"/>
  <c r="FE71" i="185" s="1"/>
  <c r="EE61" i="185"/>
  <c r="EG61" i="185" s="1"/>
  <c r="DL61" i="185" s="1"/>
  <c r="EF61" i="185"/>
  <c r="CZ61" i="185"/>
  <c r="DA61" i="185"/>
  <c r="DB61" i="185" s="1"/>
  <c r="FD61" i="185" s="1"/>
  <c r="EE63" i="186"/>
  <c r="EG63" i="186" s="1"/>
  <c r="DL63" i="186" s="1"/>
  <c r="EF63" i="186"/>
  <c r="CZ63" i="186"/>
  <c r="DA63" i="186"/>
  <c r="DB63" i="186" s="1"/>
  <c r="FD63" i="186" s="1"/>
  <c r="EH70" i="185"/>
  <c r="EJ70" i="185" s="1"/>
  <c r="DS70" i="185" s="1"/>
  <c r="EI70" i="185"/>
  <c r="DF70" i="185"/>
  <c r="DG70" i="185"/>
  <c r="DH70" i="185" s="1"/>
  <c r="FE70" i="185" s="1"/>
  <c r="EI67" i="186"/>
  <c r="EH67" i="186"/>
  <c r="EJ67" i="186" s="1"/>
  <c r="DS67" i="186" s="1"/>
  <c r="DF67" i="186"/>
  <c r="DG67" i="186"/>
  <c r="DH67" i="186" s="1"/>
  <c r="FE67" i="186" s="1"/>
  <c r="EI64" i="186"/>
  <c r="EH64" i="186"/>
  <c r="EJ64" i="186" s="1"/>
  <c r="DS64" i="186" s="1"/>
  <c r="DF64" i="186"/>
  <c r="DG64" i="186"/>
  <c r="DH64" i="186" s="1"/>
  <c r="FE64" i="186" s="1"/>
  <c r="EI65" i="186"/>
  <c r="EH65" i="186"/>
  <c r="EJ65" i="186" s="1"/>
  <c r="DS65" i="186" s="1"/>
  <c r="DF65" i="186"/>
  <c r="DG65" i="186"/>
  <c r="DH65" i="186" s="1"/>
  <c r="FE65" i="186" s="1"/>
  <c r="EF69" i="183"/>
  <c r="EE69" i="183"/>
  <c r="EG69" i="183" s="1"/>
  <c r="DL69" i="183" s="1"/>
  <c r="CZ69" i="183"/>
  <c r="DA69" i="183"/>
  <c r="DB69" i="183" s="1"/>
  <c r="FD69" i="183" s="1"/>
  <c r="EI55" i="184"/>
  <c r="EH55" i="184"/>
  <c r="EJ55" i="184" s="1"/>
  <c r="DS55" i="184" s="1"/>
  <c r="DF55" i="184"/>
  <c r="DG55" i="184"/>
  <c r="DH55" i="184" s="1"/>
  <c r="FE55" i="184" s="1"/>
  <c r="CZ72" i="183"/>
  <c r="EF72" i="183"/>
  <c r="EE72" i="183"/>
  <c r="EG72" i="183" s="1"/>
  <c r="DL72" i="183" s="1"/>
  <c r="DA72" i="183"/>
  <c r="DB72" i="183" s="1"/>
  <c r="FD72" i="183" s="1"/>
  <c r="EF77" i="183"/>
  <c r="EE77" i="183"/>
  <c r="EG77" i="183" s="1"/>
  <c r="DL77" i="183" s="1"/>
  <c r="CZ77" i="183"/>
  <c r="DA77" i="183"/>
  <c r="DB77" i="183" s="1"/>
  <c r="FD77" i="183" s="1"/>
  <c r="EF74" i="183"/>
  <c r="EE74" i="183"/>
  <c r="EG74" i="183" s="1"/>
  <c r="DL74" i="183" s="1"/>
  <c r="CZ74" i="183"/>
  <c r="DA74" i="183"/>
  <c r="DB74" i="183" s="1"/>
  <c r="FD74" i="183" s="1"/>
  <c r="EI68" i="184"/>
  <c r="EH68" i="184"/>
  <c r="EJ68" i="184" s="1"/>
  <c r="DS68" i="184" s="1"/>
  <c r="DF68" i="184"/>
  <c r="DG68" i="184"/>
  <c r="DH68" i="184" s="1"/>
  <c r="FE68" i="184" s="1"/>
  <c r="EI69" i="184"/>
  <c r="EH69" i="184"/>
  <c r="EJ69" i="184" s="1"/>
  <c r="DS69" i="184" s="1"/>
  <c r="DF69" i="184"/>
  <c r="DG69" i="184"/>
  <c r="DH69" i="184" s="1"/>
  <c r="FE69" i="184" s="1"/>
  <c r="EF54" i="184"/>
  <c r="EE54" i="184"/>
  <c r="EG54" i="184" s="1"/>
  <c r="DL54" i="184" s="1"/>
  <c r="CZ54" i="184"/>
  <c r="DA54" i="184"/>
  <c r="DB54" i="184" s="1"/>
  <c r="FD54" i="184" s="1"/>
  <c r="EI76" i="184"/>
  <c r="EH76" i="184"/>
  <c r="EJ76" i="184" s="1"/>
  <c r="DS76" i="184" s="1"/>
  <c r="DF76" i="184"/>
  <c r="DG76" i="184"/>
  <c r="DH76" i="184" s="1"/>
  <c r="FE76" i="184" s="1"/>
  <c r="EI68" i="183"/>
  <c r="EH68" i="183"/>
  <c r="EJ68" i="183" s="1"/>
  <c r="DS68" i="183" s="1"/>
  <c r="DF68" i="183"/>
  <c r="DG68" i="183"/>
  <c r="DH68" i="183" s="1"/>
  <c r="FE68" i="183" s="1"/>
  <c r="EI57" i="186"/>
  <c r="EH57" i="186"/>
  <c r="EJ57" i="186" s="1"/>
  <c r="DS57" i="186" s="1"/>
  <c r="DF57" i="186"/>
  <c r="DG57" i="186"/>
  <c r="DH57" i="186" s="1"/>
  <c r="FE57" i="186" s="1"/>
  <c r="EI64" i="185"/>
  <c r="EH64" i="185"/>
  <c r="EJ64" i="185" s="1"/>
  <c r="DS64" i="185" s="1"/>
  <c r="DF64" i="185"/>
  <c r="DG64" i="185"/>
  <c r="DH64" i="185" s="1"/>
  <c r="FE64" i="185" s="1"/>
  <c r="EF68" i="186"/>
  <c r="EE68" i="186"/>
  <c r="EG68" i="186" s="1"/>
  <c r="DL68" i="186" s="1"/>
  <c r="CZ68" i="186"/>
  <c r="DA68" i="186"/>
  <c r="DB68" i="186" s="1"/>
  <c r="FD68" i="186" s="1"/>
  <c r="EI80" i="183"/>
  <c r="EH80" i="183"/>
  <c r="EJ80" i="183" s="1"/>
  <c r="DS80" i="183" s="1"/>
  <c r="DF80" i="183"/>
  <c r="DG80" i="183"/>
  <c r="DH80" i="183" s="1"/>
  <c r="FE80" i="183" s="1"/>
  <c r="EI73" i="184"/>
  <c r="DF73" i="184"/>
  <c r="EH73" i="184"/>
  <c r="EJ73" i="184" s="1"/>
  <c r="DS73" i="184" s="1"/>
  <c r="DG73" i="184"/>
  <c r="DH73" i="184" s="1"/>
  <c r="FE73" i="184" s="1"/>
  <c r="EH59" i="184"/>
  <c r="EJ59" i="184" s="1"/>
  <c r="DS59" i="184" s="1"/>
  <c r="EI59" i="184"/>
  <c r="DF59" i="184"/>
  <c r="DG59" i="184"/>
  <c r="DH59" i="184" s="1"/>
  <c r="FE59" i="184" s="1"/>
  <c r="EI79" i="185"/>
  <c r="EH79" i="185"/>
  <c r="EJ79" i="185" s="1"/>
  <c r="DS79" i="185" s="1"/>
  <c r="DF79" i="185"/>
  <c r="DG79" i="185"/>
  <c r="DH79" i="185" s="1"/>
  <c r="FE79" i="185" s="1"/>
  <c r="EI63" i="185"/>
  <c r="EH63" i="185"/>
  <c r="EJ63" i="185" s="1"/>
  <c r="DS63" i="185" s="1"/>
  <c r="DF63" i="185"/>
  <c r="DG63" i="185"/>
  <c r="DH63" i="185" s="1"/>
  <c r="FE63" i="185" s="1"/>
  <c r="EF55" i="185"/>
  <c r="EE55" i="185"/>
  <c r="EG55" i="185" s="1"/>
  <c r="DL55" i="185" s="1"/>
  <c r="CZ55" i="185"/>
  <c r="DA55" i="185"/>
  <c r="DB55" i="185" s="1"/>
  <c r="FD55" i="185" s="1"/>
  <c r="DF54" i="185"/>
  <c r="EI54" i="185"/>
  <c r="EH54" i="185"/>
  <c r="EJ54" i="185" s="1"/>
  <c r="DS54" i="185" s="1"/>
  <c r="DG54" i="185"/>
  <c r="DH54" i="185" s="1"/>
  <c r="FE54" i="185" s="1"/>
  <c r="EE56" i="185"/>
  <c r="EG56" i="185" s="1"/>
  <c r="DL56" i="185" s="1"/>
  <c r="EF56" i="185"/>
  <c r="CZ56" i="185"/>
  <c r="DA56" i="185"/>
  <c r="DB56" i="185" s="1"/>
  <c r="FD56" i="185" s="1"/>
  <c r="EE65" i="185"/>
  <c r="EG65" i="185" s="1"/>
  <c r="DL65" i="185" s="1"/>
  <c r="EF65" i="185"/>
  <c r="CZ65" i="185"/>
  <c r="DA65" i="185"/>
  <c r="DB65" i="185" s="1"/>
  <c r="FD65" i="185" s="1"/>
  <c r="EF66" i="185"/>
  <c r="EE66" i="185"/>
  <c r="EG66" i="185" s="1"/>
  <c r="DL66" i="185" s="1"/>
  <c r="CZ66" i="185"/>
  <c r="DA66" i="185"/>
  <c r="DB66" i="185" s="1"/>
  <c r="FD66" i="185" s="1"/>
  <c r="EE59" i="186"/>
  <c r="EG59" i="186" s="1"/>
  <c r="DL59" i="186" s="1"/>
  <c r="EF59" i="186"/>
  <c r="CZ59" i="186"/>
  <c r="DA59" i="186"/>
  <c r="DB59" i="186" s="1"/>
  <c r="FD59" i="186" s="1"/>
  <c r="EF56" i="186"/>
  <c r="EE56" i="186"/>
  <c r="EG56" i="186" s="1"/>
  <c r="DL56" i="186" s="1"/>
  <c r="CZ56" i="186"/>
  <c r="DA56" i="186"/>
  <c r="DB56" i="186" s="1"/>
  <c r="FD56" i="186" s="1"/>
  <c r="EI68" i="186"/>
  <c r="EH68" i="186"/>
  <c r="EJ68" i="186" s="1"/>
  <c r="DS68" i="186" s="1"/>
  <c r="DF68" i="186"/>
  <c r="DG68" i="186"/>
  <c r="DH68" i="186" s="1"/>
  <c r="FE68" i="186" s="1"/>
  <c r="EI69" i="186"/>
  <c r="EH69" i="186"/>
  <c r="EJ69" i="186" s="1"/>
  <c r="DS69" i="186" s="1"/>
  <c r="DF69" i="186"/>
  <c r="DG69" i="186"/>
  <c r="DH69" i="186" s="1"/>
  <c r="FE69" i="186" s="1"/>
  <c r="EI71" i="184"/>
  <c r="EH71" i="184"/>
  <c r="EJ71" i="184" s="1"/>
  <c r="DS71" i="184" s="1"/>
  <c r="DF71" i="184"/>
  <c r="DG71" i="184"/>
  <c r="DH71" i="184" s="1"/>
  <c r="FE71" i="184" s="1"/>
  <c r="EI79" i="183"/>
  <c r="EH79" i="183"/>
  <c r="EJ79" i="183" s="1"/>
  <c r="DS79" i="183" s="1"/>
  <c r="DF79" i="183"/>
  <c r="DG79" i="183"/>
  <c r="DH79" i="183" s="1"/>
  <c r="FE79" i="183" s="1"/>
  <c r="CZ76" i="183"/>
  <c r="EF76" i="183"/>
  <c r="EE76" i="183"/>
  <c r="EG76" i="183" s="1"/>
  <c r="DL76" i="183" s="1"/>
  <c r="DA76" i="183"/>
  <c r="DB76" i="183" s="1"/>
  <c r="FD76" i="183" s="1"/>
  <c r="EF81" i="183"/>
  <c r="EE81" i="183"/>
  <c r="EG81" i="183" s="1"/>
  <c r="DL81" i="183" s="1"/>
  <c r="CZ81" i="183"/>
  <c r="DA81" i="183"/>
  <c r="DB81" i="183" s="1"/>
  <c r="FD81" i="183" s="1"/>
  <c r="EF78" i="183"/>
  <c r="EE78" i="183"/>
  <c r="EG78" i="183" s="1"/>
  <c r="DL78" i="183" s="1"/>
  <c r="CZ78" i="183"/>
  <c r="DA78" i="183"/>
  <c r="DB78" i="183" s="1"/>
  <c r="FD78" i="183" s="1"/>
  <c r="EF57" i="184"/>
  <c r="EE57" i="184"/>
  <c r="EG57" i="184" s="1"/>
  <c r="DL57" i="184" s="1"/>
  <c r="CZ57" i="184"/>
  <c r="DA57" i="184"/>
  <c r="DB57" i="184" s="1"/>
  <c r="FD57" i="184" s="1"/>
  <c r="EE75" i="184"/>
  <c r="EG75" i="184" s="1"/>
  <c r="DL75" i="184" s="1"/>
  <c r="EF75" i="184"/>
  <c r="CZ75" i="184"/>
  <c r="DA75" i="184"/>
  <c r="DB75" i="184" s="1"/>
  <c r="FD75" i="184" s="1"/>
  <c r="EH58" i="184"/>
  <c r="EJ58" i="184" s="1"/>
  <c r="DS58" i="184" s="1"/>
  <c r="EI58" i="184"/>
  <c r="DF58" i="184"/>
  <c r="DG58" i="184"/>
  <c r="DH58" i="184" s="1"/>
  <c r="FE58" i="184" s="1"/>
  <c r="EF77" i="184"/>
  <c r="EE77" i="184"/>
  <c r="EG77" i="184" s="1"/>
  <c r="DL77" i="184" s="1"/>
  <c r="CZ77" i="184"/>
  <c r="DA77" i="184"/>
  <c r="DB77" i="184" s="1"/>
  <c r="FD77" i="184" s="1"/>
  <c r="EI65" i="184"/>
  <c r="EH65" i="184"/>
  <c r="EJ65" i="184" s="1"/>
  <c r="DS65" i="184" s="1"/>
  <c r="DF65" i="184"/>
  <c r="DG65" i="184"/>
  <c r="DH65" i="184" s="1"/>
  <c r="FE65" i="184" s="1"/>
  <c r="DF82" i="183"/>
  <c r="EI82" i="183"/>
  <c r="EH82" i="183"/>
  <c r="EJ82" i="183" s="1"/>
  <c r="DS82" i="183" s="1"/>
  <c r="DG82" i="183"/>
  <c r="DH82" i="183" s="1"/>
  <c r="FE82" i="183" s="1"/>
  <c r="EI57" i="185"/>
  <c r="EH57" i="185"/>
  <c r="EJ57" i="185" s="1"/>
  <c r="DS57" i="185" s="1"/>
  <c r="DF57" i="185"/>
  <c r="DG57" i="185"/>
  <c r="DH57" i="185" s="1"/>
  <c r="FE57" i="185" s="1"/>
  <c r="CZ68" i="185"/>
  <c r="EE68" i="185"/>
  <c r="EG68" i="185" s="1"/>
  <c r="DL68" i="185" s="1"/>
  <c r="EF68" i="185"/>
  <c r="DA68" i="185"/>
  <c r="DB68" i="185" s="1"/>
  <c r="FD68" i="185" s="1"/>
  <c r="EF61" i="186"/>
  <c r="EE61" i="186"/>
  <c r="EG61" i="186" s="1"/>
  <c r="DL61" i="186" s="1"/>
  <c r="CZ61" i="186"/>
  <c r="DA61" i="186"/>
  <c r="DB61" i="186" s="1"/>
  <c r="FD61" i="186" s="1"/>
  <c r="EF56" i="184"/>
  <c r="EE56" i="184"/>
  <c r="EG56" i="184" s="1"/>
  <c r="DL56" i="184" s="1"/>
  <c r="CZ56" i="184"/>
  <c r="DA56" i="184"/>
  <c r="DB56" i="184" s="1"/>
  <c r="FD56" i="184" s="1"/>
  <c r="EI60" i="184"/>
  <c r="EH60" i="184"/>
  <c r="EJ60" i="184" s="1"/>
  <c r="DS60" i="184" s="1"/>
  <c r="DF60" i="184"/>
  <c r="DG60" i="184"/>
  <c r="DH60" i="184" s="1"/>
  <c r="FE60" i="184" s="1"/>
  <c r="EI80" i="184"/>
  <c r="EH80" i="184"/>
  <c r="EJ80" i="184" s="1"/>
  <c r="DS80" i="184" s="1"/>
  <c r="DF80" i="184"/>
  <c r="DG80" i="184"/>
  <c r="DH80" i="184" s="1"/>
  <c r="FE80" i="184" s="1"/>
  <c r="EI59" i="185"/>
  <c r="EH59" i="185"/>
  <c r="EJ59" i="185" s="1"/>
  <c r="DS59" i="185" s="1"/>
  <c r="DF59" i="185"/>
  <c r="DG59" i="185"/>
  <c r="DH59" i="185" s="1"/>
  <c r="FE59" i="185" s="1"/>
  <c r="EF59" i="185"/>
  <c r="EE59" i="185"/>
  <c r="EG59" i="185" s="1"/>
  <c r="DL59" i="185" s="1"/>
  <c r="CZ59" i="185"/>
  <c r="DA59" i="185"/>
  <c r="DB59" i="185" s="1"/>
  <c r="FD59" i="185" s="1"/>
  <c r="EE57" i="185"/>
  <c r="EG57" i="185" s="1"/>
  <c r="DL57" i="185" s="1"/>
  <c r="EF57" i="185"/>
  <c r="CZ57" i="185"/>
  <c r="DA57" i="185"/>
  <c r="DB57" i="185" s="1"/>
  <c r="FD57" i="185" s="1"/>
  <c r="EF60" i="185"/>
  <c r="EE60" i="185"/>
  <c r="EG60" i="185" s="1"/>
  <c r="DL60" i="185" s="1"/>
  <c r="CZ60" i="185"/>
  <c r="DA60" i="185"/>
  <c r="DB60" i="185" s="1"/>
  <c r="FD60" i="185" s="1"/>
  <c r="EE69" i="185"/>
  <c r="EG69" i="185" s="1"/>
  <c r="DL69" i="185" s="1"/>
  <c r="EF69" i="185"/>
  <c r="CZ69" i="185"/>
  <c r="DA69" i="185"/>
  <c r="DB69" i="185" s="1"/>
  <c r="FD69" i="185" s="1"/>
  <c r="EF70" i="185"/>
  <c r="EE70" i="185"/>
  <c r="EG70" i="185" s="1"/>
  <c r="DL70" i="185" s="1"/>
  <c r="CZ70" i="185"/>
  <c r="DA70" i="185"/>
  <c r="DB70" i="185" s="1"/>
  <c r="FD70" i="185" s="1"/>
  <c r="EF54" i="186"/>
  <c r="EE54" i="186"/>
  <c r="EG54" i="186" s="1"/>
  <c r="DL54" i="186" s="1"/>
  <c r="CZ54" i="186"/>
  <c r="DA54" i="186"/>
  <c r="DB54" i="186" s="1"/>
  <c r="FD54" i="186" s="1"/>
  <c r="EF60" i="186"/>
  <c r="EE60" i="186"/>
  <c r="EG60" i="186" s="1"/>
  <c r="DL60" i="186" s="1"/>
  <c r="CZ60" i="186"/>
  <c r="DA60" i="186"/>
  <c r="DB60" i="186" s="1"/>
  <c r="FD60" i="186" s="1"/>
  <c r="CZ71" i="186"/>
  <c r="EF71" i="186"/>
  <c r="EE71" i="186"/>
  <c r="EG71" i="186" s="1"/>
  <c r="DL71" i="186" s="1"/>
  <c r="DA71" i="186"/>
  <c r="DB71" i="186" s="1"/>
  <c r="FD71" i="186" s="1"/>
  <c r="EF58" i="186"/>
  <c r="EE58" i="186"/>
  <c r="EG58" i="186" s="1"/>
  <c r="DL58" i="186" s="1"/>
  <c r="CZ58" i="186"/>
  <c r="DA58" i="186"/>
  <c r="DB58" i="186" s="1"/>
  <c r="FD58" i="186" s="1"/>
  <c r="EH70" i="184"/>
  <c r="EJ70" i="184" s="1"/>
  <c r="DS70" i="184" s="1"/>
  <c r="EI70" i="184"/>
  <c r="DF70" i="184"/>
  <c r="DG70" i="184"/>
  <c r="DH70" i="184" s="1"/>
  <c r="FE70" i="184" s="1"/>
  <c r="EE75" i="183"/>
  <c r="EG75" i="183" s="1"/>
  <c r="DL75" i="183" s="1"/>
  <c r="EF75" i="183"/>
  <c r="CZ75" i="183"/>
  <c r="DA75" i="183"/>
  <c r="DB75" i="183" s="1"/>
  <c r="FD75" i="183" s="1"/>
  <c r="EF80" i="183"/>
  <c r="EE80" i="183"/>
  <c r="EG80" i="183" s="1"/>
  <c r="DL80" i="183" s="1"/>
  <c r="CZ80" i="183"/>
  <c r="DA80" i="183"/>
  <c r="DB80" i="183" s="1"/>
  <c r="FD80" i="183" s="1"/>
  <c r="EF59" i="184"/>
  <c r="EE59" i="184"/>
  <c r="EG59" i="184" s="1"/>
  <c r="DL59" i="184" s="1"/>
  <c r="CZ59" i="184"/>
  <c r="DA59" i="184"/>
  <c r="DB59" i="184" s="1"/>
  <c r="FD59" i="184" s="1"/>
  <c r="EF82" i="183"/>
  <c r="EE82" i="183"/>
  <c r="EG82" i="183" s="1"/>
  <c r="DL82" i="183" s="1"/>
  <c r="CZ82" i="183"/>
  <c r="DA82" i="183"/>
  <c r="DB82" i="183" s="1"/>
  <c r="FD82" i="183" s="1"/>
  <c r="EF61" i="184"/>
  <c r="EE61" i="184"/>
  <c r="EG61" i="184" s="1"/>
  <c r="DL61" i="184" s="1"/>
  <c r="CZ61" i="184"/>
  <c r="DA61" i="184"/>
  <c r="DB61" i="184" s="1"/>
  <c r="FD61" i="184" s="1"/>
  <c r="EF58" i="184"/>
  <c r="EE58" i="184"/>
  <c r="EG58" i="184" s="1"/>
  <c r="DL58" i="184" s="1"/>
  <c r="CZ58" i="184"/>
  <c r="DA58" i="184"/>
  <c r="DB58" i="184" s="1"/>
  <c r="FD58" i="184" s="1"/>
  <c r="EH62" i="184"/>
  <c r="EJ62" i="184" s="1"/>
  <c r="DS62" i="184" s="1"/>
  <c r="EI62" i="184"/>
  <c r="DF62" i="184"/>
  <c r="DG62" i="184"/>
  <c r="DH62" i="184" s="1"/>
  <c r="FE62" i="184" s="1"/>
  <c r="EE74" i="184"/>
  <c r="EG74" i="184" s="1"/>
  <c r="DL74" i="184" s="1"/>
  <c r="CZ74" i="184"/>
  <c r="EF74" i="184"/>
  <c r="DA74" i="184"/>
  <c r="DB74" i="184" s="1"/>
  <c r="FD74" i="184" s="1"/>
  <c r="EI64" i="184"/>
  <c r="EH64" i="184"/>
  <c r="EJ64" i="184" s="1"/>
  <c r="DS64" i="184" s="1"/>
  <c r="DF64" i="184"/>
  <c r="DG64" i="184"/>
  <c r="DH64" i="184" s="1"/>
  <c r="FE64" i="184" s="1"/>
  <c r="GK54" i="160"/>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DC56" i="184" l="1"/>
  <c r="EV56" i="184" s="1"/>
  <c r="ET16" i="184" s="1"/>
  <c r="DI73" i="183"/>
  <c r="EW73" i="183" s="1"/>
  <c r="EU33" i="183" s="1"/>
  <c r="DI74" i="185"/>
  <c r="EW74" i="185" s="1"/>
  <c r="EU34" i="185" s="1"/>
  <c r="DI66" i="185"/>
  <c r="EW66" i="185" s="1"/>
  <c r="EU26" i="185" s="1"/>
  <c r="DC77" i="184"/>
  <c r="DC75" i="184"/>
  <c r="DI71" i="184"/>
  <c r="DJ71" i="184" s="1"/>
  <c r="DI79" i="185"/>
  <c r="DJ79" i="185" s="1"/>
  <c r="DI76" i="183"/>
  <c r="EW76" i="183" s="1"/>
  <c r="EU36" i="183" s="1"/>
  <c r="DC77" i="185"/>
  <c r="DD77" i="185" s="1"/>
  <c r="DI73" i="185"/>
  <c r="DJ73" i="185" s="1"/>
  <c r="DI74" i="183"/>
  <c r="DI59" i="186"/>
  <c r="DI65" i="185"/>
  <c r="EW65" i="185" s="1"/>
  <c r="EU25" i="185" s="1"/>
  <c r="DI76" i="185"/>
  <c r="DJ76" i="185" s="1"/>
  <c r="DI70" i="183"/>
  <c r="EW70" i="183" s="1"/>
  <c r="EU30" i="183" s="1"/>
  <c r="DI72" i="183"/>
  <c r="DI71" i="183"/>
  <c r="DJ71" i="183" s="1"/>
  <c r="DC65" i="186"/>
  <c r="DD65" i="186" s="1"/>
  <c r="DC67" i="186"/>
  <c r="EV67" i="186" s="1"/>
  <c r="ET27" i="186" s="1"/>
  <c r="DC71" i="185"/>
  <c r="EV71" i="185" s="1"/>
  <c r="ET31" i="185" s="1"/>
  <c r="DC62" i="184"/>
  <c r="EV62" i="184" s="1"/>
  <c r="ET22" i="184" s="1"/>
  <c r="DC69" i="186"/>
  <c r="EV69" i="186" s="1"/>
  <c r="ET29" i="186" s="1"/>
  <c r="DC67" i="185"/>
  <c r="DD67" i="185" s="1"/>
  <c r="DC62" i="186"/>
  <c r="EV62" i="186" s="1"/>
  <c r="ET22" i="186" s="1"/>
  <c r="DC64" i="186"/>
  <c r="DD64" i="186" s="1"/>
  <c r="DC74" i="185"/>
  <c r="EV74" i="185" s="1"/>
  <c r="ET34" i="185" s="1"/>
  <c r="DC63" i="185"/>
  <c r="DD63" i="185" s="1"/>
  <c r="DC71" i="186"/>
  <c r="DD71" i="186" s="1"/>
  <c r="DC64" i="185"/>
  <c r="EV64" i="185" s="1"/>
  <c r="ET24" i="185" s="1"/>
  <c r="DC78" i="183"/>
  <c r="DD78" i="183" s="1"/>
  <c r="DC72" i="183"/>
  <c r="EV72" i="183" s="1"/>
  <c r="ET32" i="183" s="1"/>
  <c r="DI64" i="186"/>
  <c r="EW64" i="186" s="1"/>
  <c r="EU24" i="186" s="1"/>
  <c r="DI70" i="185"/>
  <c r="DJ70" i="185" s="1"/>
  <c r="DC61" i="185"/>
  <c r="DD61" i="185" s="1"/>
  <c r="DC58" i="185"/>
  <c r="EV58" i="185" s="1"/>
  <c r="ET18" i="185" s="1"/>
  <c r="DC79" i="184"/>
  <c r="EV79" i="184" s="1"/>
  <c r="ET39" i="184" s="1"/>
  <c r="DC79" i="183"/>
  <c r="EV79" i="183" s="1"/>
  <c r="ET39" i="183" s="1"/>
  <c r="DI83" i="183"/>
  <c r="DI68" i="185"/>
  <c r="DJ68" i="185" s="1"/>
  <c r="DC66" i="186"/>
  <c r="EV66" i="186" s="1"/>
  <c r="ET26" i="186" s="1"/>
  <c r="DI74" i="184"/>
  <c r="EW74" i="184" s="1"/>
  <c r="EU34" i="184" s="1"/>
  <c r="DC72" i="184"/>
  <c r="DD72" i="184" s="1"/>
  <c r="DI77" i="183"/>
  <c r="DI63" i="184"/>
  <c r="DJ63" i="184" s="1"/>
  <c r="DC76" i="184"/>
  <c r="EV76" i="184" s="1"/>
  <c r="ET36" i="184" s="1"/>
  <c r="DI57" i="184"/>
  <c r="EW57" i="184" s="1"/>
  <c r="EU17" i="184" s="1"/>
  <c r="DI81" i="183"/>
  <c r="DC71" i="183"/>
  <c r="DI68" i="186"/>
  <c r="EW68" i="186" s="1"/>
  <c r="EU28" i="186" s="1"/>
  <c r="DC59" i="186"/>
  <c r="DD59" i="186" s="1"/>
  <c r="DC65" i="185"/>
  <c r="DD65" i="185" s="1"/>
  <c r="DI63" i="185"/>
  <c r="EW63" i="185" s="1"/>
  <c r="EU23" i="185" s="1"/>
  <c r="DI72" i="184"/>
  <c r="EW72" i="184" s="1"/>
  <c r="EU32" i="184" s="1"/>
  <c r="DI61" i="184"/>
  <c r="EW61" i="184" s="1"/>
  <c r="EU21" i="184" s="1"/>
  <c r="DC70" i="183"/>
  <c r="DD70" i="183" s="1"/>
  <c r="DC68" i="183"/>
  <c r="EV68" i="183" s="1"/>
  <c r="ET28" i="183" s="1"/>
  <c r="DC83" i="183"/>
  <c r="EV83" i="183" s="1"/>
  <c r="ET43" i="183" s="1"/>
  <c r="DI54" i="184"/>
  <c r="DI58" i="185"/>
  <c r="EW58" i="185" s="1"/>
  <c r="EU18" i="185" s="1"/>
  <c r="DC75" i="185"/>
  <c r="DD75" i="185" s="1"/>
  <c r="DI77" i="184"/>
  <c r="DJ77" i="184" s="1"/>
  <c r="DC68" i="184"/>
  <c r="EV68" i="184" s="1"/>
  <c r="ET28" i="184" s="1"/>
  <c r="DC57" i="186"/>
  <c r="DD57" i="186" s="1"/>
  <c r="DI62" i="186"/>
  <c r="DJ62" i="186" s="1"/>
  <c r="DC73" i="185"/>
  <c r="EV73" i="185" s="1"/>
  <c r="ET33" i="185" s="1"/>
  <c r="DC62" i="185"/>
  <c r="DD62" i="185" s="1"/>
  <c r="DI60" i="184"/>
  <c r="EW60" i="184" s="1"/>
  <c r="EU20" i="184" s="1"/>
  <c r="DI54" i="185"/>
  <c r="DJ54" i="185" s="1"/>
  <c r="DI76" i="184"/>
  <c r="DJ76" i="184" s="1"/>
  <c r="DI69" i="184"/>
  <c r="DJ69" i="184" s="1"/>
  <c r="DC74" i="183"/>
  <c r="EV74" i="183" s="1"/>
  <c r="ET34" i="183" s="1"/>
  <c r="DC69" i="183"/>
  <c r="DD69" i="183" s="1"/>
  <c r="DI61" i="186"/>
  <c r="EW61" i="186" s="1"/>
  <c r="EU21" i="186" s="1"/>
  <c r="DI63" i="186"/>
  <c r="DJ63" i="186" s="1"/>
  <c r="DI77" i="185"/>
  <c r="EW77" i="185" s="1"/>
  <c r="EU37" i="185" s="1"/>
  <c r="DC78" i="184"/>
  <c r="EV78" i="184" s="1"/>
  <c r="ET38" i="184" s="1"/>
  <c r="DI60" i="185"/>
  <c r="DJ60" i="185" s="1"/>
  <c r="DC78" i="185"/>
  <c r="DD78" i="185" s="1"/>
  <c r="DI66" i="184"/>
  <c r="DJ66" i="184" s="1"/>
  <c r="DC65" i="184"/>
  <c r="EV65" i="184" s="1"/>
  <c r="ET25" i="184" s="1"/>
  <c r="DI69" i="183"/>
  <c r="DJ69" i="183" s="1"/>
  <c r="DC63" i="184"/>
  <c r="DD63" i="184" s="1"/>
  <c r="DI61" i="185"/>
  <c r="DI73" i="184"/>
  <c r="EW73" i="184" s="1"/>
  <c r="EU33" i="184" s="1"/>
  <c r="DN54" i="184"/>
  <c r="DM54" i="184"/>
  <c r="DN73" i="184"/>
  <c r="DM73" i="184"/>
  <c r="DT62" i="184"/>
  <c r="DU62" i="184"/>
  <c r="DN75" i="183"/>
  <c r="DM75" i="183"/>
  <c r="DN69" i="185"/>
  <c r="DM69" i="185"/>
  <c r="DN57" i="185"/>
  <c r="DM57" i="185"/>
  <c r="DI65" i="184"/>
  <c r="DI69" i="186"/>
  <c r="DC56" i="186"/>
  <c r="DC66" i="185"/>
  <c r="DC56" i="185"/>
  <c r="DC55" i="185"/>
  <c r="DI59" i="184"/>
  <c r="DC54" i="184"/>
  <c r="DI68" i="184"/>
  <c r="DC77" i="183"/>
  <c r="DI55" i="184"/>
  <c r="DU64" i="186"/>
  <c r="DT64" i="186"/>
  <c r="DM58" i="185"/>
  <c r="DN58" i="185"/>
  <c r="DI79" i="184"/>
  <c r="DI75" i="184"/>
  <c r="DI56" i="184"/>
  <c r="DC73" i="183"/>
  <c r="DU68" i="185"/>
  <c r="DT68" i="185"/>
  <c r="DU66" i="185"/>
  <c r="DT66" i="185"/>
  <c r="DC73" i="184"/>
  <c r="DC67" i="184"/>
  <c r="DC71" i="184"/>
  <c r="DI67" i="184"/>
  <c r="DI67" i="185"/>
  <c r="DM72" i="184"/>
  <c r="DN72" i="184"/>
  <c r="DU77" i="183"/>
  <c r="DT77" i="183"/>
  <c r="DU63" i="184"/>
  <c r="DT63" i="184"/>
  <c r="DC70" i="186"/>
  <c r="DI72" i="186"/>
  <c r="DC55" i="186"/>
  <c r="DC72" i="185"/>
  <c r="DC80" i="184"/>
  <c r="DU74" i="185"/>
  <c r="DT74" i="185"/>
  <c r="DN68" i="184"/>
  <c r="DM68" i="184"/>
  <c r="EW72" i="183"/>
  <c r="EU32" i="183" s="1"/>
  <c r="DJ72" i="183"/>
  <c r="DD62" i="186"/>
  <c r="DN64" i="185"/>
  <c r="DM64" i="185"/>
  <c r="DM66" i="185"/>
  <c r="DN66" i="185"/>
  <c r="DM79" i="184"/>
  <c r="DN79" i="184"/>
  <c r="DT75" i="184"/>
  <c r="DU75" i="184"/>
  <c r="DN71" i="184"/>
  <c r="DM71" i="184"/>
  <c r="DU67" i="185"/>
  <c r="DT67" i="185"/>
  <c r="DI64" i="184"/>
  <c r="DC58" i="184"/>
  <c r="DC82" i="183"/>
  <c r="DC80" i="183"/>
  <c r="DI70" i="184"/>
  <c r="DC58" i="186"/>
  <c r="DC60" i="186"/>
  <c r="DC70" i="185"/>
  <c r="DC60" i="185"/>
  <c r="DC59" i="185"/>
  <c r="DU60" i="184"/>
  <c r="DT60" i="184"/>
  <c r="DN56" i="184"/>
  <c r="DM56" i="184"/>
  <c r="DN68" i="185"/>
  <c r="DM68" i="185"/>
  <c r="DM77" i="184"/>
  <c r="DN77" i="184"/>
  <c r="DN78" i="183"/>
  <c r="DM78" i="183"/>
  <c r="DT71" i="184"/>
  <c r="DU71" i="184"/>
  <c r="DN56" i="185"/>
  <c r="DM56" i="185"/>
  <c r="DU59" i="184"/>
  <c r="DT59" i="184"/>
  <c r="DI80" i="183"/>
  <c r="DI64" i="185"/>
  <c r="DM77" i="185"/>
  <c r="DN77" i="185"/>
  <c r="DN79" i="183"/>
  <c r="DM79" i="183"/>
  <c r="DT61" i="186"/>
  <c r="DU61" i="186"/>
  <c r="DU63" i="186"/>
  <c r="DT63" i="186"/>
  <c r="DT77" i="185"/>
  <c r="DU77" i="185"/>
  <c r="DU60" i="185"/>
  <c r="DT60" i="185"/>
  <c r="DN66" i="186"/>
  <c r="DM66" i="186"/>
  <c r="DN69" i="186"/>
  <c r="DM69" i="186"/>
  <c r="DU59" i="186"/>
  <c r="DT59" i="186"/>
  <c r="DU76" i="185"/>
  <c r="DT76" i="185"/>
  <c r="DN67" i="185"/>
  <c r="DM67" i="185"/>
  <c r="DN55" i="186"/>
  <c r="DM55" i="186"/>
  <c r="DI69" i="185"/>
  <c r="DU78" i="183"/>
  <c r="DT78" i="183"/>
  <c r="DN75" i="185"/>
  <c r="DM75" i="185"/>
  <c r="DT73" i="185"/>
  <c r="DU73" i="185"/>
  <c r="DM56" i="186"/>
  <c r="DN56" i="186"/>
  <c r="DU68" i="184"/>
  <c r="DT68" i="184"/>
  <c r="DU70" i="185"/>
  <c r="DT70" i="185"/>
  <c r="DN73" i="183"/>
  <c r="DM73" i="183"/>
  <c r="DM70" i="186"/>
  <c r="DN70" i="186"/>
  <c r="DU71" i="183"/>
  <c r="DT71" i="183"/>
  <c r="DU64" i="184"/>
  <c r="DT64" i="184"/>
  <c r="DC74" i="184"/>
  <c r="DN58" i="184"/>
  <c r="DM58" i="184"/>
  <c r="DN82" i="183"/>
  <c r="DM82" i="183"/>
  <c r="DM80" i="183"/>
  <c r="DN80" i="183"/>
  <c r="DN58" i="186"/>
  <c r="DM58" i="186"/>
  <c r="DM60" i="186"/>
  <c r="DN60" i="186"/>
  <c r="DM70" i="185"/>
  <c r="DN70" i="185"/>
  <c r="DN60" i="185"/>
  <c r="DM60" i="185"/>
  <c r="DM59" i="185"/>
  <c r="DN59" i="185"/>
  <c r="DC68" i="185"/>
  <c r="DN75" i="184"/>
  <c r="DM75" i="184"/>
  <c r="DC76" i="183"/>
  <c r="DU80" i="183"/>
  <c r="DT80" i="183"/>
  <c r="DT64" i="185"/>
  <c r="DU64" i="185"/>
  <c r="DI65" i="186"/>
  <c r="DI67" i="186"/>
  <c r="DC63" i="186"/>
  <c r="DI71" i="185"/>
  <c r="DI75" i="185"/>
  <c r="DI78" i="185"/>
  <c r="DN78" i="184"/>
  <c r="DM78" i="184"/>
  <c r="DI66" i="186"/>
  <c r="DI75" i="183"/>
  <c r="DU78" i="184"/>
  <c r="DT78" i="184"/>
  <c r="DT65" i="185"/>
  <c r="DU65" i="185"/>
  <c r="DU58" i="185"/>
  <c r="DT58" i="185"/>
  <c r="DC69" i="184"/>
  <c r="DC70" i="184"/>
  <c r="DC64" i="184"/>
  <c r="DC60" i="184"/>
  <c r="DC55" i="184"/>
  <c r="DT69" i="185"/>
  <c r="DU69" i="185"/>
  <c r="DM76" i="183"/>
  <c r="DN76" i="183"/>
  <c r="DT69" i="186"/>
  <c r="DU69" i="186"/>
  <c r="DM55" i="185"/>
  <c r="DN55" i="185"/>
  <c r="DU55" i="184"/>
  <c r="DT55" i="184"/>
  <c r="DN61" i="185"/>
  <c r="DM61" i="185"/>
  <c r="DM80" i="184"/>
  <c r="DN80" i="184"/>
  <c r="DM74" i="185"/>
  <c r="DN74" i="185"/>
  <c r="DN74" i="184"/>
  <c r="DM74" i="184"/>
  <c r="DU70" i="184"/>
  <c r="DT70" i="184"/>
  <c r="DU82" i="183"/>
  <c r="DT82" i="183"/>
  <c r="DT54" i="185"/>
  <c r="DU54" i="185"/>
  <c r="EW69" i="184"/>
  <c r="EU29" i="184" s="1"/>
  <c r="DM72" i="183"/>
  <c r="DN72" i="183"/>
  <c r="DT65" i="186"/>
  <c r="DU65" i="186"/>
  <c r="DU67" i="186"/>
  <c r="DT67" i="186"/>
  <c r="DU71" i="185"/>
  <c r="DT71" i="185"/>
  <c r="DU75" i="185"/>
  <c r="DT75" i="185"/>
  <c r="DU70" i="183"/>
  <c r="DT70" i="183"/>
  <c r="DU75" i="183"/>
  <c r="DT75" i="183"/>
  <c r="DI78" i="184"/>
  <c r="DD76" i="184"/>
  <c r="EW81" i="183"/>
  <c r="EU41" i="183" s="1"/>
  <c r="DJ81" i="183"/>
  <c r="EV71" i="183"/>
  <c r="ET31" i="183" s="1"/>
  <c r="DD71" i="183"/>
  <c r="DN69" i="184"/>
  <c r="DM69" i="184"/>
  <c r="DN70" i="184"/>
  <c r="DM70" i="184"/>
  <c r="DN64" i="184"/>
  <c r="DM64" i="184"/>
  <c r="DN60" i="184"/>
  <c r="DM60" i="184"/>
  <c r="DN55" i="184"/>
  <c r="DM55" i="184"/>
  <c r="DJ55" i="186"/>
  <c r="EW55" i="186"/>
  <c r="EU15" i="186" s="1"/>
  <c r="DJ56" i="185"/>
  <c r="EW56" i="185"/>
  <c r="EU16" i="185" s="1"/>
  <c r="DI78" i="183"/>
  <c r="DT65" i="184"/>
  <c r="DU65" i="184"/>
  <c r="EV77" i="184"/>
  <c r="ET37" i="184" s="1"/>
  <c r="DD77" i="184"/>
  <c r="DU79" i="184"/>
  <c r="DT79" i="184"/>
  <c r="DU67" i="184"/>
  <c r="DT67" i="184"/>
  <c r="DU74" i="184"/>
  <c r="DT74" i="184"/>
  <c r="DU72" i="186"/>
  <c r="DT72" i="186"/>
  <c r="DU72" i="183"/>
  <c r="DT72" i="183"/>
  <c r="DN62" i="186"/>
  <c r="DM62" i="186"/>
  <c r="DN63" i="185"/>
  <c r="DM63" i="185"/>
  <c r="DI80" i="184"/>
  <c r="DC61" i="186"/>
  <c r="DI58" i="184"/>
  <c r="DC57" i="184"/>
  <c r="DC81" i="183"/>
  <c r="DI79" i="183"/>
  <c r="DU68" i="186"/>
  <c r="DT68" i="186"/>
  <c r="DU63" i="185"/>
  <c r="DT63" i="185"/>
  <c r="DU79" i="185"/>
  <c r="DT79" i="185"/>
  <c r="DI68" i="183"/>
  <c r="DU76" i="184"/>
  <c r="DT76" i="184"/>
  <c r="DT69" i="184"/>
  <c r="DU69" i="184"/>
  <c r="DN74" i="183"/>
  <c r="DM74" i="183"/>
  <c r="DN69" i="183"/>
  <c r="DM69" i="183"/>
  <c r="DN63" i="186"/>
  <c r="DM63" i="186"/>
  <c r="DU76" i="183"/>
  <c r="DT76" i="183"/>
  <c r="DU78" i="185"/>
  <c r="DT78" i="185"/>
  <c r="DT61" i="184"/>
  <c r="DU61" i="184"/>
  <c r="DN70" i="183"/>
  <c r="DM70" i="183"/>
  <c r="DC72" i="186"/>
  <c r="DI60" i="186"/>
  <c r="DI62" i="185"/>
  <c r="DC80" i="185"/>
  <c r="DI72" i="185"/>
  <c r="DI55" i="185"/>
  <c r="DU66" i="186"/>
  <c r="DT66" i="186"/>
  <c r="DU74" i="183"/>
  <c r="DT74" i="183"/>
  <c r="DC79" i="185"/>
  <c r="DM76" i="184"/>
  <c r="DN76" i="184"/>
  <c r="DT57" i="184"/>
  <c r="DU57" i="184"/>
  <c r="DU81" i="183"/>
  <c r="DT81" i="183"/>
  <c r="DI71" i="186"/>
  <c r="DI56" i="186"/>
  <c r="DC54" i="185"/>
  <c r="DC76" i="185"/>
  <c r="DU54" i="186"/>
  <c r="DT54" i="186"/>
  <c r="DI58" i="186"/>
  <c r="DN65" i="186"/>
  <c r="DM65" i="186"/>
  <c r="DT55" i="186"/>
  <c r="DU55" i="186"/>
  <c r="DN71" i="185"/>
  <c r="DM71" i="185"/>
  <c r="DU56" i="185"/>
  <c r="DT56" i="185"/>
  <c r="DI70" i="186"/>
  <c r="DT77" i="184"/>
  <c r="DU77" i="184"/>
  <c r="DN65" i="184"/>
  <c r="DM65" i="184"/>
  <c r="DT69" i="183"/>
  <c r="DU69" i="183"/>
  <c r="DN63" i="184"/>
  <c r="DM63" i="184"/>
  <c r="DN57" i="186"/>
  <c r="DM57" i="186"/>
  <c r="DT61" i="185"/>
  <c r="DU61" i="185"/>
  <c r="DM62" i="185"/>
  <c r="DN62" i="185"/>
  <c r="DI80" i="185"/>
  <c r="EV75" i="184"/>
  <c r="ET35" i="184" s="1"/>
  <c r="DD75" i="184"/>
  <c r="DN77" i="183"/>
  <c r="DM77" i="183"/>
  <c r="DN67" i="184"/>
  <c r="DM67" i="184"/>
  <c r="DJ54" i="184"/>
  <c r="EW54" i="184"/>
  <c r="DN72" i="185"/>
  <c r="DM72" i="185"/>
  <c r="DN62" i="184"/>
  <c r="DM62" i="184"/>
  <c r="DM64" i="186"/>
  <c r="DN64" i="186"/>
  <c r="DI62" i="184"/>
  <c r="DC61" i="184"/>
  <c r="DC59" i="184"/>
  <c r="DC75" i="183"/>
  <c r="DM71" i="186"/>
  <c r="DN71" i="186"/>
  <c r="DC54" i="186"/>
  <c r="DC69" i="185"/>
  <c r="DC57" i="185"/>
  <c r="DI59" i="185"/>
  <c r="DU80" i="184"/>
  <c r="DT80" i="184"/>
  <c r="DN61" i="186"/>
  <c r="DM61" i="186"/>
  <c r="DI57" i="185"/>
  <c r="DI82" i="183"/>
  <c r="DM57" i="184"/>
  <c r="DN57" i="184"/>
  <c r="DN81" i="183"/>
  <c r="DM81" i="183"/>
  <c r="DU79" i="183"/>
  <c r="DT79" i="183"/>
  <c r="DN59" i="186"/>
  <c r="DM59" i="186"/>
  <c r="DN65" i="185"/>
  <c r="DM65" i="185"/>
  <c r="DT73" i="184"/>
  <c r="DU73" i="184"/>
  <c r="DC68" i="186"/>
  <c r="DI57" i="186"/>
  <c r="DU68" i="183"/>
  <c r="DT68" i="183"/>
  <c r="EW83" i="183"/>
  <c r="EU43" i="183" s="1"/>
  <c r="DJ83" i="183"/>
  <c r="DU72" i="184"/>
  <c r="DT72" i="184"/>
  <c r="DM68" i="183"/>
  <c r="DN68" i="183"/>
  <c r="DJ70" i="183"/>
  <c r="DM72" i="186"/>
  <c r="DN72" i="186"/>
  <c r="DU60" i="186"/>
  <c r="DT60" i="186"/>
  <c r="DU72" i="185"/>
  <c r="DT72" i="185"/>
  <c r="DU55" i="185"/>
  <c r="DT55" i="185"/>
  <c r="DN79" i="185"/>
  <c r="DM79" i="185"/>
  <c r="DJ66" i="185"/>
  <c r="DN71" i="183"/>
  <c r="DM71" i="183"/>
  <c r="DN83" i="183"/>
  <c r="DM83" i="183"/>
  <c r="DU71" i="186"/>
  <c r="DT71" i="186"/>
  <c r="DU56" i="186"/>
  <c r="DT56" i="186"/>
  <c r="DN54" i="185"/>
  <c r="DM54" i="185"/>
  <c r="DN76" i="185"/>
  <c r="DM76" i="185"/>
  <c r="DI54" i="186"/>
  <c r="DN67" i="186"/>
  <c r="DM67" i="186"/>
  <c r="DC66" i="184"/>
  <c r="DU66" i="184"/>
  <c r="DT66" i="184"/>
  <c r="DU62" i="186"/>
  <c r="DT62" i="186"/>
  <c r="DN73" i="185"/>
  <c r="DM73" i="185"/>
  <c r="DJ61" i="185"/>
  <c r="EW61" i="185"/>
  <c r="EU21" i="185" s="1"/>
  <c r="DU80" i="185"/>
  <c r="DT80" i="185"/>
  <c r="DU56" i="184"/>
  <c r="DT56" i="184"/>
  <c r="EW59" i="186"/>
  <c r="EU19" i="186" s="1"/>
  <c r="DJ59" i="186"/>
  <c r="DN61" i="184"/>
  <c r="DM61" i="184"/>
  <c r="DN59" i="184"/>
  <c r="DM59" i="184"/>
  <c r="DM54" i="186"/>
  <c r="DN54" i="186"/>
  <c r="DU59" i="185"/>
  <c r="DT59" i="185"/>
  <c r="DT57" i="185"/>
  <c r="DU57" i="185"/>
  <c r="DU58" i="184"/>
  <c r="DT58" i="184"/>
  <c r="DM68" i="186"/>
  <c r="DN68" i="186"/>
  <c r="DT57" i="186"/>
  <c r="DU57" i="186"/>
  <c r="DJ64" i="186"/>
  <c r="DU73" i="183"/>
  <c r="DT73" i="183"/>
  <c r="DU83" i="183"/>
  <c r="DT83" i="183"/>
  <c r="DU62" i="185"/>
  <c r="DT62" i="185"/>
  <c r="DN80" i="185"/>
  <c r="DM80" i="185"/>
  <c r="EW74" i="183"/>
  <c r="EU34" i="183" s="1"/>
  <c r="DJ74" i="183"/>
  <c r="DU58" i="186"/>
  <c r="DT58" i="186"/>
  <c r="DM78" i="185"/>
  <c r="DN78" i="185"/>
  <c r="EW77" i="183"/>
  <c r="EU37" i="183" s="1"/>
  <c r="DJ77" i="183"/>
  <c r="DU54" i="184"/>
  <c r="DT54" i="184"/>
  <c r="DN66" i="184"/>
  <c r="DM66" i="184"/>
  <c r="DU70" i="186"/>
  <c r="DT70" i="186"/>
  <c r="GK55" i="160"/>
  <c r="CM24" i="147"/>
  <c r="EO17" i="165"/>
  <c r="EP17" i="165"/>
  <c r="DD56" i="160"/>
  <c r="I16" i="160" s="1"/>
  <c r="EW71" i="84"/>
  <c r="EU31" i="84" s="1"/>
  <c r="ES31" i="84"/>
  <c r="DC71" i="84"/>
  <c r="EV71" i="84" s="1"/>
  <c r="ET31" i="84" s="1"/>
  <c r="EG20" i="165"/>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20"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V67" i="185" l="1"/>
  <c r="ET27" i="185" s="1"/>
  <c r="DD58" i="185"/>
  <c r="EW62" i="186"/>
  <c r="EU22" i="186" s="1"/>
  <c r="EQ22" i="186" s="1"/>
  <c r="EV77" i="185"/>
  <c r="ET37" i="185" s="1"/>
  <c r="EQ37" i="185" s="1"/>
  <c r="DD74" i="183"/>
  <c r="G34" i="183" s="1"/>
  <c r="H34" i="183" s="1"/>
  <c r="EW60" i="185"/>
  <c r="EU20" i="185" s="1"/>
  <c r="DD56" i="184"/>
  <c r="G16" i="184" s="1"/>
  <c r="H16" i="184" s="1"/>
  <c r="EW68" i="185"/>
  <c r="EU28" i="185" s="1"/>
  <c r="EW71" i="184"/>
  <c r="EU31" i="184" s="1"/>
  <c r="DJ58" i="185"/>
  <c r="DK58" i="185" s="1"/>
  <c r="FL58" i="185" s="1"/>
  <c r="FT58" i="185" s="1"/>
  <c r="EW76" i="185"/>
  <c r="EU36" i="185" s="1"/>
  <c r="EW63" i="186"/>
  <c r="EU23" i="186" s="1"/>
  <c r="DJ73" i="183"/>
  <c r="EW66" i="184"/>
  <c r="EU26" i="184" s="1"/>
  <c r="DD67" i="186"/>
  <c r="I27" i="186" s="1"/>
  <c r="EW73" i="185"/>
  <c r="EU33" i="185" s="1"/>
  <c r="EQ33" i="185" s="1"/>
  <c r="EV59" i="186"/>
  <c r="ET19" i="186" s="1"/>
  <c r="EQ19" i="186" s="1"/>
  <c r="DJ74" i="185"/>
  <c r="EW77" i="184"/>
  <c r="EU37" i="184" s="1"/>
  <c r="EQ37" i="184" s="1"/>
  <c r="DJ61" i="184"/>
  <c r="L21" i="184" s="1"/>
  <c r="DD71" i="185"/>
  <c r="G31" i="185" s="1"/>
  <c r="H31" i="185" s="1"/>
  <c r="EW69" i="183"/>
  <c r="EU29" i="183" s="1"/>
  <c r="DJ63" i="185"/>
  <c r="DK63" i="185" s="1"/>
  <c r="FL63" i="185" s="1"/>
  <c r="FT63" i="185" s="1"/>
  <c r="DD68" i="183"/>
  <c r="I28" i="183" s="1"/>
  <c r="DD78" i="184"/>
  <c r="G38" i="184" s="1"/>
  <c r="H38" i="184" s="1"/>
  <c r="DD62" i="184"/>
  <c r="FW62" i="184" s="1"/>
  <c r="DJ74" i="184"/>
  <c r="EW70" i="185"/>
  <c r="EU30" i="185" s="1"/>
  <c r="DD83" i="183"/>
  <c r="FW69" i="183" s="1"/>
  <c r="DD69" i="186"/>
  <c r="I29" i="186" s="1"/>
  <c r="EV78" i="183"/>
  <c r="ET38" i="183" s="1"/>
  <c r="EV63" i="184"/>
  <c r="ET23" i="184" s="1"/>
  <c r="DJ57" i="184"/>
  <c r="L17" i="184" s="1"/>
  <c r="EV71" i="186"/>
  <c r="ET31" i="186" s="1"/>
  <c r="EQ32" i="183"/>
  <c r="DJ77" i="185"/>
  <c r="L37" i="185" s="1"/>
  <c r="DD72" i="183"/>
  <c r="FW58" i="183" s="1"/>
  <c r="DD65" i="184"/>
  <c r="I25" i="184" s="1"/>
  <c r="EV70" i="183"/>
  <c r="ET30" i="183" s="1"/>
  <c r="EQ30" i="183" s="1"/>
  <c r="EW76" i="184"/>
  <c r="EU36" i="184" s="1"/>
  <c r="EQ36" i="184" s="1"/>
  <c r="EW79" i="185"/>
  <c r="EU39" i="185" s="1"/>
  <c r="EV65" i="185"/>
  <c r="ET25" i="185" s="1"/>
  <c r="EQ25" i="185" s="1"/>
  <c r="DJ73" i="184"/>
  <c r="DD68" i="184"/>
  <c r="I28" i="184" s="1"/>
  <c r="DJ76" i="183"/>
  <c r="EW71" i="183"/>
  <c r="EU31" i="183" s="1"/>
  <c r="EQ31" i="183" s="1"/>
  <c r="EW63" i="184"/>
  <c r="EU23" i="184" s="1"/>
  <c r="DJ60" i="184"/>
  <c r="DD79" i="184"/>
  <c r="DJ65" i="185"/>
  <c r="L25" i="185" s="1"/>
  <c r="DJ72" i="184"/>
  <c r="J32" i="184" s="1"/>
  <c r="K32" i="184" s="1"/>
  <c r="EQ18" i="185"/>
  <c r="EW54" i="185"/>
  <c r="DJ61" i="186"/>
  <c r="J21" i="186" s="1"/>
  <c r="K21" i="186" s="1"/>
  <c r="EV65" i="186"/>
  <c r="ET25" i="186" s="1"/>
  <c r="DJ68" i="186"/>
  <c r="J28" i="186" s="1"/>
  <c r="K28" i="186" s="1"/>
  <c r="EV75" i="185"/>
  <c r="ET35" i="185" s="1"/>
  <c r="EQ31" i="84"/>
  <c r="EV61" i="185"/>
  <c r="ET21" i="185" s="1"/>
  <c r="EQ21" i="185" s="1"/>
  <c r="EV62" i="185"/>
  <c r="ET22" i="185" s="1"/>
  <c r="DD73" i="185"/>
  <c r="I33" i="185" s="1"/>
  <c r="EV72" i="184"/>
  <c r="ET32" i="184" s="1"/>
  <c r="EQ32" i="184" s="1"/>
  <c r="EV78" i="185"/>
  <c r="ET38" i="185" s="1"/>
  <c r="EV64" i="186"/>
  <c r="ET24" i="186" s="1"/>
  <c r="EQ24" i="186" s="1"/>
  <c r="EV69" i="183"/>
  <c r="ET29" i="183" s="1"/>
  <c r="EV57" i="186"/>
  <c r="ET17" i="186" s="1"/>
  <c r="DD64" i="185"/>
  <c r="I24" i="185" s="1"/>
  <c r="DD66" i="186"/>
  <c r="I26" i="186" s="1"/>
  <c r="DD74" i="185"/>
  <c r="I34" i="185" s="1"/>
  <c r="EV63" i="185"/>
  <c r="ET23" i="185" s="1"/>
  <c r="EQ23" i="185" s="1"/>
  <c r="DD79" i="183"/>
  <c r="I39" i="183" s="1"/>
  <c r="DP68" i="186"/>
  <c r="DR68" i="186" s="1"/>
  <c r="DV59" i="185"/>
  <c r="DX59" i="185" s="1"/>
  <c r="DV66" i="184"/>
  <c r="DX66" i="184" s="1"/>
  <c r="DP54" i="185"/>
  <c r="DR54" i="185" s="1"/>
  <c r="DD75" i="183"/>
  <c r="EV75" i="183"/>
  <c r="ET35" i="183" s="1"/>
  <c r="DW56" i="185"/>
  <c r="DY56" i="185" s="1"/>
  <c r="I29" i="183"/>
  <c r="BS29" i="183" s="1"/>
  <c r="H29" i="183"/>
  <c r="G29" i="183"/>
  <c r="FW55" i="183"/>
  <c r="DK69" i="183"/>
  <c r="FL55" i="183" s="1"/>
  <c r="FT55" i="183" s="1"/>
  <c r="DV64" i="185"/>
  <c r="DX64" i="185" s="1"/>
  <c r="DW64" i="184"/>
  <c r="DY64" i="184" s="1"/>
  <c r="DV73" i="185"/>
  <c r="DX73" i="185" s="1"/>
  <c r="DO68" i="185"/>
  <c r="DQ68" i="185" s="1"/>
  <c r="J20" i="185"/>
  <c r="K20" i="185" s="1"/>
  <c r="L20" i="185"/>
  <c r="DW68" i="185"/>
  <c r="DY68" i="185" s="1"/>
  <c r="DV64" i="186"/>
  <c r="DX64" i="186" s="1"/>
  <c r="DO57" i="185"/>
  <c r="DQ57" i="185" s="1"/>
  <c r="DW70" i="186"/>
  <c r="DY70" i="186" s="1"/>
  <c r="DP80" i="185"/>
  <c r="DR80" i="185" s="1"/>
  <c r="G21" i="185"/>
  <c r="H21" i="185" s="1"/>
  <c r="I21" i="185"/>
  <c r="FW61" i="185"/>
  <c r="DK61" i="185"/>
  <c r="FL61" i="185" s="1"/>
  <c r="FT61" i="185" s="1"/>
  <c r="DO68" i="186"/>
  <c r="DQ68" i="186" s="1"/>
  <c r="DV57" i="185"/>
  <c r="DX57" i="185" s="1"/>
  <c r="DW59" i="185"/>
  <c r="DY59" i="185" s="1"/>
  <c r="DW62" i="186"/>
  <c r="DY62" i="186" s="1"/>
  <c r="DW66" i="184"/>
  <c r="DY66" i="184" s="1"/>
  <c r="DV56" i="186"/>
  <c r="DX56" i="186" s="1"/>
  <c r="DO79" i="185"/>
  <c r="DQ79" i="185" s="1"/>
  <c r="DV55" i="185"/>
  <c r="DX55" i="185" s="1"/>
  <c r="DV72" i="184"/>
  <c r="DX72" i="184" s="1"/>
  <c r="DP61" i="186"/>
  <c r="DR61" i="186" s="1"/>
  <c r="DW80" i="184"/>
  <c r="DY80" i="184" s="1"/>
  <c r="EV57" i="185"/>
  <c r="ET17" i="185" s="1"/>
  <c r="DD57" i="185"/>
  <c r="EV59" i="184"/>
  <c r="ET19" i="184" s="1"/>
  <c r="DD59" i="184"/>
  <c r="DP62" i="184"/>
  <c r="DR62" i="184" s="1"/>
  <c r="J14" i="184"/>
  <c r="L14" i="184"/>
  <c r="BU14" i="184" s="1"/>
  <c r="K14" i="184"/>
  <c r="DP67" i="184"/>
  <c r="DR67" i="184" s="1"/>
  <c r="DP57" i="186"/>
  <c r="DR57" i="186" s="1"/>
  <c r="DV69" i="183"/>
  <c r="DX69" i="183" s="1"/>
  <c r="DO71" i="185"/>
  <c r="DQ71" i="185" s="1"/>
  <c r="DJ56" i="186"/>
  <c r="EW56" i="186"/>
  <c r="EU16" i="186" s="1"/>
  <c r="DW57" i="184"/>
  <c r="DY57" i="184" s="1"/>
  <c r="DP63" i="186"/>
  <c r="DR63" i="186" s="1"/>
  <c r="DV69" i="184"/>
  <c r="DX69" i="184" s="1"/>
  <c r="DJ79" i="183"/>
  <c r="EW79" i="183"/>
  <c r="EU39" i="183" s="1"/>
  <c r="EQ39" i="183" s="1"/>
  <c r="DV74" i="184"/>
  <c r="DX74" i="184" s="1"/>
  <c r="G22" i="185"/>
  <c r="H22" i="185" s="1"/>
  <c r="I22" i="185"/>
  <c r="FW62" i="185"/>
  <c r="L26" i="184"/>
  <c r="J26" i="184"/>
  <c r="K26" i="184" s="1"/>
  <c r="DJ78" i="183"/>
  <c r="DK78" i="183" s="1"/>
  <c r="FL64" i="183" s="1"/>
  <c r="FT64" i="183" s="1"/>
  <c r="EW78" i="183"/>
  <c r="EU38" i="183" s="1"/>
  <c r="EQ38" i="183" s="1"/>
  <c r="L15" i="186"/>
  <c r="J15" i="186"/>
  <c r="K15" i="186" s="1"/>
  <c r="DP64" i="184"/>
  <c r="DR64" i="184" s="1"/>
  <c r="DP69" i="184"/>
  <c r="DR69" i="184" s="1"/>
  <c r="DV70" i="183"/>
  <c r="DX70" i="183" s="1"/>
  <c r="L36" i="183"/>
  <c r="BU36" i="183" s="1"/>
  <c r="J36" i="183"/>
  <c r="K36" i="183"/>
  <c r="DV75" i="185"/>
  <c r="DX75" i="185" s="1"/>
  <c r="DP72" i="183"/>
  <c r="DR72" i="183" s="1"/>
  <c r="DO80" i="184"/>
  <c r="DQ80" i="184" s="1"/>
  <c r="DV69" i="186"/>
  <c r="DX69" i="186" s="1"/>
  <c r="EV70" i="184"/>
  <c r="ET30" i="184" s="1"/>
  <c r="DD70" i="184"/>
  <c r="DW65" i="185"/>
  <c r="DY65" i="185" s="1"/>
  <c r="DV78" i="184"/>
  <c r="DX78" i="184" s="1"/>
  <c r="EW71" i="185"/>
  <c r="EU31" i="185" s="1"/>
  <c r="DJ71" i="185"/>
  <c r="DV80" i="183"/>
  <c r="DX80" i="183" s="1"/>
  <c r="DP60" i="185"/>
  <c r="DR60" i="185" s="1"/>
  <c r="DP82" i="183"/>
  <c r="DR82" i="183" s="1"/>
  <c r="DV70" i="185"/>
  <c r="DX70" i="185" s="1"/>
  <c r="DP67" i="185"/>
  <c r="DR67" i="185" s="1"/>
  <c r="DP66" i="186"/>
  <c r="DR66" i="186" s="1"/>
  <c r="DV77" i="185"/>
  <c r="DX77" i="185" s="1"/>
  <c r="EW80" i="183"/>
  <c r="EU40" i="183" s="1"/>
  <c r="DJ80" i="183"/>
  <c r="DP56" i="185"/>
  <c r="DR56" i="185" s="1"/>
  <c r="DV71" i="184"/>
  <c r="DX71" i="184" s="1"/>
  <c r="DP68" i="185"/>
  <c r="DR68" i="185" s="1"/>
  <c r="EV60" i="186"/>
  <c r="ET20" i="186" s="1"/>
  <c r="DD60" i="186"/>
  <c r="I35" i="185"/>
  <c r="G35" i="185"/>
  <c r="H35" i="185" s="1"/>
  <c r="FW75" i="185"/>
  <c r="DV67" i="185"/>
  <c r="DX67" i="185" s="1"/>
  <c r="DO71" i="184"/>
  <c r="DQ71" i="184" s="1"/>
  <c r="DW75" i="184"/>
  <c r="DY75" i="184" s="1"/>
  <c r="G23" i="185"/>
  <c r="H23" i="185" s="1"/>
  <c r="I23" i="185"/>
  <c r="FW63" i="185"/>
  <c r="DV63" i="184"/>
  <c r="DX63" i="184" s="1"/>
  <c r="DJ67" i="184"/>
  <c r="EW67" i="184"/>
  <c r="EU27" i="184" s="1"/>
  <c r="DV66" i="185"/>
  <c r="DX66" i="185" s="1"/>
  <c r="DJ75" i="184"/>
  <c r="EW75" i="184"/>
  <c r="EU35" i="184" s="1"/>
  <c r="EQ35" i="184" s="1"/>
  <c r="DW64" i="186"/>
  <c r="DY64" i="186" s="1"/>
  <c r="DP57" i="185"/>
  <c r="DR57" i="185" s="1"/>
  <c r="DP75" i="183"/>
  <c r="DR75" i="183" s="1"/>
  <c r="G38" i="183"/>
  <c r="H38" i="183" s="1"/>
  <c r="I38" i="183"/>
  <c r="FW64" i="183"/>
  <c r="DW57" i="185"/>
  <c r="DY57" i="185" s="1"/>
  <c r="DO68" i="183"/>
  <c r="DQ68" i="183" s="1"/>
  <c r="DV80" i="184"/>
  <c r="DX80" i="184" s="1"/>
  <c r="DO62" i="184"/>
  <c r="DQ62" i="184" s="1"/>
  <c r="DW81" i="183"/>
  <c r="DY81" i="183" s="1"/>
  <c r="DO64" i="184"/>
  <c r="DQ64" i="184" s="1"/>
  <c r="I31" i="183"/>
  <c r="G31" i="183"/>
  <c r="H31" i="183" s="1"/>
  <c r="FW57" i="183"/>
  <c r="DK71" i="183"/>
  <c r="FL57" i="183" s="1"/>
  <c r="FT57" i="183" s="1"/>
  <c r="DV54" i="185"/>
  <c r="DX54" i="185" s="1"/>
  <c r="DW58" i="185"/>
  <c r="DY58" i="185" s="1"/>
  <c r="DO60" i="185"/>
  <c r="DQ60" i="185" s="1"/>
  <c r="DO67" i="185"/>
  <c r="DQ67" i="185" s="1"/>
  <c r="DW77" i="185"/>
  <c r="DY77" i="185" s="1"/>
  <c r="DO56" i="185"/>
  <c r="DQ56" i="185" s="1"/>
  <c r="EW69" i="186"/>
  <c r="EU29" i="186" s="1"/>
  <c r="DJ69" i="186"/>
  <c r="DO75" i="183"/>
  <c r="DQ75" i="183" s="1"/>
  <c r="DP78" i="185"/>
  <c r="DR78" i="185" s="1"/>
  <c r="DV62" i="185"/>
  <c r="DX62" i="185" s="1"/>
  <c r="DV73" i="183"/>
  <c r="DX73" i="183" s="1"/>
  <c r="DP54" i="186"/>
  <c r="DR54" i="186" s="1"/>
  <c r="DO59" i="184"/>
  <c r="DQ59" i="184" s="1"/>
  <c r="DV80" i="185"/>
  <c r="DX80" i="185" s="1"/>
  <c r="K34" i="185"/>
  <c r="J34" i="185"/>
  <c r="L34" i="185"/>
  <c r="BU34" i="185" s="1"/>
  <c r="DW56" i="186"/>
  <c r="DY56" i="186" s="1"/>
  <c r="DP79" i="185"/>
  <c r="DR79" i="185" s="1"/>
  <c r="DW55" i="185"/>
  <c r="DY55" i="185" s="1"/>
  <c r="DW72" i="184"/>
  <c r="DY72" i="184" s="1"/>
  <c r="DD68" i="186"/>
  <c r="EV68" i="186"/>
  <c r="ET28" i="186" s="1"/>
  <c r="EQ28" i="186" s="1"/>
  <c r="DV79" i="183"/>
  <c r="DX79" i="183" s="1"/>
  <c r="EV69" i="185"/>
  <c r="ET29" i="185" s="1"/>
  <c r="DD69" i="185"/>
  <c r="EV61" i="184"/>
  <c r="ET21" i="184" s="1"/>
  <c r="EQ21" i="184" s="1"/>
  <c r="DD61" i="184"/>
  <c r="DO77" i="183"/>
  <c r="DQ77" i="183" s="1"/>
  <c r="G35" i="184"/>
  <c r="H35" i="184" s="1"/>
  <c r="I35" i="184"/>
  <c r="FW75" i="184"/>
  <c r="DO65" i="184"/>
  <c r="DQ65" i="184" s="1"/>
  <c r="DP71" i="185"/>
  <c r="DR71" i="185" s="1"/>
  <c r="EW71" i="186"/>
  <c r="EU31" i="186" s="1"/>
  <c r="DJ71" i="186"/>
  <c r="DK71" i="186" s="1"/>
  <c r="FL71" i="186" s="1"/>
  <c r="FT71" i="186" s="1"/>
  <c r="DV57" i="184"/>
  <c r="DX57" i="184" s="1"/>
  <c r="DV66" i="186"/>
  <c r="DX66" i="186" s="1"/>
  <c r="DJ55" i="185"/>
  <c r="EW55" i="185"/>
  <c r="EU15" i="185" s="1"/>
  <c r="DO70" i="183"/>
  <c r="DQ70" i="183" s="1"/>
  <c r="DV76" i="184"/>
  <c r="DX76" i="184" s="1"/>
  <c r="DD81" i="183"/>
  <c r="EV81" i="183"/>
  <c r="ET41" i="183" s="1"/>
  <c r="EQ41" i="183" s="1"/>
  <c r="DW74" i="184"/>
  <c r="DY74" i="184" s="1"/>
  <c r="I27" i="185"/>
  <c r="G27" i="185"/>
  <c r="H27" i="185" s="1"/>
  <c r="FW67" i="185"/>
  <c r="L37" i="184"/>
  <c r="BU37" i="184" s="1"/>
  <c r="K37" i="184"/>
  <c r="J37" i="184"/>
  <c r="DO70" i="184"/>
  <c r="DQ70" i="184" s="1"/>
  <c r="L41" i="183"/>
  <c r="J41" i="183"/>
  <c r="K41" i="183" s="1"/>
  <c r="DW70" i="183"/>
  <c r="DY70" i="183" s="1"/>
  <c r="DW75" i="185"/>
  <c r="DY75" i="185" s="1"/>
  <c r="DO72" i="183"/>
  <c r="DQ72" i="183" s="1"/>
  <c r="L39" i="185"/>
  <c r="BU39" i="185" s="1"/>
  <c r="K39" i="185"/>
  <c r="J39" i="185"/>
  <c r="I25" i="185"/>
  <c r="G25" i="185"/>
  <c r="H25" i="185" s="1"/>
  <c r="FW65" i="185"/>
  <c r="DK65" i="185"/>
  <c r="FL65" i="185" s="1"/>
  <c r="FT65" i="185" s="1"/>
  <c r="DP74" i="185"/>
  <c r="DR74" i="185" s="1"/>
  <c r="DP76" i="183"/>
  <c r="DR76" i="183" s="1"/>
  <c r="DV65" i="185"/>
  <c r="DX65" i="185" s="1"/>
  <c r="DW78" i="184"/>
  <c r="DY78" i="184" s="1"/>
  <c r="DD63" i="186"/>
  <c r="EV63" i="186"/>
  <c r="ET23" i="186" s="1"/>
  <c r="DW80" i="183"/>
  <c r="DY80" i="183" s="1"/>
  <c r="DD68" i="185"/>
  <c r="EV68" i="185"/>
  <c r="ET28" i="185" s="1"/>
  <c r="DP70" i="185"/>
  <c r="DR70" i="185" s="1"/>
  <c r="DO58" i="184"/>
  <c r="DQ58" i="184" s="1"/>
  <c r="DW70" i="185"/>
  <c r="DY70" i="185" s="1"/>
  <c r="L31" i="184"/>
  <c r="BU31" i="184" s="1"/>
  <c r="K31" i="184"/>
  <c r="J31" i="184"/>
  <c r="DV78" i="183"/>
  <c r="DX78" i="183" s="1"/>
  <c r="DV76" i="185"/>
  <c r="DX76" i="185" s="1"/>
  <c r="DV63" i="186"/>
  <c r="DX63" i="186" s="1"/>
  <c r="DV59" i="184"/>
  <c r="DX59" i="184" s="1"/>
  <c r="DO78" i="183"/>
  <c r="DQ78" i="183" s="1"/>
  <c r="DO56" i="184"/>
  <c r="DQ56" i="184" s="1"/>
  <c r="EV58" i="186"/>
  <c r="ET18" i="186" s="1"/>
  <c r="DD58" i="186"/>
  <c r="DW67" i="185"/>
  <c r="DY67" i="185" s="1"/>
  <c r="DP71" i="184"/>
  <c r="DR71" i="184" s="1"/>
  <c r="DV75" i="184"/>
  <c r="DX75" i="184" s="1"/>
  <c r="I22" i="186"/>
  <c r="G22" i="186"/>
  <c r="H22" i="186" s="1"/>
  <c r="FW62" i="186"/>
  <c r="DK62" i="186"/>
  <c r="FL62" i="186" s="1"/>
  <c r="FT62" i="186" s="1"/>
  <c r="J31" i="183"/>
  <c r="K31" i="183" s="1"/>
  <c r="L31" i="183"/>
  <c r="EV80" i="184"/>
  <c r="ET40" i="184" s="1"/>
  <c r="DD80" i="184"/>
  <c r="DW63" i="184"/>
  <c r="DY63" i="184" s="1"/>
  <c r="DJ67" i="185"/>
  <c r="EW67" i="185"/>
  <c r="EU27" i="185" s="1"/>
  <c r="EQ27" i="185" s="1"/>
  <c r="EV71" i="184"/>
  <c r="ET31" i="184" s="1"/>
  <c r="EQ31" i="184" s="1"/>
  <c r="DD71" i="184"/>
  <c r="DW66" i="185"/>
  <c r="DY66" i="185" s="1"/>
  <c r="DJ59" i="184"/>
  <c r="EW59" i="184"/>
  <c r="EU19" i="184" s="1"/>
  <c r="DO69" i="185"/>
  <c r="DQ69" i="185" s="1"/>
  <c r="DW62" i="184"/>
  <c r="DY62" i="184" s="1"/>
  <c r="DV70" i="186"/>
  <c r="DX70" i="186" s="1"/>
  <c r="L37" i="183"/>
  <c r="J37" i="183"/>
  <c r="K37" i="183" s="1"/>
  <c r="DO61" i="186"/>
  <c r="DQ61" i="186" s="1"/>
  <c r="DW68" i="186"/>
  <c r="DY68" i="186" s="1"/>
  <c r="DV65" i="186"/>
  <c r="DX65" i="186" s="1"/>
  <c r="DW71" i="183"/>
  <c r="DY71" i="183" s="1"/>
  <c r="DO66" i="186"/>
  <c r="DQ66" i="186" s="1"/>
  <c r="G16" i="160"/>
  <c r="H16" i="160" s="1"/>
  <c r="I32" i="184"/>
  <c r="G32" i="184"/>
  <c r="H32" i="184" s="1"/>
  <c r="FW72" i="184"/>
  <c r="DO78" i="185"/>
  <c r="DQ78" i="185" s="1"/>
  <c r="DW62" i="185"/>
  <c r="DY62" i="185" s="1"/>
  <c r="DW73" i="183"/>
  <c r="DY73" i="183" s="1"/>
  <c r="L30" i="185"/>
  <c r="J30" i="185"/>
  <c r="K30" i="185" s="1"/>
  <c r="DO54" i="186"/>
  <c r="DQ54" i="186" s="1"/>
  <c r="DP59" i="184"/>
  <c r="DR59" i="184" s="1"/>
  <c r="DW80" i="185"/>
  <c r="DY80" i="185" s="1"/>
  <c r="DV71" i="186"/>
  <c r="DX71" i="186" s="1"/>
  <c r="DV72" i="185"/>
  <c r="DX72" i="185" s="1"/>
  <c r="J43" i="183"/>
  <c r="K43" i="183" s="1"/>
  <c r="L43" i="183"/>
  <c r="L14" i="185"/>
  <c r="J14" i="185"/>
  <c r="K14" i="185" s="1"/>
  <c r="DW79" i="183"/>
  <c r="DY79" i="183" s="1"/>
  <c r="EV54" i="186"/>
  <c r="ET14" i="186" s="1"/>
  <c r="EQ14" i="186" s="1"/>
  <c r="DD54" i="186"/>
  <c r="EW62" i="184"/>
  <c r="EU22" i="184" s="1"/>
  <c r="EQ22" i="184" s="1"/>
  <c r="DJ62" i="184"/>
  <c r="DP77" i="183"/>
  <c r="DR77" i="183" s="1"/>
  <c r="DP65" i="184"/>
  <c r="DR65" i="184" s="1"/>
  <c r="DW77" i="184"/>
  <c r="DY77" i="184" s="1"/>
  <c r="DW55" i="186"/>
  <c r="DY55" i="186" s="1"/>
  <c r="DP76" i="184"/>
  <c r="DR76" i="184" s="1"/>
  <c r="EV79" i="185"/>
  <c r="ET39" i="185" s="1"/>
  <c r="DD79" i="185"/>
  <c r="DW66" i="186"/>
  <c r="DY66" i="186" s="1"/>
  <c r="DJ72" i="185"/>
  <c r="EW72" i="185"/>
  <c r="EU32" i="185" s="1"/>
  <c r="DP70" i="183"/>
  <c r="DR70" i="183" s="1"/>
  <c r="DW76" i="184"/>
  <c r="DY76" i="184" s="1"/>
  <c r="EV57" i="184"/>
  <c r="ET17" i="184" s="1"/>
  <c r="EQ17" i="184" s="1"/>
  <c r="DD57" i="184"/>
  <c r="DO63" i="185"/>
  <c r="DQ63" i="185" s="1"/>
  <c r="DV72" i="183"/>
  <c r="DX72" i="183" s="1"/>
  <c r="DV67" i="184"/>
  <c r="DX67" i="184" s="1"/>
  <c r="DV79" i="184"/>
  <c r="DX79" i="184" s="1"/>
  <c r="I37" i="184"/>
  <c r="G37" i="184"/>
  <c r="H37" i="184" s="1"/>
  <c r="FW77" i="184"/>
  <c r="DK77" i="184"/>
  <c r="FL77" i="184" s="1"/>
  <c r="FT77" i="184" s="1"/>
  <c r="L16" i="185"/>
  <c r="J16" i="185"/>
  <c r="K16" i="185" s="1"/>
  <c r="G25" i="186"/>
  <c r="H25" i="186" s="1"/>
  <c r="I25" i="186"/>
  <c r="FW65" i="186"/>
  <c r="DP70" i="184"/>
  <c r="DR70" i="184" s="1"/>
  <c r="DV71" i="185"/>
  <c r="DX71" i="185" s="1"/>
  <c r="EQ34" i="183"/>
  <c r="DO74" i="185"/>
  <c r="DQ74" i="185" s="1"/>
  <c r="DO76" i="183"/>
  <c r="DQ76" i="183" s="1"/>
  <c r="DJ78" i="185"/>
  <c r="EW78" i="185"/>
  <c r="EU38" i="185" s="1"/>
  <c r="DJ67" i="186"/>
  <c r="EW67" i="186"/>
  <c r="EU27" i="186" s="1"/>
  <c r="EQ27" i="186" s="1"/>
  <c r="EV76" i="183"/>
  <c r="ET36" i="183" s="1"/>
  <c r="EQ36" i="183" s="1"/>
  <c r="DD76" i="183"/>
  <c r="DO70" i="185"/>
  <c r="DQ70" i="185" s="1"/>
  <c r="DP58" i="184"/>
  <c r="DR58" i="184" s="1"/>
  <c r="DV68" i="184"/>
  <c r="DX68" i="184" s="1"/>
  <c r="DW78" i="183"/>
  <c r="DY78" i="183" s="1"/>
  <c r="DW76" i="185"/>
  <c r="DY76" i="185" s="1"/>
  <c r="DW63" i="186"/>
  <c r="DY63" i="186" s="1"/>
  <c r="DW59" i="184"/>
  <c r="DY59" i="184" s="1"/>
  <c r="DP78" i="183"/>
  <c r="DR78" i="183" s="1"/>
  <c r="DP56" i="184"/>
  <c r="DR56" i="184" s="1"/>
  <c r="DP79" i="184"/>
  <c r="DR79" i="184" s="1"/>
  <c r="DO64" i="185"/>
  <c r="DQ64" i="185" s="1"/>
  <c r="L32" i="183"/>
  <c r="J32" i="183"/>
  <c r="K32" i="183" s="1"/>
  <c r="DD72" i="185"/>
  <c r="EV72" i="185"/>
  <c r="ET32" i="185" s="1"/>
  <c r="DV77" i="183"/>
  <c r="DX77" i="183" s="1"/>
  <c r="EV67" i="184"/>
  <c r="ET27" i="184" s="1"/>
  <c r="DD67" i="184"/>
  <c r="EW55" i="184"/>
  <c r="EU15" i="184" s="1"/>
  <c r="DJ55" i="184"/>
  <c r="EW65" i="184"/>
  <c r="EU25" i="184" s="1"/>
  <c r="EQ25" i="184" s="1"/>
  <c r="DJ65" i="184"/>
  <c r="DP69" i="185"/>
  <c r="DR69" i="185" s="1"/>
  <c r="DV62" i="184"/>
  <c r="DX62" i="184" s="1"/>
  <c r="DP71" i="183"/>
  <c r="DR71" i="183" s="1"/>
  <c r="DO72" i="186"/>
  <c r="DQ72" i="186" s="1"/>
  <c r="EW57" i="186"/>
  <c r="EU17" i="186" s="1"/>
  <c r="DJ57" i="186"/>
  <c r="DK57" i="186" s="1"/>
  <c r="FL57" i="186" s="1"/>
  <c r="FT57" i="186" s="1"/>
  <c r="DO57" i="186"/>
  <c r="DQ57" i="186" s="1"/>
  <c r="DO63" i="186"/>
  <c r="DQ63" i="186" s="1"/>
  <c r="I17" i="186"/>
  <c r="G17" i="186"/>
  <c r="H17" i="186" s="1"/>
  <c r="FW57" i="186"/>
  <c r="DP80" i="184"/>
  <c r="DR80" i="184" s="1"/>
  <c r="DW69" i="186"/>
  <c r="DY69" i="186" s="1"/>
  <c r="EW75" i="185"/>
  <c r="EU35" i="185" s="1"/>
  <c r="DJ75" i="185"/>
  <c r="DK75" i="185" s="1"/>
  <c r="FL75" i="185" s="1"/>
  <c r="FT75" i="185" s="1"/>
  <c r="EW64" i="185"/>
  <c r="EU24" i="185" s="1"/>
  <c r="EQ24" i="185" s="1"/>
  <c r="DJ64" i="185"/>
  <c r="EW64" i="184"/>
  <c r="EU24" i="184" s="1"/>
  <c r="DJ64" i="184"/>
  <c r="EW56" i="184"/>
  <c r="EU16" i="184" s="1"/>
  <c r="EQ16" i="184" s="1"/>
  <c r="DJ56" i="184"/>
  <c r="DO66" i="184"/>
  <c r="DQ66" i="184" s="1"/>
  <c r="DV54" i="184"/>
  <c r="DX54" i="184" s="1"/>
  <c r="L34" i="184"/>
  <c r="J34" i="184"/>
  <c r="K34" i="184" s="1"/>
  <c r="L34" i="183"/>
  <c r="J34" i="183"/>
  <c r="K34" i="183" s="1"/>
  <c r="L33" i="184"/>
  <c r="J33" i="184"/>
  <c r="K33" i="184" s="1"/>
  <c r="DO61" i="184"/>
  <c r="DQ61" i="184" s="1"/>
  <c r="L19" i="186"/>
  <c r="J19" i="186"/>
  <c r="K19" i="186" s="1"/>
  <c r="DV56" i="184"/>
  <c r="DX56" i="184" s="1"/>
  <c r="DO67" i="186"/>
  <c r="DQ67" i="186" s="1"/>
  <c r="DJ54" i="186"/>
  <c r="EW54" i="186"/>
  <c r="DW71" i="186"/>
  <c r="DY71" i="186" s="1"/>
  <c r="K26" i="185"/>
  <c r="J26" i="185"/>
  <c r="L26" i="185"/>
  <c r="BU26" i="185" s="1"/>
  <c r="DW72" i="185"/>
  <c r="DY72" i="185" s="1"/>
  <c r="DV68" i="183"/>
  <c r="DX68" i="183" s="1"/>
  <c r="DW73" i="184"/>
  <c r="DY73" i="184" s="1"/>
  <c r="DO65" i="185"/>
  <c r="DQ65" i="185" s="1"/>
  <c r="DO81" i="183"/>
  <c r="DQ81" i="183" s="1"/>
  <c r="DP71" i="186"/>
  <c r="DR71" i="186" s="1"/>
  <c r="G37" i="185"/>
  <c r="H37" i="185" s="1"/>
  <c r="I37" i="185"/>
  <c r="FW77" i="185"/>
  <c r="DP62" i="185"/>
  <c r="DR62" i="185" s="1"/>
  <c r="DV77" i="184"/>
  <c r="DX77" i="184" s="1"/>
  <c r="DV55" i="186"/>
  <c r="DX55" i="186" s="1"/>
  <c r="DO76" i="184"/>
  <c r="DQ76" i="184" s="1"/>
  <c r="DV74" i="183"/>
  <c r="DX74" i="183" s="1"/>
  <c r="DD80" i="185"/>
  <c r="EV80" i="185"/>
  <c r="ET40" i="185" s="1"/>
  <c r="DW61" i="184"/>
  <c r="DY61" i="184" s="1"/>
  <c r="DV78" i="185"/>
  <c r="DX78" i="185" s="1"/>
  <c r="DO69" i="183"/>
  <c r="DQ69" i="183" s="1"/>
  <c r="DJ58" i="184"/>
  <c r="EW58" i="184"/>
  <c r="EU18" i="184" s="1"/>
  <c r="DP63" i="185"/>
  <c r="DR63" i="185" s="1"/>
  <c r="DW72" i="183"/>
  <c r="DY72" i="183" s="1"/>
  <c r="DW67" i="184"/>
  <c r="DY67" i="184" s="1"/>
  <c r="DW79" i="184"/>
  <c r="DY79" i="184" s="1"/>
  <c r="I23" i="184"/>
  <c r="G23" i="184"/>
  <c r="H23" i="184" s="1"/>
  <c r="FW63" i="184"/>
  <c r="DK63" i="184"/>
  <c r="FL63" i="184" s="1"/>
  <c r="FT63" i="184" s="1"/>
  <c r="EQ31" i="185"/>
  <c r="DO55" i="184"/>
  <c r="DQ55" i="184" s="1"/>
  <c r="J17" i="184"/>
  <c r="K17" i="184" s="1"/>
  <c r="DW71" i="185"/>
  <c r="DY71" i="185" s="1"/>
  <c r="I19" i="186"/>
  <c r="G19" i="186"/>
  <c r="H19" i="186" s="1"/>
  <c r="FW59" i="186"/>
  <c r="DK59" i="186"/>
  <c r="FL59" i="186" s="1"/>
  <c r="FT59" i="186" s="1"/>
  <c r="DV70" i="184"/>
  <c r="DX70" i="184" s="1"/>
  <c r="DO61" i="185"/>
  <c r="DQ61" i="185" s="1"/>
  <c r="DD69" i="184"/>
  <c r="EV69" i="184"/>
  <c r="ET29" i="184" s="1"/>
  <c r="EQ29" i="184" s="1"/>
  <c r="EW65" i="186"/>
  <c r="EU25" i="186" s="1"/>
  <c r="DJ65" i="186"/>
  <c r="DO75" i="184"/>
  <c r="DQ75" i="184" s="1"/>
  <c r="DP60" i="186"/>
  <c r="DR60" i="186" s="1"/>
  <c r="EV74" i="184"/>
  <c r="ET34" i="184" s="1"/>
  <c r="EQ34" i="184" s="1"/>
  <c r="DD74" i="184"/>
  <c r="L23" i="186"/>
  <c r="J23" i="186"/>
  <c r="K23" i="186" s="1"/>
  <c r="DW68" i="184"/>
  <c r="DY68" i="184" s="1"/>
  <c r="DO75" i="185"/>
  <c r="DQ75" i="185" s="1"/>
  <c r="DV59" i="186"/>
  <c r="DX59" i="186" s="1"/>
  <c r="DW61" i="186"/>
  <c r="DY61" i="186" s="1"/>
  <c r="DP77" i="184"/>
  <c r="DR77" i="184" s="1"/>
  <c r="DO79" i="184"/>
  <c r="DQ79" i="184" s="1"/>
  <c r="DP64" i="185"/>
  <c r="DR64" i="185" s="1"/>
  <c r="DV74" i="185"/>
  <c r="DX74" i="185" s="1"/>
  <c r="EV55" i="186"/>
  <c r="ET15" i="186" s="1"/>
  <c r="EQ15" i="186" s="1"/>
  <c r="DD55" i="186"/>
  <c r="DW77" i="183"/>
  <c r="DY77" i="183" s="1"/>
  <c r="DD73" i="184"/>
  <c r="EV73" i="184"/>
  <c r="ET33" i="184" s="1"/>
  <c r="EQ33" i="184" s="1"/>
  <c r="DD77" i="183"/>
  <c r="EV77" i="183"/>
  <c r="ET37" i="183" s="1"/>
  <c r="EQ37" i="183" s="1"/>
  <c r="EV55" i="185"/>
  <c r="ET15" i="185" s="1"/>
  <c r="DD55" i="185"/>
  <c r="DO73" i="184"/>
  <c r="DQ73" i="184" s="1"/>
  <c r="DO54" i="184"/>
  <c r="DQ54" i="184" s="1"/>
  <c r="DV62" i="186"/>
  <c r="DX62" i="186" s="1"/>
  <c r="J33" i="183"/>
  <c r="K33" i="183" s="1"/>
  <c r="L33" i="183"/>
  <c r="DO67" i="184"/>
  <c r="DQ67" i="184" s="1"/>
  <c r="DW69" i="183"/>
  <c r="DY69" i="183" s="1"/>
  <c r="DW69" i="184"/>
  <c r="DY69" i="184" s="1"/>
  <c r="DO69" i="184"/>
  <c r="DQ69" i="184" s="1"/>
  <c r="EW78" i="184"/>
  <c r="EU38" i="184" s="1"/>
  <c r="EQ38" i="184" s="1"/>
  <c r="DJ78" i="184"/>
  <c r="L36" i="184"/>
  <c r="J36" i="184"/>
  <c r="K36" i="184" s="1"/>
  <c r="L33" i="185"/>
  <c r="BU33" i="185" s="1"/>
  <c r="K33" i="185"/>
  <c r="J33" i="185"/>
  <c r="DO82" i="183"/>
  <c r="DQ82" i="183" s="1"/>
  <c r="DO56" i="186"/>
  <c r="DQ56" i="186" s="1"/>
  <c r="DW71" i="184"/>
  <c r="DY71" i="184" s="1"/>
  <c r="EV70" i="185"/>
  <c r="ET30" i="185" s="1"/>
  <c r="DD70" i="185"/>
  <c r="G24" i="186"/>
  <c r="H24" i="186" s="1"/>
  <c r="I24" i="186"/>
  <c r="FW64" i="186"/>
  <c r="DK64" i="186"/>
  <c r="DP66" i="184"/>
  <c r="DR66" i="184" s="1"/>
  <c r="DW54" i="184"/>
  <c r="DY54" i="184" s="1"/>
  <c r="I39" i="184"/>
  <c r="G39" i="184"/>
  <c r="H39" i="184" s="1"/>
  <c r="FW79" i="184"/>
  <c r="L24" i="186"/>
  <c r="J24" i="186"/>
  <c r="K24" i="186" s="1"/>
  <c r="DP61" i="184"/>
  <c r="DR61" i="184" s="1"/>
  <c r="DW56" i="184"/>
  <c r="DY56" i="184" s="1"/>
  <c r="L21" i="185"/>
  <c r="J21" i="185"/>
  <c r="K21" i="185" s="1"/>
  <c r="DD66" i="184"/>
  <c r="EV66" i="184"/>
  <c r="ET26" i="184" s="1"/>
  <c r="DP67" i="186"/>
  <c r="DR67" i="186" s="1"/>
  <c r="DO76" i="185"/>
  <c r="DQ76" i="185" s="1"/>
  <c r="DO83" i="183"/>
  <c r="DQ83" i="183" s="1"/>
  <c r="DV60" i="186"/>
  <c r="DX60" i="186" s="1"/>
  <c r="DW68" i="183"/>
  <c r="DY68" i="183" s="1"/>
  <c r="DV73" i="184"/>
  <c r="DX73" i="184" s="1"/>
  <c r="DP65" i="185"/>
  <c r="DR65" i="185" s="1"/>
  <c r="DP81" i="183"/>
  <c r="DR81" i="183" s="1"/>
  <c r="DO71" i="186"/>
  <c r="DQ71" i="186" s="1"/>
  <c r="DJ80" i="185"/>
  <c r="EW80" i="185"/>
  <c r="EU40" i="185" s="1"/>
  <c r="DO62" i="185"/>
  <c r="DQ62" i="185" s="1"/>
  <c r="DO65" i="186"/>
  <c r="DQ65" i="186" s="1"/>
  <c r="DV54" i="186"/>
  <c r="DX54" i="186" s="1"/>
  <c r="G43" i="183"/>
  <c r="DW74" i="183"/>
  <c r="DY74" i="183" s="1"/>
  <c r="EW62" i="185"/>
  <c r="EU22" i="185" s="1"/>
  <c r="DJ62" i="185"/>
  <c r="DK62" i="185" s="1"/>
  <c r="FL62" i="185" s="1"/>
  <c r="FT62" i="185" s="1"/>
  <c r="DV61" i="184"/>
  <c r="DX61" i="184" s="1"/>
  <c r="DW78" i="185"/>
  <c r="DY78" i="185" s="1"/>
  <c r="DP69" i="183"/>
  <c r="DR69" i="183" s="1"/>
  <c r="DV79" i="185"/>
  <c r="DX79" i="185" s="1"/>
  <c r="DV63" i="185"/>
  <c r="DX63" i="185" s="1"/>
  <c r="DO62" i="186"/>
  <c r="DQ62" i="186" s="1"/>
  <c r="DW65" i="184"/>
  <c r="DY65" i="184" s="1"/>
  <c r="DP55" i="184"/>
  <c r="DR55" i="184" s="1"/>
  <c r="DV75" i="183"/>
  <c r="DX75" i="183" s="1"/>
  <c r="DV67" i="186"/>
  <c r="DX67" i="186" s="1"/>
  <c r="L29" i="184"/>
  <c r="J29" i="184"/>
  <c r="K29" i="184" s="1"/>
  <c r="DV82" i="183"/>
  <c r="DX82" i="183" s="1"/>
  <c r="DW70" i="184"/>
  <c r="DY70" i="184" s="1"/>
  <c r="DP61" i="185"/>
  <c r="DR61" i="185" s="1"/>
  <c r="DJ75" i="183"/>
  <c r="EW75" i="183"/>
  <c r="EU35" i="183" s="1"/>
  <c r="DP75" i="184"/>
  <c r="DR75" i="184" s="1"/>
  <c r="DO60" i="186"/>
  <c r="DQ60" i="186" s="1"/>
  <c r="DP70" i="186"/>
  <c r="DR70" i="186" s="1"/>
  <c r="DO73" i="183"/>
  <c r="DQ73" i="183" s="1"/>
  <c r="I16" i="184"/>
  <c r="DP75" i="185"/>
  <c r="DR75" i="185" s="1"/>
  <c r="DJ69" i="185"/>
  <c r="EW69" i="185"/>
  <c r="EU29" i="185" s="1"/>
  <c r="DW59" i="186"/>
  <c r="DY59" i="186" s="1"/>
  <c r="DV61" i="186"/>
  <c r="DX61" i="186" s="1"/>
  <c r="DP77" i="185"/>
  <c r="DR77" i="185" s="1"/>
  <c r="DO77" i="184"/>
  <c r="DQ77" i="184" s="1"/>
  <c r="EW70" i="184"/>
  <c r="EU30" i="184" s="1"/>
  <c r="DJ70" i="184"/>
  <c r="EQ34" i="185"/>
  <c r="DO68" i="184"/>
  <c r="DQ68" i="184" s="1"/>
  <c r="DW74" i="185"/>
  <c r="DY74" i="185" s="1"/>
  <c r="DJ72" i="186"/>
  <c r="EW72" i="186"/>
  <c r="EU32" i="186" s="1"/>
  <c r="DP72" i="184"/>
  <c r="DR72" i="184" s="1"/>
  <c r="DJ79" i="184"/>
  <c r="EW79" i="184"/>
  <c r="EU39" i="184" s="1"/>
  <c r="EQ39" i="184" s="1"/>
  <c r="DJ68" i="184"/>
  <c r="EW68" i="184"/>
  <c r="EU28" i="184" s="1"/>
  <c r="EQ28" i="184" s="1"/>
  <c r="EV56" i="185"/>
  <c r="ET16" i="185" s="1"/>
  <c r="EQ16" i="185" s="1"/>
  <c r="DD56" i="185"/>
  <c r="G31" i="186"/>
  <c r="H31" i="186" s="1"/>
  <c r="I31" i="186"/>
  <c r="FW71" i="186"/>
  <c r="DP73" i="184"/>
  <c r="DR73" i="184" s="1"/>
  <c r="DP54" i="184"/>
  <c r="DR54" i="184" s="1"/>
  <c r="DJ59" i="185"/>
  <c r="EW59" i="185"/>
  <c r="EU19" i="185" s="1"/>
  <c r="EW70" i="186"/>
  <c r="EU30" i="186" s="1"/>
  <c r="DJ70" i="186"/>
  <c r="DW72" i="186"/>
  <c r="DY72" i="186" s="1"/>
  <c r="EV64" i="184"/>
  <c r="ET24" i="184" s="1"/>
  <c r="DD64" i="184"/>
  <c r="DP78" i="184"/>
  <c r="DR78" i="184" s="1"/>
  <c r="EV58" i="184"/>
  <c r="ET18" i="184" s="1"/>
  <c r="DD58" i="184"/>
  <c r="DO66" i="185"/>
  <c r="DQ66" i="185" s="1"/>
  <c r="DV58" i="186"/>
  <c r="DX58" i="186" s="1"/>
  <c r="J28" i="185"/>
  <c r="L28" i="185"/>
  <c r="BU28" i="185" s="1"/>
  <c r="K28" i="185"/>
  <c r="DV83" i="183"/>
  <c r="DX83" i="183" s="1"/>
  <c r="I18" i="185"/>
  <c r="G18" i="185"/>
  <c r="H18" i="185" s="1"/>
  <c r="FW58" i="185"/>
  <c r="DW57" i="186"/>
  <c r="DY57" i="186" s="1"/>
  <c r="DV58" i="184"/>
  <c r="DX58" i="184" s="1"/>
  <c r="DO73" i="185"/>
  <c r="DQ73" i="185" s="1"/>
  <c r="DP76" i="185"/>
  <c r="DR76" i="185" s="1"/>
  <c r="DP83" i="183"/>
  <c r="DR83" i="183" s="1"/>
  <c r="DW60" i="186"/>
  <c r="DY60" i="186" s="1"/>
  <c r="K30" i="183"/>
  <c r="J30" i="183"/>
  <c r="L30" i="183"/>
  <c r="BU30" i="183" s="1"/>
  <c r="DO59" i="186"/>
  <c r="DQ59" i="186" s="1"/>
  <c r="DP57" i="184"/>
  <c r="DR57" i="184" s="1"/>
  <c r="DJ82" i="183"/>
  <c r="EW82" i="183"/>
  <c r="EU42" i="183" s="1"/>
  <c r="DP64" i="186"/>
  <c r="DR64" i="186" s="1"/>
  <c r="DO72" i="185"/>
  <c r="DQ72" i="185" s="1"/>
  <c r="DW61" i="185"/>
  <c r="DY61" i="185" s="1"/>
  <c r="DO63" i="184"/>
  <c r="DQ63" i="184" s="1"/>
  <c r="DP65" i="186"/>
  <c r="DR65" i="186" s="1"/>
  <c r="EW58" i="186"/>
  <c r="EU18" i="186" s="1"/>
  <c r="DJ58" i="186"/>
  <c r="DW54" i="186"/>
  <c r="DY54" i="186" s="1"/>
  <c r="EQ43" i="183"/>
  <c r="DJ60" i="186"/>
  <c r="EW60" i="186"/>
  <c r="EU20" i="186" s="1"/>
  <c r="DV76" i="183"/>
  <c r="DX76" i="183" s="1"/>
  <c r="DO74" i="183"/>
  <c r="DQ74" i="183" s="1"/>
  <c r="EW68" i="183"/>
  <c r="EU28" i="183" s="1"/>
  <c r="EQ28" i="183" s="1"/>
  <c r="DJ68" i="183"/>
  <c r="DW79" i="185"/>
  <c r="DY79" i="185" s="1"/>
  <c r="DW63" i="185"/>
  <c r="DY63" i="185" s="1"/>
  <c r="EV61" i="186"/>
  <c r="ET21" i="186" s="1"/>
  <c r="EQ21" i="186" s="1"/>
  <c r="DD61" i="186"/>
  <c r="DP62" i="186"/>
  <c r="DR62" i="186" s="1"/>
  <c r="DV65" i="184"/>
  <c r="DX65" i="184" s="1"/>
  <c r="J22" i="186"/>
  <c r="K22" i="186" s="1"/>
  <c r="L22" i="186"/>
  <c r="L29" i="183"/>
  <c r="J29" i="183"/>
  <c r="K29" i="183" s="1"/>
  <c r="DO60" i="184"/>
  <c r="DQ60" i="184" s="1"/>
  <c r="DW75" i="183"/>
  <c r="DY75" i="183" s="1"/>
  <c r="I30" i="183"/>
  <c r="G30" i="183"/>
  <c r="H30" i="183" s="1"/>
  <c r="FW56" i="183"/>
  <c r="DK70" i="183"/>
  <c r="FL56" i="183" s="1"/>
  <c r="FT56" i="183" s="1"/>
  <c r="DW67" i="186"/>
  <c r="DY67" i="186" s="1"/>
  <c r="DW82" i="183"/>
  <c r="DY82" i="183" s="1"/>
  <c r="DO74" i="184"/>
  <c r="DQ74" i="184" s="1"/>
  <c r="DV55" i="184"/>
  <c r="DX55" i="184" s="1"/>
  <c r="DP55" i="185"/>
  <c r="DR55" i="185" s="1"/>
  <c r="DW69" i="185"/>
  <c r="DY69" i="185" s="1"/>
  <c r="DD55" i="184"/>
  <c r="EV55" i="184"/>
  <c r="ET15" i="184" s="1"/>
  <c r="EW66" i="186"/>
  <c r="EU26" i="186" s="1"/>
  <c r="EQ26" i="186" s="1"/>
  <c r="DJ66" i="186"/>
  <c r="DP59" i="185"/>
  <c r="DR59" i="185" s="1"/>
  <c r="DO58" i="186"/>
  <c r="DQ58" i="186" s="1"/>
  <c r="DP80" i="183"/>
  <c r="DR80" i="183" s="1"/>
  <c r="DO70" i="186"/>
  <c r="DQ70" i="186" s="1"/>
  <c r="DP73" i="183"/>
  <c r="DR73" i="183" s="1"/>
  <c r="DO55" i="186"/>
  <c r="DQ55" i="186" s="1"/>
  <c r="DO69" i="186"/>
  <c r="DQ69" i="186" s="1"/>
  <c r="DV60" i="185"/>
  <c r="DX60" i="185" s="1"/>
  <c r="DO79" i="183"/>
  <c r="DQ79" i="183" s="1"/>
  <c r="DO77" i="185"/>
  <c r="DQ77" i="185" s="1"/>
  <c r="DV60" i="184"/>
  <c r="DX60" i="184" s="1"/>
  <c r="EV59" i="185"/>
  <c r="ET19" i="185" s="1"/>
  <c r="DD59" i="185"/>
  <c r="DD80" i="183"/>
  <c r="EV80" i="183"/>
  <c r="ET40" i="183" s="1"/>
  <c r="DP68" i="184"/>
  <c r="DR68" i="184" s="1"/>
  <c r="EV70" i="186"/>
  <c r="ET30" i="186" s="1"/>
  <c r="DD70" i="186"/>
  <c r="DO72" i="184"/>
  <c r="DQ72" i="184" s="1"/>
  <c r="DP58" i="185"/>
  <c r="DR58" i="185" s="1"/>
  <c r="EV54" i="184"/>
  <c r="ET14" i="184" s="1"/>
  <c r="EQ14" i="184" s="1"/>
  <c r="DD54" i="184"/>
  <c r="DD66" i="185"/>
  <c r="EV66" i="185"/>
  <c r="ET26" i="185" s="1"/>
  <c r="EQ26" i="185" s="1"/>
  <c r="J20" i="184"/>
  <c r="L20" i="184"/>
  <c r="BU20" i="184" s="1"/>
  <c r="K20" i="184"/>
  <c r="DO80" i="185"/>
  <c r="DQ80" i="185" s="1"/>
  <c r="G32" i="183"/>
  <c r="H32" i="183" s="1"/>
  <c r="EV54" i="185"/>
  <c r="ET14" i="185" s="1"/>
  <c r="EQ14" i="185" s="1"/>
  <c r="DD54" i="185"/>
  <c r="L23" i="184"/>
  <c r="J23" i="184"/>
  <c r="K23" i="184" s="1"/>
  <c r="DW58" i="186"/>
  <c r="DY58" i="186" s="1"/>
  <c r="DW83" i="183"/>
  <c r="DY83" i="183" s="1"/>
  <c r="DV57" i="186"/>
  <c r="DX57" i="186" s="1"/>
  <c r="DW58" i="184"/>
  <c r="DY58" i="184" s="1"/>
  <c r="DP73" i="185"/>
  <c r="DR73" i="185" s="1"/>
  <c r="G38" i="185"/>
  <c r="H38" i="185" s="1"/>
  <c r="I38" i="185"/>
  <c r="FW78" i="185"/>
  <c r="DO54" i="185"/>
  <c r="DQ54" i="185" s="1"/>
  <c r="DO71" i="183"/>
  <c r="DQ71" i="183" s="1"/>
  <c r="DP72" i="186"/>
  <c r="DR72" i="186" s="1"/>
  <c r="DP68" i="183"/>
  <c r="DR68" i="183" s="1"/>
  <c r="DP59" i="186"/>
  <c r="DR59" i="186" s="1"/>
  <c r="DO57" i="184"/>
  <c r="DQ57" i="184" s="1"/>
  <c r="DJ57" i="185"/>
  <c r="EW57" i="185"/>
  <c r="EU17" i="185" s="1"/>
  <c r="DO64" i="186"/>
  <c r="DQ64" i="186" s="1"/>
  <c r="DP72" i="185"/>
  <c r="DR72" i="185" s="1"/>
  <c r="DV61" i="185"/>
  <c r="DX61" i="185" s="1"/>
  <c r="DP63" i="184"/>
  <c r="DR63" i="184" s="1"/>
  <c r="DV56" i="185"/>
  <c r="DX56" i="185" s="1"/>
  <c r="DD76" i="185"/>
  <c r="EV76" i="185"/>
  <c r="ET36" i="185" s="1"/>
  <c r="DV81" i="183"/>
  <c r="DX81" i="183" s="1"/>
  <c r="DD72" i="186"/>
  <c r="EV72" i="186"/>
  <c r="ET32" i="186" s="1"/>
  <c r="DW76" i="183"/>
  <c r="DY76" i="183" s="1"/>
  <c r="DP74" i="183"/>
  <c r="DR74" i="183" s="1"/>
  <c r="DV68" i="186"/>
  <c r="DX68" i="186" s="1"/>
  <c r="EW80" i="184"/>
  <c r="EU40" i="184" s="1"/>
  <c r="DJ80" i="184"/>
  <c r="DV72" i="186"/>
  <c r="DX72" i="186" s="1"/>
  <c r="DP60" i="184"/>
  <c r="DR60" i="184" s="1"/>
  <c r="I36" i="184"/>
  <c r="G36" i="184"/>
  <c r="H36" i="184" s="1"/>
  <c r="FW76" i="184"/>
  <c r="DK76" i="184"/>
  <c r="FL76" i="184" s="1"/>
  <c r="FT76" i="184" s="1"/>
  <c r="DW65" i="186"/>
  <c r="DY65" i="186" s="1"/>
  <c r="DW54" i="185"/>
  <c r="DY54" i="185" s="1"/>
  <c r="DP74" i="184"/>
  <c r="DR74" i="184" s="1"/>
  <c r="EQ29" i="186"/>
  <c r="DW55" i="184"/>
  <c r="DY55" i="184" s="1"/>
  <c r="DO55" i="185"/>
  <c r="DQ55" i="185" s="1"/>
  <c r="DV69" i="185"/>
  <c r="DX69" i="185" s="1"/>
  <c r="EV60" i="184"/>
  <c r="ET20" i="184" s="1"/>
  <c r="EQ20" i="184" s="1"/>
  <c r="DD60" i="184"/>
  <c r="DV58" i="185"/>
  <c r="DX58" i="185" s="1"/>
  <c r="DO78" i="184"/>
  <c r="DQ78" i="184" s="1"/>
  <c r="DW64" i="185"/>
  <c r="DY64" i="185" s="1"/>
  <c r="DO59" i="185"/>
  <c r="DQ59" i="185" s="1"/>
  <c r="DP58" i="186"/>
  <c r="DR58" i="186" s="1"/>
  <c r="DO80" i="183"/>
  <c r="DQ80" i="183" s="1"/>
  <c r="DV64" i="184"/>
  <c r="DX64" i="184" s="1"/>
  <c r="DV71" i="183"/>
  <c r="DX71" i="183" s="1"/>
  <c r="DP56" i="186"/>
  <c r="DR56" i="186" s="1"/>
  <c r="DW73" i="185"/>
  <c r="DY73" i="185" s="1"/>
  <c r="DP55" i="186"/>
  <c r="DR55" i="186" s="1"/>
  <c r="DP69" i="186"/>
  <c r="DR69" i="186" s="1"/>
  <c r="DW60" i="185"/>
  <c r="DY60" i="185" s="1"/>
  <c r="DP79" i="183"/>
  <c r="DR79" i="183" s="1"/>
  <c r="DW60" i="184"/>
  <c r="DY60" i="184" s="1"/>
  <c r="EV60" i="185"/>
  <c r="ET20" i="185" s="1"/>
  <c r="DD60" i="185"/>
  <c r="DD82" i="183"/>
  <c r="EV82" i="183"/>
  <c r="ET42" i="183" s="1"/>
  <c r="J36" i="185"/>
  <c r="K36" i="185" s="1"/>
  <c r="L36" i="185"/>
  <c r="DP66" i="185"/>
  <c r="DR66" i="185" s="1"/>
  <c r="DV68" i="185"/>
  <c r="DX68" i="185" s="1"/>
  <c r="DD73" i="183"/>
  <c r="EV73" i="183"/>
  <c r="ET33" i="183" s="1"/>
  <c r="EQ33" i="183" s="1"/>
  <c r="DO58" i="185"/>
  <c r="DQ58" i="185" s="1"/>
  <c r="EV56" i="186"/>
  <c r="ET16" i="186" s="1"/>
  <c r="DD56" i="186"/>
  <c r="FP24" i="147"/>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EC71" i="84" s="1"/>
  <c r="W3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R35" i="147"/>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FW68" i="184" l="1"/>
  <c r="G28" i="184"/>
  <c r="H28" i="184" s="1"/>
  <c r="DK68" i="184"/>
  <c r="FL68" i="184" s="1"/>
  <c r="FT68" i="184" s="1"/>
  <c r="EQ31" i="186"/>
  <c r="EQ29" i="183"/>
  <c r="EQ28" i="185"/>
  <c r="J25" i="185"/>
  <c r="K25" i="185" s="1"/>
  <c r="DK74" i="183"/>
  <c r="FL60" i="183" s="1"/>
  <c r="FT60" i="183" s="1"/>
  <c r="EN38" i="185"/>
  <c r="FW60" i="183"/>
  <c r="I34" i="183"/>
  <c r="BS34" i="183" s="1"/>
  <c r="DK77" i="185"/>
  <c r="FL77" i="185" s="1"/>
  <c r="FT77" i="185" s="1"/>
  <c r="FY77" i="185" s="1"/>
  <c r="GA77" i="185" s="1"/>
  <c r="J23" i="185"/>
  <c r="K23" i="185" s="1"/>
  <c r="EQ36" i="185"/>
  <c r="FW56" i="184"/>
  <c r="DK56" i="184"/>
  <c r="FL56" i="184" s="1"/>
  <c r="FT56" i="184" s="1"/>
  <c r="EQ15" i="184"/>
  <c r="EQ23" i="184"/>
  <c r="EQ30" i="185"/>
  <c r="I32" i="183"/>
  <c r="DK72" i="183"/>
  <c r="FL58" i="183" s="1"/>
  <c r="FT58" i="183" s="1"/>
  <c r="FY58" i="183" s="1"/>
  <c r="GA58" i="183" s="1"/>
  <c r="EQ23" i="186"/>
  <c r="EQ20" i="185"/>
  <c r="EN39" i="184"/>
  <c r="EQ16" i="186"/>
  <c r="FW64" i="185"/>
  <c r="G24" i="185"/>
  <c r="H24" i="185" s="1"/>
  <c r="EO31" i="183"/>
  <c r="DK64" i="185"/>
  <c r="FL64" i="185" s="1"/>
  <c r="FT64" i="185" s="1"/>
  <c r="FW78" i="184"/>
  <c r="L18" i="185"/>
  <c r="BU18" i="185" s="1"/>
  <c r="I38" i="184"/>
  <c r="BS38" i="184" s="1"/>
  <c r="DK78" i="184"/>
  <c r="FL78" i="184" s="1"/>
  <c r="FT78" i="184" s="1"/>
  <c r="J18" i="185"/>
  <c r="K18" i="185"/>
  <c r="L28" i="186"/>
  <c r="EQ26" i="184"/>
  <c r="EQ15" i="185"/>
  <c r="EQ32" i="185"/>
  <c r="DK62" i="184"/>
  <c r="FL62" i="184" s="1"/>
  <c r="FT62" i="184" s="1"/>
  <c r="FY62" i="184" s="1"/>
  <c r="GA62" i="184" s="1"/>
  <c r="I22" i="184"/>
  <c r="J21" i="184"/>
  <c r="K21" i="184" s="1"/>
  <c r="L23" i="185"/>
  <c r="DK67" i="186"/>
  <c r="FL67" i="186" s="1"/>
  <c r="FT67" i="186" s="1"/>
  <c r="G22" i="184"/>
  <c r="H22" i="184" s="1"/>
  <c r="FW67" i="186"/>
  <c r="EQ39" i="185"/>
  <c r="J37" i="185"/>
  <c r="K37" i="185" s="1"/>
  <c r="G27" i="186"/>
  <c r="H27" i="186" s="1"/>
  <c r="FW69" i="186"/>
  <c r="FW66" i="186"/>
  <c r="G29" i="186"/>
  <c r="H29" i="186" s="1"/>
  <c r="EQ22" i="185"/>
  <c r="L21" i="186"/>
  <c r="BU21" i="186" s="1"/>
  <c r="G26" i="186"/>
  <c r="H26" i="186" s="1"/>
  <c r="DK66" i="186"/>
  <c r="FL66" i="186" s="1"/>
  <c r="FT66" i="186" s="1"/>
  <c r="H43" i="183"/>
  <c r="I43" i="183"/>
  <c r="BS43" i="183" s="1"/>
  <c r="FW71" i="185"/>
  <c r="FW54" i="183"/>
  <c r="I31" i="185"/>
  <c r="BS31" i="185" s="1"/>
  <c r="G28" i="183"/>
  <c r="H28" i="183" s="1"/>
  <c r="DK71" i="185"/>
  <c r="FL71" i="185" s="1"/>
  <c r="FT71" i="185" s="1"/>
  <c r="DK83" i="183"/>
  <c r="FL69" i="183" s="1"/>
  <c r="FL70" i="183" s="1"/>
  <c r="FL71" i="183" s="1"/>
  <c r="FL72" i="183" s="1"/>
  <c r="FL73" i="183" s="1"/>
  <c r="FL74" i="183" s="1"/>
  <c r="FL75" i="183" s="1"/>
  <c r="FL76" i="183" s="1"/>
  <c r="FL77" i="183" s="1"/>
  <c r="FL78" i="183" s="1"/>
  <c r="FL79" i="183" s="1"/>
  <c r="FL80" i="183" s="1"/>
  <c r="FL81" i="183" s="1"/>
  <c r="FL82" i="183" s="1"/>
  <c r="FL83" i="183" s="1"/>
  <c r="FL84" i="183" s="1"/>
  <c r="FL85" i="183" s="1"/>
  <c r="EQ38" i="185"/>
  <c r="EN36" i="183"/>
  <c r="EQ35" i="185"/>
  <c r="FW65" i="183"/>
  <c r="DK79" i="183"/>
  <c r="FL65" i="183" s="1"/>
  <c r="FT65" i="183" s="1"/>
  <c r="G39" i="183"/>
  <c r="H39" i="183" s="1"/>
  <c r="EQ30" i="186"/>
  <c r="FW65" i="184"/>
  <c r="G25" i="184"/>
  <c r="H25" i="184" s="1"/>
  <c r="EN14" i="185"/>
  <c r="EQ25" i="186"/>
  <c r="EO29" i="185"/>
  <c r="EQ42" i="183"/>
  <c r="EN26" i="186"/>
  <c r="EN14" i="186"/>
  <c r="DK73" i="185"/>
  <c r="FL73" i="185" s="1"/>
  <c r="FT73" i="185" s="1"/>
  <c r="EO28" i="185"/>
  <c r="FW73" i="185"/>
  <c r="DK72" i="184"/>
  <c r="FL72" i="184" s="1"/>
  <c r="FT72" i="184" s="1"/>
  <c r="FY72" i="184" s="1"/>
  <c r="GJ72" i="184" s="1"/>
  <c r="FV72" i="184" s="1"/>
  <c r="EO40" i="184"/>
  <c r="DK74" i="185"/>
  <c r="FL74" i="185" s="1"/>
  <c r="FT74" i="185" s="1"/>
  <c r="EN15" i="184"/>
  <c r="G33" i="185"/>
  <c r="H33" i="185" s="1"/>
  <c r="L32" i="184"/>
  <c r="BU32" i="184" s="1"/>
  <c r="FW74" i="185"/>
  <c r="G34" i="185"/>
  <c r="H34" i="185" s="1"/>
  <c r="EQ24" i="184"/>
  <c r="EO34" i="185"/>
  <c r="EO25" i="185"/>
  <c r="EQ18" i="184"/>
  <c r="EO28" i="186"/>
  <c r="EO21" i="185"/>
  <c r="EO18" i="186"/>
  <c r="EQ17" i="186"/>
  <c r="EN23" i="186"/>
  <c r="EN32" i="183"/>
  <c r="EN27" i="184"/>
  <c r="EN22" i="185"/>
  <c r="EN34" i="185"/>
  <c r="EN38" i="184"/>
  <c r="EN24" i="186"/>
  <c r="EN31" i="186"/>
  <c r="EN29" i="184"/>
  <c r="BS23" i="184"/>
  <c r="EN25" i="185"/>
  <c r="EN19" i="185"/>
  <c r="EN42" i="183"/>
  <c r="BS38" i="185"/>
  <c r="FY62" i="185"/>
  <c r="GJ62" i="185" s="1"/>
  <c r="FV62" i="185" s="1"/>
  <c r="FY75" i="185"/>
  <c r="GB75" i="185" s="1"/>
  <c r="FY58" i="185"/>
  <c r="GB58" i="185" s="1"/>
  <c r="FY63" i="185"/>
  <c r="GB63" i="185" s="1"/>
  <c r="EO16" i="185"/>
  <c r="EN33" i="184"/>
  <c r="EO15" i="186"/>
  <c r="EO16" i="184"/>
  <c r="EN18" i="184"/>
  <c r="EO36" i="184"/>
  <c r="EN16" i="185"/>
  <c r="FY57" i="183"/>
  <c r="GA57" i="183" s="1"/>
  <c r="EO29" i="186"/>
  <c r="FY61" i="185"/>
  <c r="GJ61" i="185" s="1"/>
  <c r="FV61" i="185" s="1"/>
  <c r="EO33" i="184"/>
  <c r="EN35" i="185"/>
  <c r="EO14" i="184"/>
  <c r="EN38" i="183"/>
  <c r="EO36" i="185"/>
  <c r="BU26" i="184"/>
  <c r="EO24" i="184"/>
  <c r="EO17" i="186"/>
  <c r="EN15" i="186"/>
  <c r="BS39" i="184"/>
  <c r="BS19" i="186"/>
  <c r="EO37" i="184"/>
  <c r="EO28" i="184"/>
  <c r="EN30" i="184"/>
  <c r="EN20" i="185"/>
  <c r="EO34" i="184"/>
  <c r="EN31" i="185"/>
  <c r="EN43" i="183"/>
  <c r="BU19" i="186"/>
  <c r="EN30" i="183"/>
  <c r="EO39" i="183"/>
  <c r="EO30" i="185"/>
  <c r="BS29" i="186"/>
  <c r="FY56" i="183"/>
  <c r="GJ56" i="183" s="1"/>
  <c r="FV56" i="183" s="1"/>
  <c r="EO42" i="183"/>
  <c r="EO14" i="186"/>
  <c r="FY64" i="186"/>
  <c r="GB64" i="186" s="1"/>
  <c r="EO19" i="186"/>
  <c r="EN36" i="184"/>
  <c r="EO23" i="186"/>
  <c r="EN24" i="184"/>
  <c r="EO38" i="184"/>
  <c r="EO29" i="183"/>
  <c r="EO17" i="185"/>
  <c r="BU23" i="184"/>
  <c r="EO41" i="183"/>
  <c r="EN39" i="183"/>
  <c r="EO21" i="186"/>
  <c r="BU36" i="184"/>
  <c r="EO30" i="184"/>
  <c r="EN21" i="184"/>
  <c r="EN26" i="184"/>
  <c r="EO25" i="186"/>
  <c r="EN19" i="184"/>
  <c r="EO32" i="184"/>
  <c r="EN17" i="184"/>
  <c r="EQ19" i="185"/>
  <c r="EN32" i="185"/>
  <c r="FY59" i="186"/>
  <c r="GA59" i="186" s="1"/>
  <c r="BU34" i="183"/>
  <c r="EN29" i="185"/>
  <c r="EN16" i="184"/>
  <c r="EN40" i="184"/>
  <c r="EO15" i="185"/>
  <c r="EN30" i="186"/>
  <c r="EO15" i="184"/>
  <c r="BS18" i="185"/>
  <c r="EO28" i="183"/>
  <c r="EO32" i="185"/>
  <c r="EO30" i="186"/>
  <c r="FY62" i="186"/>
  <c r="GA62" i="186" s="1"/>
  <c r="EO35" i="184"/>
  <c r="EO35" i="185"/>
  <c r="FY55" i="183"/>
  <c r="GA55" i="183" s="1"/>
  <c r="EC68" i="186"/>
  <c r="S28" i="186"/>
  <c r="T28" i="186" s="1"/>
  <c r="S41" i="183"/>
  <c r="EC81" i="183"/>
  <c r="EC75" i="183"/>
  <c r="S35" i="183"/>
  <c r="T35" i="183" s="1"/>
  <c r="EC67" i="185"/>
  <c r="S27" i="185"/>
  <c r="U17" i="184"/>
  <c r="V17" i="184" s="1"/>
  <c r="EC57" i="186"/>
  <c r="S17" i="186"/>
  <c r="U22" i="186"/>
  <c r="V22" i="186" s="1"/>
  <c r="EC72" i="186"/>
  <c r="S32" i="186"/>
  <c r="T32" i="186" s="1"/>
  <c r="U18" i="186"/>
  <c r="V18" i="186" s="1"/>
  <c r="EN29" i="186"/>
  <c r="S33" i="183"/>
  <c r="T33" i="183" s="1"/>
  <c r="EC73" i="183"/>
  <c r="S15" i="185"/>
  <c r="T15" i="185" s="1"/>
  <c r="EC55" i="185"/>
  <c r="EO36" i="183"/>
  <c r="EC61" i="185"/>
  <c r="S21" i="185"/>
  <c r="T21" i="185" s="1"/>
  <c r="U34" i="183"/>
  <c r="EC67" i="186"/>
  <c r="S27" i="186"/>
  <c r="EN14" i="184"/>
  <c r="EN21" i="185"/>
  <c r="U32" i="183"/>
  <c r="EC79" i="184"/>
  <c r="S39" i="184"/>
  <c r="T39" i="184" s="1"/>
  <c r="U38" i="183"/>
  <c r="U26" i="185"/>
  <c r="V26" i="185" s="1"/>
  <c r="EC54" i="186"/>
  <c r="S14" i="186"/>
  <c r="S17" i="185"/>
  <c r="T17" i="185" s="1"/>
  <c r="EC57" i="185"/>
  <c r="EC68" i="185"/>
  <c r="S28" i="185"/>
  <c r="T28" i="185" s="1"/>
  <c r="EC72" i="183"/>
  <c r="S32" i="183"/>
  <c r="T32" i="183" s="1"/>
  <c r="EC69" i="184"/>
  <c r="S29" i="184"/>
  <c r="U28" i="185"/>
  <c r="V28" i="185" s="1"/>
  <c r="EC58" i="186"/>
  <c r="S18" i="186"/>
  <c r="T18" i="186" s="1"/>
  <c r="EC60" i="184"/>
  <c r="S20" i="184"/>
  <c r="T20" i="184" s="1"/>
  <c r="EC63" i="184"/>
  <c r="S23" i="184"/>
  <c r="T23" i="184" s="1"/>
  <c r="EC59" i="186"/>
  <c r="S19" i="186"/>
  <c r="EO35" i="183"/>
  <c r="U38" i="185"/>
  <c r="EC59" i="184"/>
  <c r="S19" i="184"/>
  <c r="T19" i="184" s="1"/>
  <c r="U31" i="183"/>
  <c r="EC79" i="185"/>
  <c r="S39" i="185"/>
  <c r="T39" i="185" s="1"/>
  <c r="EC69" i="186"/>
  <c r="S29" i="186"/>
  <c r="T29" i="186" s="1"/>
  <c r="U25" i="186"/>
  <c r="U43" i="183"/>
  <c r="V43" i="183" s="1"/>
  <c r="U27" i="186"/>
  <c r="U35" i="183"/>
  <c r="V35" i="183" s="1"/>
  <c r="U19" i="186"/>
  <c r="V19" i="186" s="1"/>
  <c r="EC60" i="186"/>
  <c r="S20" i="186"/>
  <c r="T20" i="186" s="1"/>
  <c r="EN41" i="183"/>
  <c r="EC76" i="184"/>
  <c r="S36" i="184"/>
  <c r="EC71" i="184"/>
  <c r="S31" i="184"/>
  <c r="T31" i="184" s="1"/>
  <c r="EC61" i="186"/>
  <c r="S21" i="186"/>
  <c r="T21" i="186" s="1"/>
  <c r="U20" i="185"/>
  <c r="EC70" i="185"/>
  <c r="S30" i="185"/>
  <c r="T30" i="185" s="1"/>
  <c r="EC68" i="183"/>
  <c r="S28" i="183"/>
  <c r="T28" i="183" s="1"/>
  <c r="EN35" i="184"/>
  <c r="U33" i="185"/>
  <c r="V33" i="185" s="1"/>
  <c r="U18" i="184"/>
  <c r="V18" i="184" s="1"/>
  <c r="EN23" i="184"/>
  <c r="EN27" i="186"/>
  <c r="EN24" i="185"/>
  <c r="EO39" i="184"/>
  <c r="EO38" i="183"/>
  <c r="EC56" i="185"/>
  <c r="S16" i="185"/>
  <c r="T16" i="185" s="1"/>
  <c r="S14" i="185"/>
  <c r="T14" i="185" s="1"/>
  <c r="EC54" i="185"/>
  <c r="EC75" i="184"/>
  <c r="S35" i="184"/>
  <c r="U27" i="184"/>
  <c r="V27" i="184" s="1"/>
  <c r="U26" i="186"/>
  <c r="V26" i="186" s="1"/>
  <c r="U26" i="184"/>
  <c r="V26" i="184" s="1"/>
  <c r="U36" i="183"/>
  <c r="V36" i="183" s="1"/>
  <c r="EO20" i="185"/>
  <c r="EN18" i="186"/>
  <c r="EC62" i="186"/>
  <c r="S22" i="186"/>
  <c r="EN19" i="186"/>
  <c r="EO18" i="184"/>
  <c r="EC54" i="184"/>
  <c r="S14" i="184"/>
  <c r="T14" i="184" s="1"/>
  <c r="U25" i="184"/>
  <c r="V25" i="184" s="1"/>
  <c r="S26" i="184"/>
  <c r="T26" i="184" s="1"/>
  <c r="EC66" i="184"/>
  <c r="EN30" i="185"/>
  <c r="EO27" i="184"/>
  <c r="U17" i="185"/>
  <c r="V17" i="185" s="1"/>
  <c r="EC66" i="186"/>
  <c r="S26" i="186"/>
  <c r="T26" i="186" s="1"/>
  <c r="EC63" i="186"/>
  <c r="S23" i="186"/>
  <c r="EO33" i="185"/>
  <c r="U23" i="185"/>
  <c r="U29" i="183"/>
  <c r="U21" i="184"/>
  <c r="V21" i="184" s="1"/>
  <c r="EC79" i="183"/>
  <c r="S39" i="183"/>
  <c r="EC74" i="183"/>
  <c r="S34" i="183"/>
  <c r="T34" i="183" s="1"/>
  <c r="EC58" i="185"/>
  <c r="S18" i="185"/>
  <c r="T18" i="185" s="1"/>
  <c r="U29" i="185"/>
  <c r="EN20" i="184"/>
  <c r="EO43" i="183"/>
  <c r="EN33" i="183"/>
  <c r="EC64" i="185"/>
  <c r="S24" i="185"/>
  <c r="EC77" i="184"/>
  <c r="S37" i="184"/>
  <c r="T37" i="184" s="1"/>
  <c r="U39" i="184"/>
  <c r="V39" i="184" s="1"/>
  <c r="U19" i="184"/>
  <c r="V19" i="184" s="1"/>
  <c r="EO17" i="184"/>
  <c r="U32" i="184"/>
  <c r="V32" i="184" s="1"/>
  <c r="U37" i="185"/>
  <c r="U18" i="185"/>
  <c r="V18" i="185" s="1"/>
  <c r="EN15" i="185"/>
  <c r="I30" i="186"/>
  <c r="G30" i="186"/>
  <c r="H30" i="186" s="1"/>
  <c r="FW70" i="186"/>
  <c r="DK70" i="186"/>
  <c r="FL70" i="186" s="1"/>
  <c r="FT70" i="186" s="1"/>
  <c r="U42" i="183"/>
  <c r="V42" i="183" s="1"/>
  <c r="U14" i="186"/>
  <c r="U14" i="184"/>
  <c r="V14" i="184" s="1"/>
  <c r="U22" i="184"/>
  <c r="V22" i="184" s="1"/>
  <c r="EQ40" i="184"/>
  <c r="EO26" i="186"/>
  <c r="J29" i="186"/>
  <c r="K29" i="186" s="1"/>
  <c r="L29" i="186"/>
  <c r="EO26" i="184"/>
  <c r="G15" i="184"/>
  <c r="H15" i="184" s="1"/>
  <c r="I15" i="184"/>
  <c r="FW55" i="184"/>
  <c r="DK55" i="184"/>
  <c r="FL55" i="184" s="1"/>
  <c r="FT55" i="184" s="1"/>
  <c r="BU29" i="183"/>
  <c r="I21" i="186"/>
  <c r="G21" i="186"/>
  <c r="H21" i="186" s="1"/>
  <c r="FW61" i="186"/>
  <c r="DK61" i="186"/>
  <c r="FL61" i="186" s="1"/>
  <c r="FT61" i="186" s="1"/>
  <c r="L28" i="183"/>
  <c r="J28" i="183"/>
  <c r="K28" i="183" s="1"/>
  <c r="L18" i="186"/>
  <c r="BU18" i="186" s="1"/>
  <c r="K18" i="186"/>
  <c r="J18" i="186"/>
  <c r="BU25" i="185"/>
  <c r="EC76" i="185"/>
  <c r="S36" i="185"/>
  <c r="T36" i="185" s="1"/>
  <c r="I24" i="184"/>
  <c r="G24" i="184"/>
  <c r="H24" i="184" s="1"/>
  <c r="FW64" i="184"/>
  <c r="DK64" i="184"/>
  <c r="FL64" i="184" s="1"/>
  <c r="FT64" i="184" s="1"/>
  <c r="K35" i="183"/>
  <c r="J35" i="183"/>
  <c r="L35" i="183"/>
  <c r="BU35" i="183" s="1"/>
  <c r="G30" i="185"/>
  <c r="H30" i="185" s="1"/>
  <c r="I30" i="185"/>
  <c r="FW70" i="185"/>
  <c r="DK70" i="185"/>
  <c r="FL70" i="185" s="1"/>
  <c r="FT70" i="185" s="1"/>
  <c r="BU23" i="186"/>
  <c r="BS17" i="186"/>
  <c r="BS25" i="186"/>
  <c r="EO32" i="183"/>
  <c r="S30" i="183"/>
  <c r="EC70" i="183"/>
  <c r="U15" i="186"/>
  <c r="V15" i="186" s="1"/>
  <c r="U40" i="185"/>
  <c r="V40" i="185" s="1"/>
  <c r="U22" i="185"/>
  <c r="J27" i="185"/>
  <c r="K27" i="185"/>
  <c r="L27" i="185"/>
  <c r="BU27" i="185" s="1"/>
  <c r="BS22" i="186"/>
  <c r="G23" i="186"/>
  <c r="H23" i="186" s="1"/>
  <c r="I23" i="186"/>
  <c r="FW63" i="186"/>
  <c r="DK63" i="186"/>
  <c r="FL63" i="186" s="1"/>
  <c r="FT63" i="186" s="1"/>
  <c r="G29" i="185"/>
  <c r="H29" i="185" s="1"/>
  <c r="I29" i="185"/>
  <c r="FW69" i="185"/>
  <c r="DK69" i="185"/>
  <c r="FL69" i="185" s="1"/>
  <c r="FT69" i="185" s="1"/>
  <c r="U15" i="185"/>
  <c r="EO40" i="185"/>
  <c r="J27" i="184"/>
  <c r="K27" i="184" s="1"/>
  <c r="L27" i="184"/>
  <c r="EC82" i="183"/>
  <c r="S42" i="183"/>
  <c r="T42" i="183" s="1"/>
  <c r="BU15" i="186"/>
  <c r="U17" i="186"/>
  <c r="V17" i="186" s="1"/>
  <c r="EC78" i="184"/>
  <c r="S38" i="184"/>
  <c r="EC72" i="184"/>
  <c r="S32" i="184"/>
  <c r="T32" i="184" s="1"/>
  <c r="EC77" i="185"/>
  <c r="S37" i="185"/>
  <c r="U33" i="184"/>
  <c r="V33" i="184" s="1"/>
  <c r="L14" i="186"/>
  <c r="J14" i="186"/>
  <c r="K14" i="186" s="1"/>
  <c r="L25" i="184"/>
  <c r="J25" i="184"/>
  <c r="K25" i="184" s="1"/>
  <c r="U38" i="184"/>
  <c r="V38" i="184" s="1"/>
  <c r="BS35" i="184"/>
  <c r="EC78" i="185"/>
  <c r="S38" i="185"/>
  <c r="T38" i="185" s="1"/>
  <c r="I20" i="184"/>
  <c r="G20" i="184"/>
  <c r="H20" i="184" s="1"/>
  <c r="FW60" i="184"/>
  <c r="DK60" i="184"/>
  <c r="FL60" i="184" s="1"/>
  <c r="FT60" i="184" s="1"/>
  <c r="BS36" i="184"/>
  <c r="G42" i="183"/>
  <c r="H42" i="183" s="1"/>
  <c r="I42" i="183"/>
  <c r="FW68" i="183"/>
  <c r="DK82" i="183"/>
  <c r="FL68" i="183" s="1"/>
  <c r="FT68" i="183" s="1"/>
  <c r="U15" i="184"/>
  <c r="V15" i="184" s="1"/>
  <c r="EN31" i="183"/>
  <c r="G14" i="185"/>
  <c r="H14" i="185" s="1"/>
  <c r="I14" i="185"/>
  <c r="FW54" i="185"/>
  <c r="DK54" i="185"/>
  <c r="FL54" i="185" s="1"/>
  <c r="FT54" i="185" s="1"/>
  <c r="BS32" i="183"/>
  <c r="EO20" i="184"/>
  <c r="EC59" i="185"/>
  <c r="S19" i="185"/>
  <c r="T19" i="185" s="1"/>
  <c r="BU22" i="186"/>
  <c r="EC73" i="184"/>
  <c r="S33" i="184"/>
  <c r="L28" i="184"/>
  <c r="J28" i="184"/>
  <c r="K28" i="184" s="1"/>
  <c r="L32" i="186"/>
  <c r="J32" i="186"/>
  <c r="K32" i="186" s="1"/>
  <c r="BS16" i="184"/>
  <c r="BU28" i="186"/>
  <c r="EC55" i="184"/>
  <c r="S15" i="184"/>
  <c r="T15" i="184" s="1"/>
  <c r="EC63" i="185"/>
  <c r="S23" i="185"/>
  <c r="T23" i="185" s="1"/>
  <c r="EQ40" i="185"/>
  <c r="K24" i="184"/>
  <c r="L24" i="184"/>
  <c r="BU24" i="184" s="1"/>
  <c r="J24" i="184"/>
  <c r="J35" i="185"/>
  <c r="K35" i="185" s="1"/>
  <c r="L35" i="185"/>
  <c r="G27" i="184"/>
  <c r="H27" i="184" s="1"/>
  <c r="I27" i="184"/>
  <c r="FW67" i="184"/>
  <c r="DK67" i="184"/>
  <c r="FL67" i="184" s="1"/>
  <c r="FT67" i="184" s="1"/>
  <c r="S38" i="183"/>
  <c r="T38" i="183" s="1"/>
  <c r="EC78" i="183"/>
  <c r="L22" i="184"/>
  <c r="J22" i="184"/>
  <c r="K22" i="184" s="1"/>
  <c r="U35" i="185"/>
  <c r="BS27" i="185"/>
  <c r="EC71" i="185"/>
  <c r="S31" i="185"/>
  <c r="T31" i="185" s="1"/>
  <c r="EQ29" i="185"/>
  <c r="EN35" i="183"/>
  <c r="EN27" i="185"/>
  <c r="U35" i="184"/>
  <c r="EC67" i="184"/>
  <c r="S27" i="184"/>
  <c r="I19" i="184"/>
  <c r="G19" i="184"/>
  <c r="H19" i="184" s="1"/>
  <c r="FW59" i="184"/>
  <c r="DK59" i="184"/>
  <c r="FL59" i="184" s="1"/>
  <c r="FT59" i="184" s="1"/>
  <c r="BS21" i="185"/>
  <c r="BU17" i="184"/>
  <c r="EN29" i="183"/>
  <c r="EC56" i="184"/>
  <c r="S16" i="184"/>
  <c r="T16" i="184" s="1"/>
  <c r="L38" i="185"/>
  <c r="BU38" i="185" s="1"/>
  <c r="K38" i="185"/>
  <c r="J38" i="185"/>
  <c r="J35" i="184"/>
  <c r="K35" i="184" s="1"/>
  <c r="L35" i="184"/>
  <c r="U19" i="185"/>
  <c r="EC80" i="185"/>
  <c r="S40" i="185"/>
  <c r="BU36" i="185"/>
  <c r="I20" i="185"/>
  <c r="G20" i="185"/>
  <c r="H20" i="185" s="1"/>
  <c r="FW60" i="185"/>
  <c r="DK60" i="185"/>
  <c r="FL60" i="185" s="1"/>
  <c r="FT60" i="185" s="1"/>
  <c r="EQ40" i="183"/>
  <c r="DK69" i="186"/>
  <c r="FL69" i="186" s="1"/>
  <c r="FT69" i="186" s="1"/>
  <c r="J19" i="185"/>
  <c r="K19" i="185" s="1"/>
  <c r="L19" i="185"/>
  <c r="L40" i="185"/>
  <c r="BU40" i="185" s="1"/>
  <c r="K40" i="185"/>
  <c r="J40" i="185"/>
  <c r="I26" i="184"/>
  <c r="G26" i="184"/>
  <c r="H26" i="184" s="1"/>
  <c r="FW66" i="184"/>
  <c r="DK66" i="184"/>
  <c r="FL66" i="184" s="1"/>
  <c r="FT66" i="184" s="1"/>
  <c r="BU24" i="186"/>
  <c r="I40" i="185"/>
  <c r="G40" i="185"/>
  <c r="H40" i="185" s="1"/>
  <c r="FW80" i="185"/>
  <c r="DK80" i="185"/>
  <c r="FL80" i="185" s="1"/>
  <c r="BU33" i="184"/>
  <c r="EO22" i="184"/>
  <c r="L15" i="184"/>
  <c r="J15" i="184"/>
  <c r="K15" i="184" s="1"/>
  <c r="EQ27" i="184"/>
  <c r="DK68" i="183"/>
  <c r="FL54" i="183" s="1"/>
  <c r="FT54" i="183" s="1"/>
  <c r="FY77" i="184"/>
  <c r="GA77" i="184" s="1"/>
  <c r="BU31" i="183"/>
  <c r="I28" i="185"/>
  <c r="G28" i="185"/>
  <c r="H28" i="185" s="1"/>
  <c r="FW68" i="185"/>
  <c r="DK68" i="185"/>
  <c r="FL68" i="185" s="1"/>
  <c r="FT68" i="185" s="1"/>
  <c r="BS25" i="185"/>
  <c r="J39" i="183"/>
  <c r="K39" i="183" s="1"/>
  <c r="L39" i="183"/>
  <c r="EQ19" i="184"/>
  <c r="EC72" i="185"/>
  <c r="S32" i="185"/>
  <c r="T32" i="185" s="1"/>
  <c r="U32" i="186"/>
  <c r="EC75" i="185"/>
  <c r="S35" i="185"/>
  <c r="T35" i="185" s="1"/>
  <c r="U32" i="185"/>
  <c r="EC71" i="183"/>
  <c r="S31" i="183"/>
  <c r="T31" i="183" s="1"/>
  <c r="U33" i="183"/>
  <c r="V33" i="183" s="1"/>
  <c r="EN40" i="183"/>
  <c r="EN40" i="185"/>
  <c r="I40" i="183"/>
  <c r="G40" i="183"/>
  <c r="H40" i="183" s="1"/>
  <c r="FW66" i="183"/>
  <c r="DK80" i="183"/>
  <c r="FL66" i="183" s="1"/>
  <c r="FT66" i="183" s="1"/>
  <c r="EN37" i="185"/>
  <c r="L26" i="186"/>
  <c r="BU26" i="186" s="1"/>
  <c r="K26" i="186"/>
  <c r="J26" i="186"/>
  <c r="EN34" i="184"/>
  <c r="BS30" i="183"/>
  <c r="J20" i="186"/>
  <c r="K20" i="186" s="1"/>
  <c r="L20" i="186"/>
  <c r="L42" i="183"/>
  <c r="BU42" i="183" s="1"/>
  <c r="K42" i="183"/>
  <c r="J42" i="183"/>
  <c r="U20" i="186"/>
  <c r="V20" i="186" s="1"/>
  <c r="L39" i="184"/>
  <c r="BU39" i="184" s="1"/>
  <c r="K39" i="184"/>
  <c r="J39" i="184"/>
  <c r="U34" i="185"/>
  <c r="EN20" i="186"/>
  <c r="EN22" i="186"/>
  <c r="EO23" i="185"/>
  <c r="EO21" i="184"/>
  <c r="U28" i="183"/>
  <c r="V28" i="183" s="1"/>
  <c r="U16" i="184"/>
  <c r="V16" i="184" s="1"/>
  <c r="DK79" i="184"/>
  <c r="FL79" i="184" s="1"/>
  <c r="FT79" i="184" s="1"/>
  <c r="FY79" i="184" s="1"/>
  <c r="U31" i="184"/>
  <c r="V31" i="184" s="1"/>
  <c r="U37" i="183"/>
  <c r="I29" i="184"/>
  <c r="G29" i="184"/>
  <c r="H29" i="184" s="1"/>
  <c r="FW69" i="184"/>
  <c r="DK69" i="184"/>
  <c r="FL69" i="184" s="1"/>
  <c r="FT69" i="184" s="1"/>
  <c r="FY63" i="184"/>
  <c r="GA63" i="184" s="1"/>
  <c r="EC62" i="185"/>
  <c r="S22" i="185"/>
  <c r="L17" i="186"/>
  <c r="BU17" i="186" s="1"/>
  <c r="K17" i="186"/>
  <c r="J17" i="186"/>
  <c r="U36" i="185"/>
  <c r="V36" i="185" s="1"/>
  <c r="L27" i="186"/>
  <c r="J27" i="186"/>
  <c r="K27" i="186" s="1"/>
  <c r="S30" i="184"/>
  <c r="EC70" i="184"/>
  <c r="EN23" i="185"/>
  <c r="L32" i="185"/>
  <c r="J32" i="185"/>
  <c r="K32" i="185" s="1"/>
  <c r="G14" i="186"/>
  <c r="H14" i="186" s="1"/>
  <c r="I14" i="186"/>
  <c r="FW54" i="186"/>
  <c r="DK54" i="186"/>
  <c r="FL54" i="186" s="1"/>
  <c r="FT54" i="186" s="1"/>
  <c r="BU14" i="185"/>
  <c r="EO31" i="186"/>
  <c r="U28" i="186"/>
  <c r="V28" i="186" s="1"/>
  <c r="G31" i="184"/>
  <c r="H31" i="184" s="1"/>
  <c r="I31" i="184"/>
  <c r="FW71" i="184"/>
  <c r="DK71" i="184"/>
  <c r="FL71" i="184" s="1"/>
  <c r="FT71" i="184" s="1"/>
  <c r="I18" i="186"/>
  <c r="G18" i="186"/>
  <c r="H18" i="186" s="1"/>
  <c r="FW58" i="186"/>
  <c r="DK58" i="186"/>
  <c r="FL58" i="186" s="1"/>
  <c r="FT58" i="186" s="1"/>
  <c r="EC74" i="185"/>
  <c r="S34" i="185"/>
  <c r="T34" i="185" s="1"/>
  <c r="U34" i="184"/>
  <c r="V34" i="184" s="1"/>
  <c r="L15" i="185"/>
  <c r="J15" i="185"/>
  <c r="K15" i="185" s="1"/>
  <c r="L31" i="186"/>
  <c r="J31" i="186"/>
  <c r="K31" i="186" s="1"/>
  <c r="EN37" i="183"/>
  <c r="I28" i="186"/>
  <c r="G28" i="186"/>
  <c r="H28" i="186" s="1"/>
  <c r="FW68" i="186"/>
  <c r="DK68" i="186"/>
  <c r="FL68" i="186" s="1"/>
  <c r="FT68" i="186" s="1"/>
  <c r="BS31" i="183"/>
  <c r="U41" i="183"/>
  <c r="EN28" i="183"/>
  <c r="U24" i="186"/>
  <c r="BS35" i="185"/>
  <c r="EO31" i="184"/>
  <c r="EO37" i="185"/>
  <c r="EC60" i="185"/>
  <c r="S20" i="185"/>
  <c r="T20" i="185" s="1"/>
  <c r="EO29" i="184"/>
  <c r="L16" i="186"/>
  <c r="J16" i="186"/>
  <c r="K16" i="186" s="1"/>
  <c r="I17" i="185"/>
  <c r="G17" i="185"/>
  <c r="H17" i="185" s="1"/>
  <c r="FW57" i="185"/>
  <c r="DK57" i="185"/>
  <c r="FL57" i="185" s="1"/>
  <c r="FT57" i="185" s="1"/>
  <c r="EN39" i="185"/>
  <c r="EO16" i="186"/>
  <c r="EN17" i="185"/>
  <c r="EN28" i="185"/>
  <c r="U24" i="184"/>
  <c r="V24" i="184" s="1"/>
  <c r="EC56" i="186"/>
  <c r="S16" i="186"/>
  <c r="T16" i="186" s="1"/>
  <c r="S25" i="186"/>
  <c r="EC65" i="186"/>
  <c r="I18" i="184"/>
  <c r="G18" i="184"/>
  <c r="H18" i="184" s="1"/>
  <c r="FW58" i="184"/>
  <c r="DK58" i="184"/>
  <c r="FL58" i="184" s="1"/>
  <c r="FT58" i="184" s="1"/>
  <c r="L30" i="186"/>
  <c r="J30" i="186"/>
  <c r="K30" i="186" s="1"/>
  <c r="EO27" i="186"/>
  <c r="S29" i="183"/>
  <c r="EC69" i="183"/>
  <c r="EO22" i="186"/>
  <c r="G15" i="185"/>
  <c r="H15" i="185" s="1"/>
  <c r="I15" i="185"/>
  <c r="FW55" i="185"/>
  <c r="DK55" i="185"/>
  <c r="FL55" i="185" s="1"/>
  <c r="FT55" i="185" s="1"/>
  <c r="U31" i="185"/>
  <c r="BS37" i="185"/>
  <c r="U39" i="183"/>
  <c r="V39" i="183" s="1"/>
  <c r="BU20" i="185"/>
  <c r="FY76" i="184"/>
  <c r="GA76" i="184" s="1"/>
  <c r="EQ32" i="186"/>
  <c r="I36" i="185"/>
  <c r="G36" i="185"/>
  <c r="H36" i="185" s="1"/>
  <c r="FW76" i="185"/>
  <c r="DK76" i="185"/>
  <c r="FL76" i="185" s="1"/>
  <c r="FT76" i="185" s="1"/>
  <c r="I26" i="185"/>
  <c r="G26" i="185"/>
  <c r="H26" i="185" s="1"/>
  <c r="FW66" i="185"/>
  <c r="DK66" i="185"/>
  <c r="FL66" i="185" s="1"/>
  <c r="FT66" i="185" s="1"/>
  <c r="I19" i="185"/>
  <c r="G19" i="185"/>
  <c r="H19" i="185" s="1"/>
  <c r="FW59" i="185"/>
  <c r="DK59" i="185"/>
  <c r="FL59" i="185" s="1"/>
  <c r="FT59" i="185" s="1"/>
  <c r="EC64" i="186"/>
  <c r="S24" i="186"/>
  <c r="T24" i="186" s="1"/>
  <c r="FY71" i="186"/>
  <c r="GA71" i="186" s="1"/>
  <c r="L22" i="185"/>
  <c r="J22" i="185"/>
  <c r="K22" i="185" s="1"/>
  <c r="BU33" i="183"/>
  <c r="G15" i="186"/>
  <c r="H15" i="186" s="1"/>
  <c r="I15" i="186"/>
  <c r="FW55" i="186"/>
  <c r="DK55" i="186"/>
  <c r="FL55" i="186" s="1"/>
  <c r="FT55" i="186" s="1"/>
  <c r="U21" i="186"/>
  <c r="I34" i="184"/>
  <c r="G34" i="184"/>
  <c r="H34" i="184" s="1"/>
  <c r="FW74" i="184"/>
  <c r="DK74" i="184"/>
  <c r="FL74" i="184" s="1"/>
  <c r="FT74" i="184" s="1"/>
  <c r="L25" i="186"/>
  <c r="J25" i="186"/>
  <c r="K25" i="186" s="1"/>
  <c r="U31" i="186"/>
  <c r="V31" i="186" s="1"/>
  <c r="U29" i="186"/>
  <c r="EC69" i="185"/>
  <c r="S29" i="185"/>
  <c r="EO37" i="183"/>
  <c r="U23" i="186"/>
  <c r="U36" i="184"/>
  <c r="V36" i="184" s="1"/>
  <c r="U37" i="184"/>
  <c r="S37" i="183"/>
  <c r="T37" i="183" s="1"/>
  <c r="EC77" i="183"/>
  <c r="BS28" i="184"/>
  <c r="EN21" i="186"/>
  <c r="U23" i="184"/>
  <c r="EQ18" i="186"/>
  <c r="EO19" i="184"/>
  <c r="U30" i="185"/>
  <c r="U40" i="183"/>
  <c r="I21" i="184"/>
  <c r="G21" i="184"/>
  <c r="H21" i="184" s="1"/>
  <c r="FW61" i="184"/>
  <c r="DK61" i="184"/>
  <c r="FL61" i="184" s="1"/>
  <c r="FT61" i="184" s="1"/>
  <c r="EO14" i="185"/>
  <c r="FY64" i="183"/>
  <c r="GA64" i="183" s="1"/>
  <c r="EO23" i="184"/>
  <c r="BS23" i="185"/>
  <c r="EN31" i="184"/>
  <c r="I20" i="186"/>
  <c r="G20" i="186"/>
  <c r="H20" i="186" s="1"/>
  <c r="FW60" i="186"/>
  <c r="DK60" i="186"/>
  <c r="FL60" i="186" s="1"/>
  <c r="FT60" i="186" s="1"/>
  <c r="G30" i="184"/>
  <c r="H30" i="184" s="1"/>
  <c r="I30" i="184"/>
  <c r="FW70" i="184"/>
  <c r="DK70" i="184"/>
  <c r="FL70" i="184" s="1"/>
  <c r="FT70" i="184" s="1"/>
  <c r="EC64" i="184"/>
  <c r="S24" i="184"/>
  <c r="T24" i="184" s="1"/>
  <c r="EQ17" i="185"/>
  <c r="U30" i="186"/>
  <c r="EO24" i="185"/>
  <c r="EQ35" i="183"/>
  <c r="G16" i="186"/>
  <c r="H16" i="186" s="1"/>
  <c r="I16" i="186"/>
  <c r="FW56" i="186"/>
  <c r="DK56" i="186"/>
  <c r="FL56" i="186" s="1"/>
  <c r="FT56" i="186" s="1"/>
  <c r="U39" i="185"/>
  <c r="V39" i="185" s="1"/>
  <c r="EC61" i="184"/>
  <c r="S21" i="184"/>
  <c r="L38" i="184"/>
  <c r="BU38" i="184" s="1"/>
  <c r="K38" i="184"/>
  <c r="J38" i="184"/>
  <c r="G39" i="185"/>
  <c r="H39" i="185" s="1"/>
  <c r="I39" i="185"/>
  <c r="FW79" i="185"/>
  <c r="DK79" i="185"/>
  <c r="FL79" i="185" s="1"/>
  <c r="FT79" i="185" s="1"/>
  <c r="BU43" i="183"/>
  <c r="U27" i="185"/>
  <c r="BU41" i="183"/>
  <c r="S22" i="184"/>
  <c r="T22" i="184" s="1"/>
  <c r="EC62" i="184"/>
  <c r="G33" i="183"/>
  <c r="H33" i="183" s="1"/>
  <c r="I33" i="183"/>
  <c r="FW59" i="183"/>
  <c r="DK73" i="183"/>
  <c r="FL59" i="183" s="1"/>
  <c r="FT59" i="183" s="1"/>
  <c r="EC66" i="185"/>
  <c r="S26" i="185"/>
  <c r="T26" i="185" s="1"/>
  <c r="EC55" i="186"/>
  <c r="S15" i="186"/>
  <c r="T15" i="186" s="1"/>
  <c r="EO18" i="185"/>
  <c r="U14" i="185"/>
  <c r="DK65" i="184"/>
  <c r="FL65" i="184" s="1"/>
  <c r="FT65" i="184" s="1"/>
  <c r="EO32" i="186"/>
  <c r="G32" i="186"/>
  <c r="H32" i="186" s="1"/>
  <c r="I32" i="186"/>
  <c r="FW72" i="186"/>
  <c r="DK72" i="186"/>
  <c r="FL72" i="186" s="1"/>
  <c r="L17" i="185"/>
  <c r="BU17" i="185" s="1"/>
  <c r="K17" i="185"/>
  <c r="J17" i="185"/>
  <c r="DK78" i="185"/>
  <c r="FL78" i="185" s="1"/>
  <c r="FT78" i="185" s="1"/>
  <c r="FY78" i="185" s="1"/>
  <c r="GA78" i="185" s="1"/>
  <c r="S33" i="185"/>
  <c r="T33" i="185" s="1"/>
  <c r="EC73" i="185"/>
  <c r="EC68" i="184"/>
  <c r="S28" i="184"/>
  <c r="T28" i="184" s="1"/>
  <c r="EO25" i="184"/>
  <c r="EN34" i="183"/>
  <c r="S17" i="184"/>
  <c r="EC57" i="184"/>
  <c r="EN33" i="185"/>
  <c r="L29" i="185"/>
  <c r="BU29" i="185" s="1"/>
  <c r="J29" i="185"/>
  <c r="K29" i="185"/>
  <c r="BU29" i="184"/>
  <c r="EO39" i="185"/>
  <c r="EO20" i="186"/>
  <c r="BU21" i="185"/>
  <c r="EN16" i="186"/>
  <c r="I37" i="183"/>
  <c r="G37" i="183"/>
  <c r="H37" i="183" s="1"/>
  <c r="FW63" i="183"/>
  <c r="DK77" i="183"/>
  <c r="FL63" i="183" s="1"/>
  <c r="FT63" i="183" s="1"/>
  <c r="U28" i="184"/>
  <c r="V28" i="184" s="1"/>
  <c r="L18" i="184"/>
  <c r="J18" i="184"/>
  <c r="K18" i="184" s="1"/>
  <c r="BU34" i="184"/>
  <c r="L16" i="184"/>
  <c r="J16" i="184"/>
  <c r="K16" i="184" s="1"/>
  <c r="L24" i="185"/>
  <c r="J24" i="185"/>
  <c r="K24" i="185" s="1"/>
  <c r="FY57" i="186"/>
  <c r="GA57" i="186" s="1"/>
  <c r="I36" i="183"/>
  <c r="G36" i="183"/>
  <c r="H36" i="183" s="1"/>
  <c r="FW62" i="183"/>
  <c r="DK76" i="183"/>
  <c r="FL62" i="183" s="1"/>
  <c r="FT62" i="183" s="1"/>
  <c r="BU16" i="185"/>
  <c r="BS37" i="184"/>
  <c r="BU30" i="185"/>
  <c r="BS32" i="184"/>
  <c r="BU37" i="183"/>
  <c r="J19" i="184"/>
  <c r="L19" i="184"/>
  <c r="BU19" i="184" s="1"/>
  <c r="K19" i="184"/>
  <c r="DK67" i="185"/>
  <c r="FL67" i="185" s="1"/>
  <c r="FT67" i="185" s="1"/>
  <c r="FY67" i="185" s="1"/>
  <c r="GA67" i="185" s="1"/>
  <c r="G41" i="183"/>
  <c r="H41" i="183" s="1"/>
  <c r="I41" i="183"/>
  <c r="FW67" i="183"/>
  <c r="DK81" i="183"/>
  <c r="FL67" i="183" s="1"/>
  <c r="FT67" i="183" s="1"/>
  <c r="EN25" i="184"/>
  <c r="DK75" i="184"/>
  <c r="FL75" i="184" s="1"/>
  <c r="FT75" i="184" s="1"/>
  <c r="FY75" i="184" s="1"/>
  <c r="GA75" i="184" s="1"/>
  <c r="U16" i="186"/>
  <c r="V16" i="186" s="1"/>
  <c r="EQ20" i="186"/>
  <c r="L31" i="185"/>
  <c r="J31" i="185"/>
  <c r="K31" i="185" s="1"/>
  <c r="EQ30" i="184"/>
  <c r="J38" i="183"/>
  <c r="K38" i="183" s="1"/>
  <c r="L38" i="183"/>
  <c r="BS22" i="185"/>
  <c r="I35" i="183"/>
  <c r="G35" i="183"/>
  <c r="H35" i="183" s="1"/>
  <c r="FW61" i="183"/>
  <c r="DK75" i="183"/>
  <c r="FL61" i="183" s="1"/>
  <c r="FT61" i="183" s="1"/>
  <c r="EC70" i="186"/>
  <c r="S30" i="186"/>
  <c r="T30" i="186" s="1"/>
  <c r="EN18" i="185"/>
  <c r="U20" i="184"/>
  <c r="U24" i="185"/>
  <c r="V24" i="185" s="1"/>
  <c r="EC74" i="184"/>
  <c r="S34" i="184"/>
  <c r="K40" i="184"/>
  <c r="J40" i="184"/>
  <c r="L40" i="184"/>
  <c r="BU40" i="184" s="1"/>
  <c r="I14" i="184"/>
  <c r="G14" i="184"/>
  <c r="H14" i="184" s="1"/>
  <c r="FW54" i="184"/>
  <c r="DK54" i="184"/>
  <c r="FL54" i="184" s="1"/>
  <c r="FT54" i="184" s="1"/>
  <c r="EN32" i="184"/>
  <c r="EC80" i="183"/>
  <c r="S40" i="183"/>
  <c r="T40" i="183" s="1"/>
  <c r="U21" i="185"/>
  <c r="V21" i="185" s="1"/>
  <c r="EC83" i="183"/>
  <c r="S43" i="183"/>
  <c r="T43" i="183" s="1"/>
  <c r="EN26" i="185"/>
  <c r="BS31" i="186"/>
  <c r="I16" i="185"/>
  <c r="G16" i="185"/>
  <c r="H16" i="185" s="1"/>
  <c r="FW56" i="185"/>
  <c r="DK56" i="185"/>
  <c r="FL56" i="185" s="1"/>
  <c r="FT56" i="185" s="1"/>
  <c r="EN28" i="184"/>
  <c r="L30" i="184"/>
  <c r="BU30" i="184" s="1"/>
  <c r="K30" i="184"/>
  <c r="J30" i="184"/>
  <c r="EN37" i="184"/>
  <c r="U30" i="184"/>
  <c r="V30" i="184" s="1"/>
  <c r="EN25" i="186"/>
  <c r="S25" i="185"/>
  <c r="EC65" i="185"/>
  <c r="EN36" i="185"/>
  <c r="BS24" i="186"/>
  <c r="U29" i="184"/>
  <c r="I33" i="184"/>
  <c r="G33" i="184"/>
  <c r="H33" i="184" s="1"/>
  <c r="FW73" i="184"/>
  <c r="DK73" i="184"/>
  <c r="FL73" i="184" s="1"/>
  <c r="FT73" i="184" s="1"/>
  <c r="EO38" i="185"/>
  <c r="EO34" i="183"/>
  <c r="EC71" i="186"/>
  <c r="S31" i="186"/>
  <c r="EC80" i="184"/>
  <c r="S40" i="184"/>
  <c r="T40" i="184" s="1"/>
  <c r="EN17" i="186"/>
  <c r="EN32" i="186"/>
  <c r="I32" i="185"/>
  <c r="G32" i="185"/>
  <c r="H32" i="185" s="1"/>
  <c r="FW72" i="185"/>
  <c r="DK72" i="185"/>
  <c r="FL72" i="185" s="1"/>
  <c r="FT72" i="185" s="1"/>
  <c r="BU32" i="183"/>
  <c r="S18" i="184"/>
  <c r="T18" i="184" s="1"/>
  <c r="EC58" i="184"/>
  <c r="EO31" i="185"/>
  <c r="DK65" i="186"/>
  <c r="FL65" i="186" s="1"/>
  <c r="FT65" i="186" s="1"/>
  <c r="FY65" i="186" s="1"/>
  <c r="GA65" i="186" s="1"/>
  <c r="G17" i="184"/>
  <c r="H17" i="184" s="1"/>
  <c r="I17" i="184"/>
  <c r="FW57" i="184"/>
  <c r="DK57" i="184"/>
  <c r="FL57" i="184" s="1"/>
  <c r="FT57" i="184" s="1"/>
  <c r="EC65" i="184"/>
  <c r="S25" i="184"/>
  <c r="T25" i="184" s="1"/>
  <c r="I40" i="184"/>
  <c r="G40" i="184"/>
  <c r="H40" i="184" s="1"/>
  <c r="FW80" i="184"/>
  <c r="DK80" i="184"/>
  <c r="FL80" i="184" s="1"/>
  <c r="EC76" i="183"/>
  <c r="S36" i="183"/>
  <c r="T36" i="183" s="1"/>
  <c r="FY65" i="185"/>
  <c r="GA65" i="185" s="1"/>
  <c r="U30" i="183"/>
  <c r="EO33" i="183"/>
  <c r="EO22" i="185"/>
  <c r="EN22" i="184"/>
  <c r="BS38" i="183"/>
  <c r="EO26" i="185"/>
  <c r="EO27" i="185"/>
  <c r="L40" i="183"/>
  <c r="J40" i="183"/>
  <c r="K40" i="183" s="1"/>
  <c r="EO40" i="183"/>
  <c r="U25" i="185"/>
  <c r="V25" i="185" s="1"/>
  <c r="EO30" i="183"/>
  <c r="U40" i="184"/>
  <c r="V40" i="184" s="1"/>
  <c r="EN28" i="186"/>
  <c r="EO24" i="186"/>
  <c r="U16" i="185"/>
  <c r="V16" i="185" s="1"/>
  <c r="EO19" i="185"/>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FY68" i="184" l="1"/>
  <c r="GB68" i="184" s="1"/>
  <c r="FY60" i="183"/>
  <c r="GJ60" i="183" s="1"/>
  <c r="FV60" i="183" s="1"/>
  <c r="FZ60" i="183" s="1"/>
  <c r="AI20" i="183" s="1"/>
  <c r="FY56" i="184"/>
  <c r="GA56" i="184" s="1"/>
  <c r="BU23" i="185"/>
  <c r="FY64" i="185"/>
  <c r="GB64" i="185" s="1"/>
  <c r="FY69" i="186"/>
  <c r="GA69" i="186" s="1"/>
  <c r="FL64" i="186"/>
  <c r="FT64" i="186" s="1"/>
  <c r="FY67" i="186"/>
  <c r="GJ67" i="186" s="1"/>
  <c r="FV67" i="186" s="1"/>
  <c r="FY66" i="186"/>
  <c r="GA66" i="186" s="1"/>
  <c r="FT69" i="183"/>
  <c r="FY69" i="183" s="1"/>
  <c r="GA69" i="183" s="1"/>
  <c r="FY65" i="184"/>
  <c r="GA65" i="184" s="1"/>
  <c r="FY78" i="184"/>
  <c r="GJ78" i="184" s="1"/>
  <c r="FV78" i="184" s="1"/>
  <c r="AD38" i="184" s="1"/>
  <c r="BS24" i="185"/>
  <c r="BS34" i="185"/>
  <c r="FY54" i="183"/>
  <c r="GA54" i="183" s="1"/>
  <c r="FB14" i="183"/>
  <c r="BS22" i="184"/>
  <c r="BT22" i="184" s="1"/>
  <c r="BS26" i="186"/>
  <c r="BT26" i="186" s="1"/>
  <c r="BU37" i="185"/>
  <c r="BS27" i="186"/>
  <c r="BS25" i="184"/>
  <c r="BS33" i="185"/>
  <c r="BT33" i="185" s="1"/>
  <c r="BU21" i="184"/>
  <c r="FY71" i="185"/>
  <c r="GA71" i="185" s="1"/>
  <c r="BS39" i="183"/>
  <c r="FY73" i="185"/>
  <c r="GJ73" i="185" s="1"/>
  <c r="FV73" i="185" s="1"/>
  <c r="AD33" i="185" s="1"/>
  <c r="AE33" i="185" s="1"/>
  <c r="FY65" i="183"/>
  <c r="GA65" i="183" s="1"/>
  <c r="FY74" i="185"/>
  <c r="GA74" i="185" s="1"/>
  <c r="BS15" i="184"/>
  <c r="BS28" i="183"/>
  <c r="BT28" i="183" s="1"/>
  <c r="FY54" i="185"/>
  <c r="GA54" i="185" s="1"/>
  <c r="GA75" i="185"/>
  <c r="GJ75" i="185"/>
  <c r="FV75" i="185" s="1"/>
  <c r="FZ75" i="185" s="1"/>
  <c r="GB57" i="183"/>
  <c r="GA64" i="186"/>
  <c r="GA62" i="185"/>
  <c r="GB62" i="185"/>
  <c r="GJ58" i="185"/>
  <c r="FV58" i="185" s="1"/>
  <c r="AD18" i="185" s="1"/>
  <c r="GA58" i="185"/>
  <c r="GB55" i="183"/>
  <c r="GB59" i="186"/>
  <c r="GJ57" i="183"/>
  <c r="FV57" i="183" s="1"/>
  <c r="AD17" i="183" s="1"/>
  <c r="GJ63" i="185"/>
  <c r="FV63" i="185" s="1"/>
  <c r="FZ63" i="185" s="1"/>
  <c r="AI23" i="185" s="1"/>
  <c r="GA63" i="185"/>
  <c r="GB72" i="184"/>
  <c r="GA72" i="184"/>
  <c r="GJ55" i="183"/>
  <c r="FV55" i="183" s="1"/>
  <c r="AD15" i="183" s="1"/>
  <c r="AE15" i="183" s="1"/>
  <c r="FY59" i="184"/>
  <c r="GJ59" i="184" s="1"/>
  <c r="FV59" i="184" s="1"/>
  <c r="GJ59" i="186"/>
  <c r="FV59" i="186" s="1"/>
  <c r="AD19" i="186" s="1"/>
  <c r="AE19" i="186" s="1"/>
  <c r="FY55" i="185"/>
  <c r="GJ55" i="185" s="1"/>
  <c r="FV55" i="185" s="1"/>
  <c r="FZ55" i="185" s="1"/>
  <c r="FY72" i="185"/>
  <c r="GA72" i="185" s="1"/>
  <c r="FY57" i="185"/>
  <c r="GJ57" i="185" s="1"/>
  <c r="FV57" i="185" s="1"/>
  <c r="FY61" i="183"/>
  <c r="GJ61" i="183" s="1"/>
  <c r="FV61" i="183" s="1"/>
  <c r="FZ61" i="183" s="1"/>
  <c r="FY57" i="184"/>
  <c r="GB57" i="184" s="1"/>
  <c r="FY70" i="185"/>
  <c r="GJ70" i="185" s="1"/>
  <c r="FV70" i="185" s="1"/>
  <c r="FY55" i="184"/>
  <c r="GJ55" i="184" s="1"/>
  <c r="FV55" i="184" s="1"/>
  <c r="FZ55" i="184" s="1"/>
  <c r="FY59" i="183"/>
  <c r="GA59" i="183" s="1"/>
  <c r="FY70" i="184"/>
  <c r="GJ70" i="184" s="1"/>
  <c r="FV70" i="184" s="1"/>
  <c r="FY70" i="186"/>
  <c r="GB70" i="186" s="1"/>
  <c r="FY61" i="184"/>
  <c r="GJ61" i="184" s="1"/>
  <c r="FV61" i="184" s="1"/>
  <c r="FY76" i="185"/>
  <c r="GJ76" i="185" s="1"/>
  <c r="FV76" i="185" s="1"/>
  <c r="FZ76" i="185" s="1"/>
  <c r="FY68" i="183"/>
  <c r="GB68" i="183" s="1"/>
  <c r="FY62" i="183"/>
  <c r="GA62" i="183" s="1"/>
  <c r="FY60" i="186"/>
  <c r="GA60" i="186" s="1"/>
  <c r="FY74" i="184"/>
  <c r="GB74" i="184" s="1"/>
  <c r="FY58" i="184"/>
  <c r="GA58" i="184" s="1"/>
  <c r="BU32" i="185"/>
  <c r="BS28" i="185"/>
  <c r="BT28" i="185" s="1"/>
  <c r="FY60" i="185"/>
  <c r="GB60" i="185" s="1"/>
  <c r="GA56" i="183"/>
  <c r="BU35" i="185"/>
  <c r="BS14" i="185"/>
  <c r="BT14" i="185" s="1"/>
  <c r="GA61" i="185"/>
  <c r="FY61" i="186"/>
  <c r="GA61" i="186" s="1"/>
  <c r="FY54" i="184"/>
  <c r="GJ54" i="184" s="1"/>
  <c r="FV54" i="184" s="1"/>
  <c r="GB56" i="183"/>
  <c r="BU15" i="185"/>
  <c r="BS18" i="186"/>
  <c r="BT18" i="186" s="1"/>
  <c r="GB61" i="185"/>
  <c r="BU25" i="184"/>
  <c r="BV25" i="184" s="1"/>
  <c r="BS36" i="183"/>
  <c r="BT36" i="183" s="1"/>
  <c r="BU18" i="184"/>
  <c r="BV18" i="184" s="1"/>
  <c r="GB62" i="186"/>
  <c r="FY71" i="184"/>
  <c r="GA71" i="184" s="1"/>
  <c r="FY68" i="185"/>
  <c r="GA68" i="185" s="1"/>
  <c r="BS42" i="183"/>
  <c r="BT42" i="183" s="1"/>
  <c r="FZ61" i="185"/>
  <c r="AI21" i="185" s="1"/>
  <c r="AJ21" i="185" s="1"/>
  <c r="GJ62" i="186"/>
  <c r="FV62" i="186" s="1"/>
  <c r="AD22" i="186" s="1"/>
  <c r="AE22" i="186" s="1"/>
  <c r="BS29" i="184"/>
  <c r="BU40" i="183"/>
  <c r="BS32" i="185"/>
  <c r="BT32" i="185" s="1"/>
  <c r="FY73" i="184"/>
  <c r="GJ73" i="184" s="1"/>
  <c r="FV73" i="184" s="1"/>
  <c r="BU14" i="186"/>
  <c r="FY63" i="186"/>
  <c r="GJ63" i="186" s="1"/>
  <c r="FV63" i="186" s="1"/>
  <c r="FZ63" i="186" s="1"/>
  <c r="AD16" i="183"/>
  <c r="AE16" i="183" s="1"/>
  <c r="FZ56" i="183"/>
  <c r="BU38" i="183"/>
  <c r="EP24" i="184"/>
  <c r="W24" i="184"/>
  <c r="BS19" i="185"/>
  <c r="BT19" i="185" s="1"/>
  <c r="BS28" i="186"/>
  <c r="BT28" i="186" s="1"/>
  <c r="EP34" i="185"/>
  <c r="W34" i="185"/>
  <c r="BU27" i="186"/>
  <c r="EP22" i="185"/>
  <c r="W22" i="185"/>
  <c r="GJ79" i="184"/>
  <c r="FV79" i="184" s="1"/>
  <c r="FZ79" i="184" s="1"/>
  <c r="GB79" i="184"/>
  <c r="BU20" i="186"/>
  <c r="BV20" i="186" s="1"/>
  <c r="BS40" i="183"/>
  <c r="BT40" i="183" s="1"/>
  <c r="BU39" i="183"/>
  <c r="BV39" i="183" s="1"/>
  <c r="AD32" i="184"/>
  <c r="AE32" i="184" s="1"/>
  <c r="FY66" i="184"/>
  <c r="GA66" i="184" s="1"/>
  <c r="BS19" i="184"/>
  <c r="BT19" i="184" s="1"/>
  <c r="BT23" i="185"/>
  <c r="FY60" i="184"/>
  <c r="GA60" i="184" s="1"/>
  <c r="BT38" i="185"/>
  <c r="BV17" i="186"/>
  <c r="FY69" i="185"/>
  <c r="GA69" i="185" s="1"/>
  <c r="BS30" i="185"/>
  <c r="BT30" i="185" s="1"/>
  <c r="BS24" i="184"/>
  <c r="BT24" i="184" s="1"/>
  <c r="BV14" i="184"/>
  <c r="EP24" i="185"/>
  <c r="W24" i="185"/>
  <c r="BT34" i="183"/>
  <c r="BV21" i="184"/>
  <c r="EP31" i="184"/>
  <c r="W31" i="184"/>
  <c r="BV35" i="183"/>
  <c r="BT29" i="186"/>
  <c r="BV28" i="185"/>
  <c r="EP14" i="186"/>
  <c r="W14" i="186"/>
  <c r="BT39" i="184"/>
  <c r="BT21" i="185"/>
  <c r="BV22" i="186"/>
  <c r="EP30" i="186"/>
  <c r="W30" i="186"/>
  <c r="EP15" i="186"/>
  <c r="W15" i="186"/>
  <c r="V27" i="185"/>
  <c r="BV27" i="185" s="1"/>
  <c r="BS20" i="186"/>
  <c r="BT20" i="186" s="1"/>
  <c r="BS27" i="184"/>
  <c r="EP39" i="185"/>
  <c r="W39" i="185"/>
  <c r="W33" i="185"/>
  <c r="EP33" i="185"/>
  <c r="EP21" i="184"/>
  <c r="W21" i="184"/>
  <c r="W37" i="183"/>
  <c r="EP37" i="183"/>
  <c r="BU22" i="185"/>
  <c r="BS40" i="185"/>
  <c r="BS20" i="185"/>
  <c r="BT20" i="185" s="1"/>
  <c r="BT16" i="184"/>
  <c r="V35" i="185"/>
  <c r="EP38" i="183"/>
  <c r="W38" i="183"/>
  <c r="EP23" i="185"/>
  <c r="W23" i="185"/>
  <c r="T33" i="184"/>
  <c r="EP38" i="185"/>
  <c r="W38" i="185"/>
  <c r="EP32" i="184"/>
  <c r="W32" i="184"/>
  <c r="BS29" i="185"/>
  <c r="BU28" i="183"/>
  <c r="BV28" i="183" s="1"/>
  <c r="BS30" i="186"/>
  <c r="BT30" i="186" s="1"/>
  <c r="V29" i="185"/>
  <c r="BV29" i="185" s="1"/>
  <c r="EP34" i="183"/>
  <c r="W34" i="183"/>
  <c r="EP26" i="186"/>
  <c r="W26" i="186"/>
  <c r="EP26" i="184"/>
  <c r="W26" i="184"/>
  <c r="BV33" i="185"/>
  <c r="EP20" i="186"/>
  <c r="W20" i="186"/>
  <c r="EP29" i="186"/>
  <c r="W29" i="186"/>
  <c r="EP28" i="185"/>
  <c r="W28" i="185"/>
  <c r="EP39" i="184"/>
  <c r="W39" i="184"/>
  <c r="EP21" i="185"/>
  <c r="W21" i="185"/>
  <c r="EP28" i="186"/>
  <c r="W28" i="186"/>
  <c r="BS37" i="183"/>
  <c r="BT37" i="183" s="1"/>
  <c r="BV30" i="184"/>
  <c r="BS41" i="183"/>
  <c r="BS21" i="184"/>
  <c r="V30" i="185"/>
  <c r="BV30" i="185" s="1"/>
  <c r="EP25" i="186"/>
  <c r="W25" i="186"/>
  <c r="BV40" i="185"/>
  <c r="EP30" i="185"/>
  <c r="W30" i="185"/>
  <c r="EP36" i="183"/>
  <c r="W36" i="183"/>
  <c r="EP31" i="186"/>
  <c r="W31" i="186"/>
  <c r="V29" i="184"/>
  <c r="BV29" i="184" s="1"/>
  <c r="EP18" i="184"/>
  <c r="W18" i="184"/>
  <c r="FY56" i="185"/>
  <c r="GA56" i="185" s="1"/>
  <c r="V14" i="185"/>
  <c r="BV14" i="185" s="1"/>
  <c r="FY79" i="185"/>
  <c r="GA79" i="185" s="1"/>
  <c r="T21" i="184"/>
  <c r="FY56" i="186"/>
  <c r="GA56" i="186" s="1"/>
  <c r="V23" i="184"/>
  <c r="BV23" i="184" s="1"/>
  <c r="V21" i="186"/>
  <c r="BV21" i="186" s="1"/>
  <c r="BT24" i="186"/>
  <c r="FY66" i="185"/>
  <c r="GA66" i="185" s="1"/>
  <c r="BS15" i="185"/>
  <c r="BT15" i="185" s="1"/>
  <c r="T25" i="186"/>
  <c r="BT25" i="186" s="1"/>
  <c r="BV24" i="184"/>
  <c r="V24" i="186"/>
  <c r="BV24" i="186" s="1"/>
  <c r="BU31" i="186"/>
  <c r="BV31" i="186" s="1"/>
  <c r="BS31" i="184"/>
  <c r="BT31" i="184" s="1"/>
  <c r="FY54" i="186"/>
  <c r="GA54" i="186" s="1"/>
  <c r="BV36" i="185"/>
  <c r="BV31" i="184"/>
  <c r="EP31" i="183"/>
  <c r="W31" i="183"/>
  <c r="EP16" i="184"/>
  <c r="W16" i="184"/>
  <c r="T27" i="184"/>
  <c r="V35" i="184"/>
  <c r="BT38" i="183"/>
  <c r="EP36" i="185"/>
  <c r="W36" i="185"/>
  <c r="V14" i="186"/>
  <c r="BT37" i="184"/>
  <c r="V29" i="183"/>
  <c r="BV29" i="183" s="1"/>
  <c r="V23" i="185"/>
  <c r="BV23" i="185" s="1"/>
  <c r="BV36" i="183"/>
  <c r="EP35" i="184"/>
  <c r="W35" i="184"/>
  <c r="V20" i="185"/>
  <c r="BV20" i="185" s="1"/>
  <c r="T36" i="184"/>
  <c r="BT36" i="184" s="1"/>
  <c r="V27" i="186"/>
  <c r="V31" i="183"/>
  <c r="BV31" i="183" s="1"/>
  <c r="EP20" i="184"/>
  <c r="W20" i="184"/>
  <c r="W29" i="184"/>
  <c r="EP29" i="184"/>
  <c r="EP17" i="185"/>
  <c r="W17" i="185"/>
  <c r="BV26" i="185"/>
  <c r="T17" i="186"/>
  <c r="BT17" i="186" s="1"/>
  <c r="GJ65" i="186"/>
  <c r="FV65" i="186" s="1"/>
  <c r="FZ65" i="186" s="1"/>
  <c r="GB65" i="186"/>
  <c r="BS14" i="184"/>
  <c r="BT14" i="184" s="1"/>
  <c r="GJ75" i="184"/>
  <c r="FV75" i="184" s="1"/>
  <c r="FZ75" i="184" s="1"/>
  <c r="GB75" i="184"/>
  <c r="GJ57" i="186"/>
  <c r="FV57" i="186" s="1"/>
  <c r="GB57" i="186"/>
  <c r="FY63" i="183"/>
  <c r="GA63" i="183" s="1"/>
  <c r="GJ56" i="184"/>
  <c r="FV56" i="184" s="1"/>
  <c r="FZ56" i="184" s="1"/>
  <c r="GB56" i="184"/>
  <c r="EP26" i="185"/>
  <c r="W26" i="185"/>
  <c r="BS30" i="184"/>
  <c r="BU25" i="186"/>
  <c r="FY55" i="186"/>
  <c r="GA55" i="186" s="1"/>
  <c r="FY59" i="185"/>
  <c r="BS36" i="185"/>
  <c r="BT36" i="185" s="1"/>
  <c r="BS17" i="185"/>
  <c r="BT17" i="185" s="1"/>
  <c r="FY68" i="186"/>
  <c r="GA68" i="186" s="1"/>
  <c r="FY58" i="186"/>
  <c r="GA58" i="186" s="1"/>
  <c r="GJ63" i="184"/>
  <c r="FV63" i="184" s="1"/>
  <c r="GB63" i="184"/>
  <c r="FY66" i="183"/>
  <c r="GA66" i="183" s="1"/>
  <c r="BT35" i="185"/>
  <c r="BS26" i="184"/>
  <c r="BT26" i="184" s="1"/>
  <c r="T40" i="185"/>
  <c r="BU35" i="184"/>
  <c r="EP27" i="184"/>
  <c r="W27" i="184"/>
  <c r="BT31" i="185"/>
  <c r="FZ72" i="184"/>
  <c r="BU32" i="186"/>
  <c r="EP19" i="185"/>
  <c r="W19" i="185"/>
  <c r="BS20" i="184"/>
  <c r="BT20" i="184" s="1"/>
  <c r="T38" i="184"/>
  <c r="BT38" i="184" s="1"/>
  <c r="EP42" i="183"/>
  <c r="W42" i="183"/>
  <c r="V15" i="185"/>
  <c r="BV15" i="186"/>
  <c r="FY64" i="184"/>
  <c r="BU29" i="186"/>
  <c r="BV42" i="183"/>
  <c r="BV18" i="185"/>
  <c r="BT18" i="185"/>
  <c r="BV17" i="185"/>
  <c r="W14" i="184"/>
  <c r="EP14" i="184"/>
  <c r="BV26" i="184"/>
  <c r="T35" i="184"/>
  <c r="BT35" i="184" s="1"/>
  <c r="W16" i="185"/>
  <c r="EP16" i="185"/>
  <c r="EP36" i="184"/>
  <c r="W36" i="184"/>
  <c r="BV43" i="183"/>
  <c r="V38" i="185"/>
  <c r="BV38" i="185" s="1"/>
  <c r="T19" i="186"/>
  <c r="BT19" i="186" s="1"/>
  <c r="T29" i="184"/>
  <c r="BT29" i="184" s="1"/>
  <c r="V32" i="183"/>
  <c r="BV32" i="183" s="1"/>
  <c r="T27" i="186"/>
  <c r="BT27" i="186" s="1"/>
  <c r="EP15" i="185"/>
  <c r="W15" i="185"/>
  <c r="BV18" i="186"/>
  <c r="W17" i="186"/>
  <c r="EP17" i="186"/>
  <c r="EP35" i="183"/>
  <c r="W35" i="183"/>
  <c r="BV21" i="185"/>
  <c r="BS33" i="183"/>
  <c r="BT33" i="183" s="1"/>
  <c r="BV25" i="185"/>
  <c r="EP22" i="184"/>
  <c r="W22" i="184"/>
  <c r="BV34" i="184"/>
  <c r="BT31" i="183"/>
  <c r="W33" i="184"/>
  <c r="EP33" i="184"/>
  <c r="BT32" i="184"/>
  <c r="BV39" i="184"/>
  <c r="EP27" i="185"/>
  <c r="W27" i="185"/>
  <c r="BV16" i="185"/>
  <c r="V30" i="183"/>
  <c r="BV30" i="183" s="1"/>
  <c r="BT43" i="183"/>
  <c r="W40" i="183"/>
  <c r="EP40" i="183"/>
  <c r="BS35" i="183"/>
  <c r="BT35" i="183" s="1"/>
  <c r="GJ78" i="185"/>
  <c r="FV78" i="185" s="1"/>
  <c r="FZ78" i="185" s="1"/>
  <c r="GB78" i="185"/>
  <c r="GJ62" i="184"/>
  <c r="FV62" i="184" s="1"/>
  <c r="FZ62" i="184" s="1"/>
  <c r="GB62" i="184"/>
  <c r="AD22" i="185"/>
  <c r="AE22" i="185" s="1"/>
  <c r="GJ64" i="183"/>
  <c r="FV64" i="183" s="1"/>
  <c r="FZ64" i="183" s="1"/>
  <c r="GB64" i="183"/>
  <c r="EP29" i="185"/>
  <c r="W29" i="185"/>
  <c r="GA79" i="184"/>
  <c r="EP24" i="186"/>
  <c r="W24" i="186"/>
  <c r="BS18" i="184"/>
  <c r="BT18" i="184" s="1"/>
  <c r="EP20" i="185"/>
  <c r="W20" i="185"/>
  <c r="BS14" i="186"/>
  <c r="EP30" i="184"/>
  <c r="W30" i="184"/>
  <c r="FY69" i="184"/>
  <c r="GA69" i="184" s="1"/>
  <c r="V34" i="185"/>
  <c r="BV34" i="185" s="1"/>
  <c r="EP35" i="185"/>
  <c r="W35" i="185"/>
  <c r="GJ77" i="184"/>
  <c r="FV77" i="184" s="1"/>
  <c r="FZ77" i="184" s="1"/>
  <c r="GB77" i="184"/>
  <c r="W40" i="185"/>
  <c r="EP40" i="185"/>
  <c r="EP38" i="184"/>
  <c r="W38" i="184"/>
  <c r="AD21" i="185"/>
  <c r="BU27" i="184"/>
  <c r="BV27" i="184" s="1"/>
  <c r="EP37" i="184"/>
  <c r="W37" i="184"/>
  <c r="EP18" i="185"/>
  <c r="W18" i="185"/>
  <c r="FZ62" i="185"/>
  <c r="BV19" i="186"/>
  <c r="EP19" i="186"/>
  <c r="W19" i="186"/>
  <c r="BT32" i="183"/>
  <c r="EP27" i="186"/>
  <c r="W27" i="186"/>
  <c r="BV17" i="184"/>
  <c r="EP41" i="183"/>
  <c r="W41" i="183"/>
  <c r="FL81" i="184"/>
  <c r="FL82" i="184" s="1"/>
  <c r="FL83" i="184" s="1"/>
  <c r="FL84" i="184" s="1"/>
  <c r="FL85" i="184" s="1"/>
  <c r="FT80" i="184"/>
  <c r="FY80" i="184" s="1"/>
  <c r="GA80" i="184" s="1"/>
  <c r="T25" i="185"/>
  <c r="BT25" i="185" s="1"/>
  <c r="BU16" i="184"/>
  <c r="BV16" i="184" s="1"/>
  <c r="EP28" i="184"/>
  <c r="W28" i="184"/>
  <c r="V37" i="183"/>
  <c r="BV37" i="183" s="1"/>
  <c r="BV33" i="184"/>
  <c r="BV32" i="184"/>
  <c r="BS40" i="184"/>
  <c r="BT40" i="184" s="1"/>
  <c r="BV40" i="184"/>
  <c r="GB65" i="185"/>
  <c r="GJ65" i="185"/>
  <c r="FV65" i="185" s="1"/>
  <c r="BT25" i="184"/>
  <c r="BS17" i="184"/>
  <c r="EP40" i="184"/>
  <c r="W40" i="184"/>
  <c r="BS33" i="184"/>
  <c r="EP43" i="183"/>
  <c r="W43" i="183"/>
  <c r="BU31" i="185"/>
  <c r="GB77" i="185"/>
  <c r="GJ77" i="185"/>
  <c r="FV77" i="185" s="1"/>
  <c r="FZ77" i="185" s="1"/>
  <c r="T17" i="184"/>
  <c r="FL73" i="186"/>
  <c r="FL74" i="186" s="1"/>
  <c r="FL75" i="186" s="1"/>
  <c r="FL76" i="186" s="1"/>
  <c r="FL77" i="186" s="1"/>
  <c r="FL78" i="186" s="1"/>
  <c r="FL79" i="186" s="1"/>
  <c r="FL80" i="186" s="1"/>
  <c r="FL81" i="186" s="1"/>
  <c r="FL82" i="186" s="1"/>
  <c r="FL83" i="186" s="1"/>
  <c r="FL84" i="186" s="1"/>
  <c r="FL85" i="186" s="1"/>
  <c r="FT72" i="186"/>
  <c r="FY72" i="186" s="1"/>
  <c r="GA72" i="186" s="1"/>
  <c r="BS39" i="185"/>
  <c r="BT39" i="185" s="1"/>
  <c r="BS16" i="186"/>
  <c r="BT16" i="186" s="1"/>
  <c r="V37" i="184"/>
  <c r="BV37" i="184" s="1"/>
  <c r="V23" i="186"/>
  <c r="BV23" i="186" s="1"/>
  <c r="T29" i="185"/>
  <c r="BS15" i="186"/>
  <c r="BT15" i="186" s="1"/>
  <c r="GB76" i="184"/>
  <c r="GJ76" i="184"/>
  <c r="FV76" i="184" s="1"/>
  <c r="FZ76" i="184" s="1"/>
  <c r="V31" i="185"/>
  <c r="EP16" i="186"/>
  <c r="W16" i="186"/>
  <c r="EP32" i="185"/>
  <c r="W32" i="185"/>
  <c r="FL81" i="185"/>
  <c r="FL82" i="185" s="1"/>
  <c r="FL83" i="185" s="1"/>
  <c r="FL84" i="185" s="1"/>
  <c r="FL85" i="185" s="1"/>
  <c r="FT80" i="185"/>
  <c r="FY80" i="185" s="1"/>
  <c r="GA80" i="185" s="1"/>
  <c r="BU19" i="185"/>
  <c r="EP31" i="185"/>
  <c r="W31" i="185"/>
  <c r="BU22" i="184"/>
  <c r="BV22" i="184" s="1"/>
  <c r="BT15" i="184"/>
  <c r="T37" i="185"/>
  <c r="BT37" i="185" s="1"/>
  <c r="T30" i="183"/>
  <c r="BT30" i="183" s="1"/>
  <c r="T39" i="183"/>
  <c r="T23" i="186"/>
  <c r="W28" i="183"/>
  <c r="EP28" i="183"/>
  <c r="EP21" i="186"/>
  <c r="W21" i="186"/>
  <c r="EP19" i="184"/>
  <c r="W19" i="184"/>
  <c r="BT23" i="184"/>
  <c r="T31" i="186"/>
  <c r="BT31" i="186" s="1"/>
  <c r="EP34" i="184"/>
  <c r="W34" i="184"/>
  <c r="BS32" i="186"/>
  <c r="BT32" i="186" s="1"/>
  <c r="V29" i="186"/>
  <c r="BV29" i="186" s="1"/>
  <c r="BS34" i="184"/>
  <c r="GB71" i="186"/>
  <c r="GJ71" i="186"/>
  <c r="FV71" i="186" s="1"/>
  <c r="T29" i="183"/>
  <c r="BT29" i="183" s="1"/>
  <c r="EP22" i="186"/>
  <c r="W22" i="186"/>
  <c r="EP25" i="184"/>
  <c r="W25" i="184"/>
  <c r="EP25" i="185"/>
  <c r="W25" i="185"/>
  <c r="BS16" i="185"/>
  <c r="BT16" i="185" s="1"/>
  <c r="T34" i="184"/>
  <c r="V20" i="184"/>
  <c r="BV20" i="184" s="1"/>
  <c r="FY67" i="183"/>
  <c r="GA67" i="183" s="1"/>
  <c r="GJ67" i="185"/>
  <c r="FV67" i="185" s="1"/>
  <c r="FZ67" i="185" s="1"/>
  <c r="GB67" i="185"/>
  <c r="BU24" i="185"/>
  <c r="BV24" i="185" s="1"/>
  <c r="W17" i="184"/>
  <c r="EP17" i="184"/>
  <c r="BT28" i="184"/>
  <c r="GB58" i="183"/>
  <c r="GJ58" i="183"/>
  <c r="FV58" i="183" s="1"/>
  <c r="FZ58" i="183" s="1"/>
  <c r="BV39" i="185"/>
  <c r="V30" i="186"/>
  <c r="V40" i="183"/>
  <c r="BV36" i="184"/>
  <c r="BS26" i="185"/>
  <c r="BT26" i="185" s="1"/>
  <c r="EP29" i="183"/>
  <c r="W29" i="183"/>
  <c r="BU30" i="186"/>
  <c r="BU16" i="186"/>
  <c r="BV16" i="186" s="1"/>
  <c r="V41" i="183"/>
  <c r="BV41" i="183" s="1"/>
  <c r="BT34" i="185"/>
  <c r="BV28" i="186"/>
  <c r="T30" i="184"/>
  <c r="T22" i="185"/>
  <c r="BT22" i="185" s="1"/>
  <c r="BV33" i="183"/>
  <c r="V32" i="185"/>
  <c r="V32" i="186"/>
  <c r="BU15" i="184"/>
  <c r="BV15" i="184" s="1"/>
  <c r="V19" i="185"/>
  <c r="FY67" i="184"/>
  <c r="GA67" i="184" s="1"/>
  <c r="EP15" i="184"/>
  <c r="W15" i="184"/>
  <c r="BU28" i="184"/>
  <c r="BV28" i="184" s="1"/>
  <c r="BV38" i="184"/>
  <c r="EP37" i="185"/>
  <c r="W37" i="185"/>
  <c r="BS23" i="186"/>
  <c r="V22" i="185"/>
  <c r="EP30" i="183"/>
  <c r="W30" i="183"/>
  <c r="BS21" i="186"/>
  <c r="BT21" i="186" s="1"/>
  <c r="V37" i="185"/>
  <c r="BV37" i="185" s="1"/>
  <c r="BV19" i="184"/>
  <c r="T24" i="185"/>
  <c r="BT24" i="185" s="1"/>
  <c r="EP39" i="183"/>
  <c r="W39" i="183"/>
  <c r="EP23" i="186"/>
  <c r="W23" i="186"/>
  <c r="T22" i="186"/>
  <c r="BT22" i="186" s="1"/>
  <c r="BV26" i="186"/>
  <c r="EP14" i="185"/>
  <c r="W14" i="185"/>
  <c r="V25" i="186"/>
  <c r="W23" i="184"/>
  <c r="EP23" i="184"/>
  <c r="EP18" i="186"/>
  <c r="W18" i="186"/>
  <c r="W32" i="183"/>
  <c r="EP32" i="183"/>
  <c r="T14" i="186"/>
  <c r="BT14" i="186" s="1"/>
  <c r="V38" i="183"/>
  <c r="V34" i="183"/>
  <c r="BV34" i="183" s="1"/>
  <c r="EP33" i="183"/>
  <c r="W33" i="183"/>
  <c r="EP32" i="186"/>
  <c r="W32" i="186"/>
  <c r="T27" i="185"/>
  <c r="BT27" i="185" s="1"/>
  <c r="T41" i="183"/>
  <c r="EC70" i="84"/>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GA60" i="183" l="1"/>
  <c r="GJ68" i="184"/>
  <c r="FV68" i="184" s="1"/>
  <c r="FZ68" i="184" s="1"/>
  <c r="AI28" i="184" s="1"/>
  <c r="AJ28" i="184" s="1"/>
  <c r="GA68" i="184"/>
  <c r="GB60" i="183"/>
  <c r="BT34" i="184"/>
  <c r="AD20" i="183"/>
  <c r="AE20" i="183" s="1"/>
  <c r="GJ69" i="186"/>
  <c r="FV69" i="186" s="1"/>
  <c r="FZ69" i="186" s="1"/>
  <c r="GB69" i="186"/>
  <c r="GB54" i="183"/>
  <c r="GJ54" i="183"/>
  <c r="FV54" i="183" s="1"/>
  <c r="FZ54" i="183" s="1"/>
  <c r="GA67" i="186"/>
  <c r="GB67" i="186"/>
  <c r="GJ64" i="185"/>
  <c r="FV64" i="185" s="1"/>
  <c r="AD24" i="185" s="1"/>
  <c r="AE24" i="185" s="1"/>
  <c r="GA64" i="185"/>
  <c r="BT29" i="185"/>
  <c r="GJ65" i="184"/>
  <c r="FV65" i="184" s="1"/>
  <c r="AD25" i="184" s="1"/>
  <c r="GB65" i="184"/>
  <c r="FZ78" i="184"/>
  <c r="AI38" i="184" s="1"/>
  <c r="AJ38" i="184" s="1"/>
  <c r="GB78" i="184"/>
  <c r="GB69" i="183"/>
  <c r="GJ69" i="183"/>
  <c r="FV69" i="183" s="1"/>
  <c r="FZ69" i="183" s="1"/>
  <c r="AI29" i="183" s="1"/>
  <c r="GJ64" i="186"/>
  <c r="FV64" i="186" s="1"/>
  <c r="AD24" i="186" s="1"/>
  <c r="AE24" i="186" s="1"/>
  <c r="GJ66" i="186"/>
  <c r="FV66" i="186" s="1"/>
  <c r="AD26" i="186" s="1"/>
  <c r="GA78" i="184"/>
  <c r="GB66" i="186"/>
  <c r="BT39" i="183"/>
  <c r="GB73" i="185"/>
  <c r="FZ73" i="185"/>
  <c r="AI33" i="185" s="1"/>
  <c r="BV14" i="186"/>
  <c r="BV32" i="185"/>
  <c r="GB74" i="185"/>
  <c r="BV40" i="183"/>
  <c r="BV15" i="185"/>
  <c r="GB71" i="185"/>
  <c r="GJ71" i="185"/>
  <c r="FV71" i="185" s="1"/>
  <c r="FZ71" i="185" s="1"/>
  <c r="AI31" i="185" s="1"/>
  <c r="AJ31" i="185" s="1"/>
  <c r="GJ65" i="183"/>
  <c r="FV65" i="183" s="1"/>
  <c r="FZ65" i="183" s="1"/>
  <c r="AI25" i="183" s="1"/>
  <c r="AJ25" i="183" s="1"/>
  <c r="GB65" i="183"/>
  <c r="BV25" i="186"/>
  <c r="GA73" i="185"/>
  <c r="GJ74" i="185"/>
  <c r="FV74" i="185" s="1"/>
  <c r="AD34" i="185" s="1"/>
  <c r="AE34" i="185" s="1"/>
  <c r="BV27" i="186"/>
  <c r="BV31" i="185"/>
  <c r="BV38" i="183"/>
  <c r="FZ64" i="186"/>
  <c r="AI24" i="186" s="1"/>
  <c r="AJ24" i="186" s="1"/>
  <c r="BV32" i="186"/>
  <c r="BT27" i="184"/>
  <c r="BV22" i="185"/>
  <c r="BT30" i="184"/>
  <c r="GJ54" i="185"/>
  <c r="FV54" i="185" s="1"/>
  <c r="FZ54" i="185" s="1"/>
  <c r="AI14" i="185" s="1"/>
  <c r="GB54" i="185"/>
  <c r="BT41" i="183"/>
  <c r="GA54" i="184"/>
  <c r="BV19" i="185"/>
  <c r="BV35" i="185"/>
  <c r="BT21" i="184"/>
  <c r="AD35" i="185"/>
  <c r="AE35" i="185" s="1"/>
  <c r="FC35" i="185" s="1"/>
  <c r="BT40" i="185"/>
  <c r="BT33" i="184"/>
  <c r="GB54" i="184"/>
  <c r="GA68" i="183"/>
  <c r="GJ57" i="184"/>
  <c r="FV57" i="184" s="1"/>
  <c r="FZ57" i="184" s="1"/>
  <c r="AI17" i="184" s="1"/>
  <c r="GB59" i="184"/>
  <c r="FZ58" i="185"/>
  <c r="AI18" i="185" s="1"/>
  <c r="AJ18" i="185" s="1"/>
  <c r="GJ68" i="183"/>
  <c r="FV68" i="183" s="1"/>
  <c r="AD28" i="183" s="1"/>
  <c r="GA57" i="184"/>
  <c r="GJ60" i="185"/>
  <c r="FV60" i="185" s="1"/>
  <c r="FZ60" i="185" s="1"/>
  <c r="GB72" i="185"/>
  <c r="GA60" i="185"/>
  <c r="GB59" i="183"/>
  <c r="GB55" i="184"/>
  <c r="GB60" i="186"/>
  <c r="GJ59" i="183"/>
  <c r="FV59" i="183" s="1"/>
  <c r="AD19" i="183" s="1"/>
  <c r="GJ60" i="186"/>
  <c r="FV60" i="186" s="1"/>
  <c r="FZ60" i="186" s="1"/>
  <c r="GJ72" i="185"/>
  <c r="FV72" i="185" s="1"/>
  <c r="FZ72" i="185" s="1"/>
  <c r="GA61" i="184"/>
  <c r="GA76" i="185"/>
  <c r="GA59" i="184"/>
  <c r="GB76" i="185"/>
  <c r="GB63" i="186"/>
  <c r="GA63" i="186"/>
  <c r="GB61" i="184"/>
  <c r="FZ57" i="183"/>
  <c r="AI17" i="183" s="1"/>
  <c r="AJ17" i="183" s="1"/>
  <c r="AD23" i="185"/>
  <c r="AE23" i="185" s="1"/>
  <c r="GB62" i="183"/>
  <c r="GA61" i="183"/>
  <c r="GB61" i="183"/>
  <c r="FZ55" i="183"/>
  <c r="AI15" i="183" s="1"/>
  <c r="AJ15" i="183" s="1"/>
  <c r="GJ71" i="184"/>
  <c r="FV71" i="184" s="1"/>
  <c r="AD31" i="184" s="1"/>
  <c r="GB57" i="185"/>
  <c r="GA70" i="185"/>
  <c r="GB61" i="186"/>
  <c r="GB70" i="185"/>
  <c r="GA55" i="184"/>
  <c r="GJ62" i="183"/>
  <c r="FV62" i="183" s="1"/>
  <c r="AD22" i="183" s="1"/>
  <c r="AE22" i="183" s="1"/>
  <c r="GA55" i="185"/>
  <c r="GB55" i="185"/>
  <c r="GJ61" i="186"/>
  <c r="FV61" i="186" s="1"/>
  <c r="FZ61" i="186" s="1"/>
  <c r="AI21" i="186" s="1"/>
  <c r="FZ59" i="186"/>
  <c r="AI19" i="186" s="1"/>
  <c r="AJ19" i="186" s="1"/>
  <c r="GA73" i="184"/>
  <c r="GA57" i="185"/>
  <c r="GB71" i="184"/>
  <c r="GB73" i="184"/>
  <c r="FZ62" i="186"/>
  <c r="AI22" i="186" s="1"/>
  <c r="GJ68" i="185"/>
  <c r="FV68" i="185" s="1"/>
  <c r="FZ68" i="185" s="1"/>
  <c r="AI28" i="185" s="1"/>
  <c r="GJ70" i="186"/>
  <c r="FV70" i="186" s="1"/>
  <c r="AD30" i="186" s="1"/>
  <c r="GB58" i="184"/>
  <c r="GB68" i="185"/>
  <c r="GA70" i="184"/>
  <c r="GA74" i="184"/>
  <c r="GJ58" i="184"/>
  <c r="FV58" i="184" s="1"/>
  <c r="FZ58" i="184" s="1"/>
  <c r="GB70" i="184"/>
  <c r="GJ74" i="184"/>
  <c r="FV74" i="184" s="1"/>
  <c r="AD34" i="184" s="1"/>
  <c r="AE34" i="184" s="1"/>
  <c r="GA70" i="186"/>
  <c r="BT17" i="184"/>
  <c r="BV35" i="184"/>
  <c r="BV30" i="186"/>
  <c r="BT23" i="186"/>
  <c r="AI14" i="183"/>
  <c r="AI37" i="185"/>
  <c r="AJ37" i="185" s="1"/>
  <c r="AI37" i="184"/>
  <c r="AJ37" i="184" s="1"/>
  <c r="AI18" i="183"/>
  <c r="AI38" i="185"/>
  <c r="AI15" i="185"/>
  <c r="AD30" i="184"/>
  <c r="AE30" i="184" s="1"/>
  <c r="FZ70" i="184"/>
  <c r="AI16" i="184"/>
  <c r="AJ16" i="184" s="1"/>
  <c r="AD21" i="184"/>
  <c r="AE21" i="184" s="1"/>
  <c r="FZ61" i="184"/>
  <c r="AD14" i="184"/>
  <c r="FZ54" i="184"/>
  <c r="AI15" i="184"/>
  <c r="AD30" i="185"/>
  <c r="FZ70" i="185"/>
  <c r="AD19" i="184"/>
  <c r="AE19" i="184" s="1"/>
  <c r="FZ59" i="184"/>
  <c r="AD31" i="186"/>
  <c r="AD23" i="184"/>
  <c r="AE23" i="184" s="1"/>
  <c r="GJ59" i="185"/>
  <c r="FV59" i="185" s="1"/>
  <c r="FZ59" i="185" s="1"/>
  <c r="GB59" i="185"/>
  <c r="AD21" i="183"/>
  <c r="AD33" i="184"/>
  <c r="AE33" i="184" s="1"/>
  <c r="FZ73" i="184"/>
  <c r="FC19" i="186"/>
  <c r="FE21" i="185"/>
  <c r="AD36" i="184"/>
  <c r="AE36" i="184" s="1"/>
  <c r="GJ69" i="184"/>
  <c r="FV69" i="184" s="1"/>
  <c r="FZ69" i="184" s="1"/>
  <c r="GB69" i="184"/>
  <c r="GA59" i="185"/>
  <c r="AD24" i="183"/>
  <c r="GJ66" i="183"/>
  <c r="FV66" i="183" s="1"/>
  <c r="GB66" i="183"/>
  <c r="AD25" i="186"/>
  <c r="AD17" i="185"/>
  <c r="AJ20" i="183"/>
  <c r="FE20" i="183" s="1"/>
  <c r="AD39" i="184"/>
  <c r="AE39" i="184" s="1"/>
  <c r="AI16" i="183"/>
  <c r="AI21" i="183"/>
  <c r="AJ21" i="183" s="1"/>
  <c r="GB63" i="183"/>
  <c r="GJ63" i="183"/>
  <c r="FV63" i="183" s="1"/>
  <c r="FZ63" i="183" s="1"/>
  <c r="AI39" i="184"/>
  <c r="AI36" i="185"/>
  <c r="AJ36" i="185" s="1"/>
  <c r="AI27" i="185"/>
  <c r="AJ27" i="185" s="1"/>
  <c r="AI36" i="184"/>
  <c r="AD25" i="185"/>
  <c r="GB80" i="184"/>
  <c r="GJ80" i="184"/>
  <c r="FV80" i="184" s="1"/>
  <c r="GJ58" i="186"/>
  <c r="FV58" i="186" s="1"/>
  <c r="FZ58" i="186" s="1"/>
  <c r="GB58" i="186"/>
  <c r="AI35" i="184"/>
  <c r="GJ66" i="185"/>
  <c r="FV66" i="185" s="1"/>
  <c r="FZ66" i="185" s="1"/>
  <c r="GB66" i="185"/>
  <c r="GJ79" i="185"/>
  <c r="FV79" i="185" s="1"/>
  <c r="FZ79" i="185" s="1"/>
  <c r="GB79" i="185"/>
  <c r="AD36" i="185"/>
  <c r="GB60" i="184"/>
  <c r="GJ60" i="184"/>
  <c r="FV60" i="184" s="1"/>
  <c r="FZ60" i="184" s="1"/>
  <c r="GJ66" i="184"/>
  <c r="FV66" i="184" s="1"/>
  <c r="FZ66" i="184" s="1"/>
  <c r="GB66" i="184"/>
  <c r="AI35" i="185"/>
  <c r="AJ35" i="185" s="1"/>
  <c r="AI23" i="186"/>
  <c r="FC15" i="183"/>
  <c r="AD17" i="186"/>
  <c r="AE17" i="186" s="1"/>
  <c r="AD15" i="184"/>
  <c r="AE15" i="184" s="1"/>
  <c r="AI22" i="185"/>
  <c r="AJ22" i="185" s="1"/>
  <c r="BW22" i="185" s="1"/>
  <c r="BX22" i="185" s="1"/>
  <c r="FC33" i="185"/>
  <c r="FC16" i="183"/>
  <c r="FZ65" i="185"/>
  <c r="AE21" i="185"/>
  <c r="BW21" i="185" s="1"/>
  <c r="BX21" i="185" s="1"/>
  <c r="AD22" i="184"/>
  <c r="AE22" i="184" s="1"/>
  <c r="AI32" i="184"/>
  <c r="AJ32" i="184" s="1"/>
  <c r="GJ68" i="186"/>
  <c r="FV68" i="186" s="1"/>
  <c r="FZ68" i="186" s="1"/>
  <c r="GB68" i="186"/>
  <c r="GJ55" i="186"/>
  <c r="FV55" i="186" s="1"/>
  <c r="FZ55" i="186" s="1"/>
  <c r="GB55" i="186"/>
  <c r="AD27" i="186"/>
  <c r="AE27" i="186" s="1"/>
  <c r="AJ23" i="185"/>
  <c r="FE23" i="185" s="1"/>
  <c r="AI25" i="186"/>
  <c r="AJ25" i="186" s="1"/>
  <c r="AD15" i="185"/>
  <c r="AE15" i="185" s="1"/>
  <c r="AD37" i="185"/>
  <c r="AE37" i="185" s="1"/>
  <c r="AD16" i="184"/>
  <c r="AE16" i="184" s="1"/>
  <c r="AD18" i="183"/>
  <c r="AE18" i="183" s="1"/>
  <c r="FC20" i="183"/>
  <c r="AI22" i="184"/>
  <c r="AJ22" i="184" s="1"/>
  <c r="AD27" i="185"/>
  <c r="AE27" i="185" s="1"/>
  <c r="FZ63" i="184"/>
  <c r="AD35" i="184"/>
  <c r="AE18" i="185"/>
  <c r="FC18" i="185" s="1"/>
  <c r="FZ67" i="186"/>
  <c r="GB69" i="185"/>
  <c r="GJ69" i="185"/>
  <c r="FV69" i="185" s="1"/>
  <c r="FC32" i="184"/>
  <c r="FZ57" i="185"/>
  <c r="AE17" i="183"/>
  <c r="AD38" i="185"/>
  <c r="AE38" i="185" s="1"/>
  <c r="AD14" i="183"/>
  <c r="GJ72" i="186"/>
  <c r="FV72" i="186" s="1"/>
  <c r="FZ72" i="186" s="1"/>
  <c r="GB72" i="186"/>
  <c r="AI24" i="183"/>
  <c r="GJ64" i="184"/>
  <c r="FV64" i="184" s="1"/>
  <c r="GB64" i="184"/>
  <c r="GJ67" i="184"/>
  <c r="FV67" i="184" s="1"/>
  <c r="GB67" i="184"/>
  <c r="GJ67" i="183"/>
  <c r="FV67" i="183" s="1"/>
  <c r="FZ67" i="183" s="1"/>
  <c r="GB67" i="183"/>
  <c r="FZ71" i="186"/>
  <c r="AD23" i="186"/>
  <c r="GJ80" i="185"/>
  <c r="FV80" i="185" s="1"/>
  <c r="FZ80" i="185" s="1"/>
  <c r="GB80" i="185"/>
  <c r="GA64" i="184"/>
  <c r="AD37" i="184"/>
  <c r="AE37" i="184" s="1"/>
  <c r="FC22" i="185"/>
  <c r="FZ57" i="186"/>
  <c r="GB54" i="186"/>
  <c r="GJ54" i="186"/>
  <c r="FV54" i="186" s="1"/>
  <c r="FZ54" i="186" s="1"/>
  <c r="GJ56" i="186"/>
  <c r="FV56" i="186" s="1"/>
  <c r="GB56" i="186"/>
  <c r="GB56" i="185"/>
  <c r="GJ56" i="185"/>
  <c r="FV56" i="185" s="1"/>
  <c r="FC22" i="186"/>
  <c r="AE38" i="184"/>
  <c r="FC38" i="184" s="1"/>
  <c r="EP30" i="84"/>
  <c r="H22" i="165"/>
  <c r="AQ22" i="165" s="1"/>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FE28" i="184" l="1"/>
  <c r="AD28" i="184"/>
  <c r="AE28" i="184" s="1"/>
  <c r="AD29" i="186"/>
  <c r="FZ65" i="184"/>
  <c r="AI25" i="184" s="1"/>
  <c r="AJ25" i="184" s="1"/>
  <c r="FZ64" i="185"/>
  <c r="AI24" i="185" s="1"/>
  <c r="FC24" i="185"/>
  <c r="FC24" i="186"/>
  <c r="AE26" i="186"/>
  <c r="FC26" i="186" s="1"/>
  <c r="FZ66" i="186"/>
  <c r="AI26" i="186" s="1"/>
  <c r="AD29" i="183"/>
  <c r="AE29" i="183" s="1"/>
  <c r="FC34" i="185"/>
  <c r="AD31" i="185"/>
  <c r="AE31" i="185" s="1"/>
  <c r="FE25" i="183"/>
  <c r="AD25" i="183"/>
  <c r="AE25" i="183" s="1"/>
  <c r="AD14" i="185"/>
  <c r="FZ74" i="185"/>
  <c r="AI34" i="185" s="1"/>
  <c r="AJ34" i="185" s="1"/>
  <c r="AD17" i="184"/>
  <c r="AE17" i="184" s="1"/>
  <c r="FZ68" i="183"/>
  <c r="AI28" i="183" s="1"/>
  <c r="AJ28" i="183" s="1"/>
  <c r="AD20" i="185"/>
  <c r="AE20" i="185" s="1"/>
  <c r="FC20" i="185" s="1"/>
  <c r="AD32" i="185"/>
  <c r="AE32" i="185" s="1"/>
  <c r="AD20" i="186"/>
  <c r="AE20" i="186" s="1"/>
  <c r="FZ59" i="183"/>
  <c r="AI19" i="183" s="1"/>
  <c r="AJ19" i="183" s="1"/>
  <c r="FZ71" i="184"/>
  <c r="AI31" i="184" s="1"/>
  <c r="AJ31" i="184" s="1"/>
  <c r="AD28" i="185"/>
  <c r="AE28" i="185" s="1"/>
  <c r="FC28" i="185" s="1"/>
  <c r="AD21" i="186"/>
  <c r="AE21" i="186" s="1"/>
  <c r="FZ62" i="183"/>
  <c r="AI22" i="183" s="1"/>
  <c r="AJ22" i="183" s="1"/>
  <c r="BW22" i="183" s="1"/>
  <c r="BX22" i="183" s="1"/>
  <c r="BW20" i="183"/>
  <c r="BX20" i="183" s="1"/>
  <c r="FB20" i="183" s="1"/>
  <c r="FZ70" i="186"/>
  <c r="AI30" i="186" s="1"/>
  <c r="AJ30" i="186" s="1"/>
  <c r="FZ74" i="184"/>
  <c r="AI34" i="184" s="1"/>
  <c r="AJ34" i="184" s="1"/>
  <c r="AD18" i="184"/>
  <c r="AE18" i="184" s="1"/>
  <c r="BW18" i="185"/>
  <c r="BX18" i="185" s="1"/>
  <c r="FB18" i="185" s="1"/>
  <c r="BW35" i="185"/>
  <c r="BX35" i="185" s="1"/>
  <c r="GK75" i="185" s="1"/>
  <c r="FF20" i="183"/>
  <c r="AJ17" i="184"/>
  <c r="FE17" i="184" s="1"/>
  <c r="FC21" i="185"/>
  <c r="FF21" i="185" s="1"/>
  <c r="EZ21" i="185"/>
  <c r="FB21" i="185"/>
  <c r="BY21" i="185"/>
  <c r="AI14" i="186"/>
  <c r="AJ14" i="186" s="1"/>
  <c r="AI29" i="184"/>
  <c r="AJ29" i="184" s="1"/>
  <c r="AI18" i="186"/>
  <c r="AI20" i="184"/>
  <c r="BW32" i="184"/>
  <c r="BX32" i="184" s="1"/>
  <c r="AI26" i="184"/>
  <c r="AI39" i="185"/>
  <c r="AJ39" i="185" s="1"/>
  <c r="AI28" i="186"/>
  <c r="AJ28" i="186" s="1"/>
  <c r="AI19" i="185"/>
  <c r="AJ19" i="185" s="1"/>
  <c r="AD27" i="183"/>
  <c r="AE27" i="183" s="1"/>
  <c r="AI17" i="185"/>
  <c r="FC16" i="184"/>
  <c r="BW16" i="184"/>
  <c r="BX16" i="184" s="1"/>
  <c r="GK56" i="184" s="1"/>
  <c r="FE31" i="185"/>
  <c r="FC17" i="186"/>
  <c r="BW23" i="185"/>
  <c r="BX23" i="185" s="1"/>
  <c r="GK63" i="185" s="1"/>
  <c r="FE35" i="185"/>
  <c r="FF35" i="185" s="1"/>
  <c r="AJ39" i="184"/>
  <c r="FE39" i="184" s="1"/>
  <c r="FC33" i="184"/>
  <c r="FC19" i="184"/>
  <c r="FC22" i="183"/>
  <c r="AI18" i="184"/>
  <c r="AJ18" i="184" s="1"/>
  <c r="FC36" i="184"/>
  <c r="AD16" i="185"/>
  <c r="AE16" i="185" s="1"/>
  <c r="BY22" i="185"/>
  <c r="FB22" i="185"/>
  <c r="EZ22" i="185"/>
  <c r="EX22" i="185"/>
  <c r="AD40" i="185"/>
  <c r="AE40" i="185" s="1"/>
  <c r="AI27" i="183"/>
  <c r="AJ27" i="183" s="1"/>
  <c r="AD32" i="186"/>
  <c r="AE32" i="186" s="1"/>
  <c r="BW38" i="184"/>
  <c r="BX38" i="184" s="1"/>
  <c r="GK78" i="184" s="1"/>
  <c r="AI27" i="186"/>
  <c r="AJ27" i="186" s="1"/>
  <c r="AI23" i="184"/>
  <c r="FC27" i="185"/>
  <c r="BW27" i="185"/>
  <c r="BX27" i="185" s="1"/>
  <c r="GK67" i="185" s="1"/>
  <c r="FE22" i="184"/>
  <c r="AD28" i="186"/>
  <c r="AE28" i="186" s="1"/>
  <c r="FC23" i="185"/>
  <c r="FF23" i="185" s="1"/>
  <c r="AD40" i="184"/>
  <c r="AE40" i="184" s="1"/>
  <c r="AD23" i="183"/>
  <c r="AE23" i="183" s="1"/>
  <c r="AD26" i="183"/>
  <c r="AE26" i="183" s="1"/>
  <c r="AD19" i="185"/>
  <c r="AE19" i="185" s="1"/>
  <c r="FC28" i="184"/>
  <c r="FF28" i="184" s="1"/>
  <c r="AI30" i="185"/>
  <c r="AI14" i="184"/>
  <c r="AJ14" i="184" s="1"/>
  <c r="FC21" i="184"/>
  <c r="FC34" i="184"/>
  <c r="AJ14" i="185"/>
  <c r="FE14" i="185" s="1"/>
  <c r="AD14" i="186"/>
  <c r="AE14" i="186" s="1"/>
  <c r="AI32" i="186"/>
  <c r="AJ32" i="186" s="1"/>
  <c r="AD20" i="184"/>
  <c r="AE20" i="184" s="1"/>
  <c r="AJ16" i="183"/>
  <c r="BW16" i="183" s="1"/>
  <c r="BX16" i="183" s="1"/>
  <c r="AJ14" i="183"/>
  <c r="FE14" i="183" s="1"/>
  <c r="AI40" i="185"/>
  <c r="AJ40" i="185" s="1"/>
  <c r="FE25" i="186"/>
  <c r="AI25" i="185"/>
  <c r="BW24" i="186"/>
  <c r="FE22" i="185"/>
  <c r="FF22" i="185" s="1"/>
  <c r="AD39" i="185"/>
  <c r="AJ36" i="184"/>
  <c r="BW36" i="184" s="1"/>
  <c r="BX36" i="184" s="1"/>
  <c r="FE21" i="183"/>
  <c r="AE17" i="185"/>
  <c r="FC17" i="185" s="1"/>
  <c r="FZ66" i="183"/>
  <c r="AJ33" i="185"/>
  <c r="AI30" i="184"/>
  <c r="AJ30" i="184" s="1"/>
  <c r="FC18" i="183"/>
  <c r="AJ23" i="186"/>
  <c r="FE23" i="186" s="1"/>
  <c r="FE37" i="185"/>
  <c r="FE15" i="183"/>
  <c r="FF15" i="183" s="1"/>
  <c r="FZ56" i="185"/>
  <c r="GK62" i="185"/>
  <c r="AD24" i="184"/>
  <c r="AE24" i="184" s="1"/>
  <c r="AE14" i="183"/>
  <c r="BW17" i="183"/>
  <c r="BX17" i="183" s="1"/>
  <c r="AI15" i="186"/>
  <c r="AJ15" i="186" s="1"/>
  <c r="FE32" i="184"/>
  <c r="FF32" i="184" s="1"/>
  <c r="BW15" i="183"/>
  <c r="BX15" i="183" s="1"/>
  <c r="GK55" i="183" s="1"/>
  <c r="FE17" i="183"/>
  <c r="AI26" i="185"/>
  <c r="AD18" i="186"/>
  <c r="FZ80" i="184"/>
  <c r="AI23" i="183"/>
  <c r="AJ23" i="183" s="1"/>
  <c r="AD29" i="184"/>
  <c r="AE29" i="184" s="1"/>
  <c r="AJ29" i="183"/>
  <c r="FE29" i="183" s="1"/>
  <c r="AE21" i="183"/>
  <c r="FC21" i="183" s="1"/>
  <c r="AE30" i="185"/>
  <c r="AE14" i="184"/>
  <c r="FC14" i="184" s="1"/>
  <c r="AJ28" i="185"/>
  <c r="FE28" i="185" s="1"/>
  <c r="AE30" i="186"/>
  <c r="FC30" i="186" s="1"/>
  <c r="AE19" i="183"/>
  <c r="AI32" i="185"/>
  <c r="AJ32" i="185" s="1"/>
  <c r="AD16" i="186"/>
  <c r="AD27" i="184"/>
  <c r="AE27" i="184" s="1"/>
  <c r="FC38" i="185"/>
  <c r="AE35" i="184"/>
  <c r="FC35" i="184" s="1"/>
  <c r="FC15" i="185"/>
  <c r="AJ35" i="184"/>
  <c r="FE35" i="184" s="1"/>
  <c r="GK61" i="185"/>
  <c r="AE24" i="183"/>
  <c r="FC24" i="183" s="1"/>
  <c r="FE18" i="185"/>
  <c r="FF18" i="185" s="1"/>
  <c r="FC23" i="184"/>
  <c r="AI21" i="184"/>
  <c r="AJ38" i="185"/>
  <c r="BW38" i="185" s="1"/>
  <c r="BX38" i="185" s="1"/>
  <c r="FZ56" i="186"/>
  <c r="AI17" i="186"/>
  <c r="AE23" i="186"/>
  <c r="FC23" i="186" s="1"/>
  <c r="FZ64" i="184"/>
  <c r="FE24" i="186"/>
  <c r="AI29" i="186"/>
  <c r="AJ29" i="186" s="1"/>
  <c r="FC37" i="185"/>
  <c r="BW37" i="185"/>
  <c r="BX37" i="185" s="1"/>
  <c r="GK77" i="185" s="1"/>
  <c r="FC17" i="183"/>
  <c r="FC27" i="186"/>
  <c r="AE25" i="184"/>
  <c r="FC25" i="184" s="1"/>
  <c r="AI20" i="186"/>
  <c r="FE27" i="185"/>
  <c r="AJ21" i="186"/>
  <c r="AE31" i="186"/>
  <c r="AJ18" i="183"/>
  <c r="BW18" i="183" s="1"/>
  <c r="BX18" i="183" s="1"/>
  <c r="AE28" i="183"/>
  <c r="FC28" i="183" s="1"/>
  <c r="AD29" i="185"/>
  <c r="AE29" i="185" s="1"/>
  <c r="AD26" i="184"/>
  <c r="AE26" i="184" s="1"/>
  <c r="AI19" i="184"/>
  <c r="FC30" i="184"/>
  <c r="FE19" i="186"/>
  <c r="FF19" i="186" s="1"/>
  <c r="FC37" i="184"/>
  <c r="BW37" i="184"/>
  <c r="BX37" i="184" s="1"/>
  <c r="GK77" i="184" s="1"/>
  <c r="AI31" i="186"/>
  <c r="AJ31" i="186" s="1"/>
  <c r="FZ67" i="184"/>
  <c r="AJ24" i="183"/>
  <c r="FE24" i="183" s="1"/>
  <c r="AJ22" i="186"/>
  <c r="FZ69" i="185"/>
  <c r="FE38" i="184"/>
  <c r="FF38" i="184" s="1"/>
  <c r="AD15" i="186"/>
  <c r="FC22" i="184"/>
  <c r="BW22" i="184"/>
  <c r="BX22" i="184" s="1"/>
  <c r="GK62" i="184" s="1"/>
  <c r="FC15" i="184"/>
  <c r="AE14" i="185"/>
  <c r="FC14" i="185" s="1"/>
  <c r="AE36" i="185"/>
  <c r="FC36" i="185" s="1"/>
  <c r="AD26" i="185"/>
  <c r="AE26" i="185" s="1"/>
  <c r="AE25" i="185"/>
  <c r="FE36" i="185"/>
  <c r="FC39" i="184"/>
  <c r="AE25" i="186"/>
  <c r="BW25" i="186" s="1"/>
  <c r="BX25" i="186" s="1"/>
  <c r="BW19" i="186"/>
  <c r="BX19" i="186" s="1"/>
  <c r="AI33" i="184"/>
  <c r="AJ33" i="184" s="1"/>
  <c r="AE29" i="186"/>
  <c r="FC29" i="186" s="1"/>
  <c r="AJ15" i="184"/>
  <c r="BW15" i="184" s="1"/>
  <c r="BX15" i="184" s="1"/>
  <c r="AE31" i="184"/>
  <c r="FC31" i="184" s="1"/>
  <c r="FE16" i="184"/>
  <c r="AJ15" i="185"/>
  <c r="FE15" i="185" s="1"/>
  <c r="FE37" i="184"/>
  <c r="AI20" i="185"/>
  <c r="K27" i="147"/>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Q23" i="147"/>
  <c r="AZ23" i="147"/>
  <c r="EV26" i="147"/>
  <c r="X26" i="147" s="1"/>
  <c r="X30" i="165"/>
  <c r="CJ30" i="165"/>
  <c r="AS18" i="165"/>
  <c r="AS23"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BW28" i="184" l="1"/>
  <c r="BX28" i="184" s="1"/>
  <c r="GK68" i="184" s="1"/>
  <c r="AJ26" i="186"/>
  <c r="FE26" i="186" s="1"/>
  <c r="FF26" i="186" s="1"/>
  <c r="AJ24" i="185"/>
  <c r="BW24" i="185" s="1"/>
  <c r="BX24" i="185" s="1"/>
  <c r="GK64" i="185" s="1"/>
  <c r="FC29" i="183"/>
  <c r="FF29" i="183" s="1"/>
  <c r="FC31" i="185"/>
  <c r="FF31" i="185" s="1"/>
  <c r="BW31" i="185"/>
  <c r="BX31" i="185" s="1"/>
  <c r="GK71" i="185" s="1"/>
  <c r="FE34" i="185"/>
  <c r="FF34" i="185" s="1"/>
  <c r="BW34" i="185"/>
  <c r="BX34" i="185" s="1"/>
  <c r="GK74" i="185" s="1"/>
  <c r="FC17" i="184"/>
  <c r="FF17" i="184" s="1"/>
  <c r="FC25" i="183"/>
  <c r="FF25" i="183" s="1"/>
  <c r="BW25" i="183"/>
  <c r="BX25" i="183" s="1"/>
  <c r="EZ25" i="183" s="1"/>
  <c r="FC32" i="185"/>
  <c r="BW32" i="185"/>
  <c r="BX32" i="185" s="1"/>
  <c r="GK72" i="185" s="1"/>
  <c r="FC20" i="186"/>
  <c r="AT40" i="147"/>
  <c r="AR34" i="165"/>
  <c r="EZ35" i="185"/>
  <c r="GK54" i="183"/>
  <c r="FB35" i="185"/>
  <c r="FA35" i="185" s="1"/>
  <c r="BY35" i="185"/>
  <c r="FC21" i="186"/>
  <c r="BW21" i="186"/>
  <c r="BX21" i="186" s="1"/>
  <c r="BY21" i="186" s="1"/>
  <c r="GK60" i="183"/>
  <c r="BW17" i="184"/>
  <c r="BX17" i="184" s="1"/>
  <c r="GK57" i="184" s="1"/>
  <c r="BY20" i="183"/>
  <c r="FF16" i="184"/>
  <c r="FF27" i="185"/>
  <c r="EZ20" i="183"/>
  <c r="BW39" i="184"/>
  <c r="BX39" i="184" s="1"/>
  <c r="BY39" i="184" s="1"/>
  <c r="BW28" i="185"/>
  <c r="BX28" i="185" s="1"/>
  <c r="GK68" i="185" s="1"/>
  <c r="BW29" i="183"/>
  <c r="BX29" i="183" s="1"/>
  <c r="FB29" i="183" s="1"/>
  <c r="FA20" i="183"/>
  <c r="BW31" i="186"/>
  <c r="BX31" i="186" s="1"/>
  <c r="GK71" i="186" s="1"/>
  <c r="BW19" i="183"/>
  <c r="BX19" i="183" s="1"/>
  <c r="EZ19" i="183" s="1"/>
  <c r="BW23" i="186"/>
  <c r="BX23" i="186" s="1"/>
  <c r="GK63" i="186" s="1"/>
  <c r="GK58" i="185"/>
  <c r="EZ18" i="185"/>
  <c r="BY18" i="185"/>
  <c r="BW30" i="184"/>
  <c r="BX30" i="184" s="1"/>
  <c r="GK70" i="184" s="1"/>
  <c r="FF17" i="183"/>
  <c r="FF15" i="185"/>
  <c r="FF37" i="184"/>
  <c r="GK76" i="184"/>
  <c r="FF22" i="184"/>
  <c r="FF39" i="184"/>
  <c r="BW34" i="184"/>
  <c r="BX34" i="184" s="1"/>
  <c r="EZ34" i="184" s="1"/>
  <c r="BW36" i="185"/>
  <c r="BX36" i="185" s="1"/>
  <c r="GK76" i="185" s="1"/>
  <c r="BW31" i="184"/>
  <c r="BX31" i="184" s="1"/>
  <c r="GK71" i="184" s="1"/>
  <c r="FF36" i="185"/>
  <c r="FC25" i="186"/>
  <c r="FF25" i="186" s="1"/>
  <c r="FF24" i="186" s="1"/>
  <c r="FC14" i="183"/>
  <c r="FF14" i="183" s="1"/>
  <c r="FF24" i="183"/>
  <c r="BW27" i="186"/>
  <c r="BX27" i="186" s="1"/>
  <c r="GK67" i="186" s="1"/>
  <c r="FA22" i="185"/>
  <c r="BW24" i="183"/>
  <c r="BX24" i="183" s="1"/>
  <c r="FF23" i="186"/>
  <c r="BW14" i="184"/>
  <c r="BX14" i="184" s="1"/>
  <c r="GK54" i="184" s="1"/>
  <c r="BY15" i="184"/>
  <c r="FB15" i="184"/>
  <c r="EZ15" i="184"/>
  <c r="GK55" i="184"/>
  <c r="FF14" i="185"/>
  <c r="FB22" i="183"/>
  <c r="EZ22" i="183"/>
  <c r="BY22" i="183"/>
  <c r="FB38" i="185"/>
  <c r="BY38" i="185"/>
  <c r="EX38" i="185"/>
  <c r="EZ38" i="185"/>
  <c r="BW30" i="186"/>
  <c r="BX30" i="186" s="1"/>
  <c r="FB18" i="183"/>
  <c r="EZ18" i="183"/>
  <c r="BY18" i="183"/>
  <c r="EX18" i="183"/>
  <c r="BY25" i="186"/>
  <c r="EZ25" i="186"/>
  <c r="FB25" i="186"/>
  <c r="GK65" i="186"/>
  <c r="FE21" i="186"/>
  <c r="FF35" i="184"/>
  <c r="AJ20" i="184"/>
  <c r="BW20" i="184" s="1"/>
  <c r="BX20" i="184" s="1"/>
  <c r="AJ20" i="185"/>
  <c r="FE20" i="185" s="1"/>
  <c r="FF20" i="185" s="1"/>
  <c r="FC26" i="185"/>
  <c r="BY22" i="184"/>
  <c r="FB22" i="184"/>
  <c r="EZ22" i="184"/>
  <c r="FC26" i="184"/>
  <c r="FE31" i="184"/>
  <c r="FF31" i="184" s="1"/>
  <c r="AI24" i="184"/>
  <c r="AJ24" i="184" s="1"/>
  <c r="BW24" i="184" s="1"/>
  <c r="BX24" i="184" s="1"/>
  <c r="GK64" i="184" s="1"/>
  <c r="AJ21" i="184"/>
  <c r="BW21" i="184" s="1"/>
  <c r="BX21" i="184" s="1"/>
  <c r="GK78" i="185"/>
  <c r="AE16" i="186"/>
  <c r="FC16" i="186" s="1"/>
  <c r="BW25" i="184"/>
  <c r="BX25" i="184" s="1"/>
  <c r="GK65" i="184" s="1"/>
  <c r="FE25" i="184"/>
  <c r="BW22" i="186"/>
  <c r="BX22" i="186" s="1"/>
  <c r="BW33" i="185"/>
  <c r="BX33" i="185" s="1"/>
  <c r="GK73" i="185" s="1"/>
  <c r="FE14" i="184"/>
  <c r="FF14" i="184" s="1"/>
  <c r="FE33" i="185"/>
  <c r="FF33" i="185" s="1"/>
  <c r="FE36" i="184"/>
  <c r="FF36" i="184" s="1"/>
  <c r="FE40" i="185"/>
  <c r="FB36" i="184"/>
  <c r="BY36" i="184"/>
  <c r="EZ36" i="184"/>
  <c r="BY19" i="186"/>
  <c r="FB19" i="186"/>
  <c r="FA19" i="186" s="1"/>
  <c r="EZ19" i="186"/>
  <c r="AI29" i="185"/>
  <c r="FE32" i="185"/>
  <c r="FE23" i="183"/>
  <c r="AI16" i="185"/>
  <c r="FE30" i="184"/>
  <c r="FF30" i="184" s="1"/>
  <c r="BW35" i="184"/>
  <c r="BX35" i="184" s="1"/>
  <c r="FC19" i="183"/>
  <c r="AI26" i="183"/>
  <c r="AJ26" i="183" s="1"/>
  <c r="BW26" i="183" s="1"/>
  <c r="BX26" i="183" s="1"/>
  <c r="EZ24" i="186"/>
  <c r="FC26" i="183"/>
  <c r="FC40" i="184"/>
  <c r="FE27" i="183"/>
  <c r="FE18" i="184"/>
  <c r="FB16" i="184"/>
  <c r="BY16" i="184"/>
  <c r="EX16" i="184"/>
  <c r="EZ16" i="184"/>
  <c r="GK56" i="183"/>
  <c r="FB38" i="184"/>
  <c r="FA38" i="184" s="1"/>
  <c r="BY38" i="184"/>
  <c r="EZ38" i="184"/>
  <c r="EX38" i="184"/>
  <c r="FE33" i="184"/>
  <c r="FF33" i="184" s="1"/>
  <c r="BY17" i="183"/>
  <c r="FB17" i="183"/>
  <c r="EX17" i="183"/>
  <c r="EZ17" i="183"/>
  <c r="GK58" i="183"/>
  <c r="BW32" i="186"/>
  <c r="BX32" i="186" s="1"/>
  <c r="GK72" i="186" s="1"/>
  <c r="FC32" i="186"/>
  <c r="FC29" i="185"/>
  <c r="FE15" i="184"/>
  <c r="FF15" i="184" s="1"/>
  <c r="FC25" i="185"/>
  <c r="BW15" i="185"/>
  <c r="BX15" i="185" s="1"/>
  <c r="FC27" i="184"/>
  <c r="FC29" i="184"/>
  <c r="BW29" i="184"/>
  <c r="BX29" i="184" s="1"/>
  <c r="GK69" i="184" s="1"/>
  <c r="AI40" i="184"/>
  <c r="AJ40" i="184" s="1"/>
  <c r="FC30" i="185"/>
  <c r="EX16" i="183"/>
  <c r="FB16" i="183"/>
  <c r="BY16" i="183"/>
  <c r="EZ16" i="183"/>
  <c r="BW18" i="184"/>
  <c r="BX18" i="184" s="1"/>
  <c r="GK58" i="184" s="1"/>
  <c r="FC16" i="185"/>
  <c r="FE16" i="183"/>
  <c r="FF16" i="183" s="1"/>
  <c r="FE19" i="185"/>
  <c r="FE22" i="186"/>
  <c r="FF22" i="186" s="1"/>
  <c r="BY32" i="184"/>
  <c r="FB32" i="184"/>
  <c r="FA32" i="184" s="1"/>
  <c r="EZ32" i="184"/>
  <c r="FA18" i="185"/>
  <c r="BY27" i="185"/>
  <c r="FB27" i="185"/>
  <c r="EZ27" i="185"/>
  <c r="FC27" i="183"/>
  <c r="BW27" i="183"/>
  <c r="BX27" i="183" s="1"/>
  <c r="FE38" i="185"/>
  <c r="FF38" i="185" s="1"/>
  <c r="BY15" i="183"/>
  <c r="FB15" i="183"/>
  <c r="EZ15" i="183"/>
  <c r="EX15" i="183"/>
  <c r="FF37" i="185"/>
  <c r="FF21" i="183"/>
  <c r="AJ25" i="185"/>
  <c r="FC20" i="184"/>
  <c r="FC18" i="184"/>
  <c r="AJ30" i="185"/>
  <c r="BW30" i="185" s="1"/>
  <c r="BX30" i="185" s="1"/>
  <c r="AJ23" i="184"/>
  <c r="FE23" i="184" s="1"/>
  <c r="FF23" i="184" s="1"/>
  <c r="FB28" i="184"/>
  <c r="FA28" i="184" s="1"/>
  <c r="BY28" i="184"/>
  <c r="EZ28" i="184"/>
  <c r="BY23" i="185"/>
  <c r="FB23" i="185"/>
  <c r="FA23" i="185" s="1"/>
  <c r="EX23" i="185"/>
  <c r="EZ23" i="185"/>
  <c r="FE39" i="185"/>
  <c r="GK72" i="184"/>
  <c r="AJ18" i="186"/>
  <c r="FE18" i="186" s="1"/>
  <c r="FE19" i="183"/>
  <c r="FC23" i="183"/>
  <c r="BW23" i="183"/>
  <c r="BX23" i="183" s="1"/>
  <c r="BY37" i="184"/>
  <c r="FB37" i="184"/>
  <c r="EZ37" i="184"/>
  <c r="EX37" i="184"/>
  <c r="FE18" i="183"/>
  <c r="FF18" i="183" s="1"/>
  <c r="AE15" i="186"/>
  <c r="AI27" i="184"/>
  <c r="AJ27" i="184" s="1"/>
  <c r="BW27" i="184" s="1"/>
  <c r="BX27" i="184" s="1"/>
  <c r="AJ19" i="184"/>
  <c r="FE19" i="184" s="1"/>
  <c r="FF19" i="184" s="1"/>
  <c r="BW29" i="186"/>
  <c r="BX29" i="186" s="1"/>
  <c r="GK69" i="186" s="1"/>
  <c r="AJ20" i="186"/>
  <c r="FE20" i="186" s="1"/>
  <c r="AJ17" i="186"/>
  <c r="BW14" i="185"/>
  <c r="BX14" i="185" s="1"/>
  <c r="BW28" i="183"/>
  <c r="BX28" i="183" s="1"/>
  <c r="FC31" i="186"/>
  <c r="AE18" i="186"/>
  <c r="FC24" i="184"/>
  <c r="BW21" i="183"/>
  <c r="BX21" i="183" s="1"/>
  <c r="EX22" i="183" s="1"/>
  <c r="BW14" i="183"/>
  <c r="FE30" i="186"/>
  <c r="FF30" i="186" s="1"/>
  <c r="FC28" i="186"/>
  <c r="BW28" i="186"/>
  <c r="BX28" i="186" s="1"/>
  <c r="GK68" i="186" s="1"/>
  <c r="FE27" i="186"/>
  <c r="FF27" i="186" s="1"/>
  <c r="FC40" i="185"/>
  <c r="BW40" i="185"/>
  <c r="BX40" i="185" s="1"/>
  <c r="FE34" i="184"/>
  <c r="FF34" i="184" s="1"/>
  <c r="BW33" i="184"/>
  <c r="BX33" i="184" s="1"/>
  <c r="GK59" i="186"/>
  <c r="GK57" i="183"/>
  <c r="FA21" i="185"/>
  <c r="FB37" i="185"/>
  <c r="BY37" i="185"/>
  <c r="EZ37" i="185"/>
  <c r="GK62" i="183"/>
  <c r="BW14" i="186"/>
  <c r="BX14" i="186" s="1"/>
  <c r="FC14" i="186"/>
  <c r="FE31" i="186"/>
  <c r="FE29" i="186"/>
  <c r="FF29" i="186" s="1"/>
  <c r="AI16" i="186"/>
  <c r="AJ26" i="185"/>
  <c r="FE15" i="186"/>
  <c r="FE28" i="183"/>
  <c r="FF28" i="183" s="1"/>
  <c r="FF28" i="185"/>
  <c r="AE39" i="185"/>
  <c r="BW39" i="185" s="1"/>
  <c r="BX39" i="185" s="1"/>
  <c r="FE32" i="186"/>
  <c r="FC19" i="185"/>
  <c r="BW19" i="185"/>
  <c r="BX19" i="185" s="1"/>
  <c r="AJ17" i="185"/>
  <c r="BW17" i="185" s="1"/>
  <c r="BX17" i="185" s="1"/>
  <c r="FE28" i="186"/>
  <c r="FE22" i="183"/>
  <c r="FF22" i="183" s="1"/>
  <c r="AJ26" i="184"/>
  <c r="FE26" i="184" s="1"/>
  <c r="GK64" i="186"/>
  <c r="FE29" i="184"/>
  <c r="FE14" i="186"/>
  <c r="CJ23" i="165"/>
  <c r="AT19" i="165"/>
  <c r="AR21" i="165"/>
  <c r="EV27" i="147"/>
  <c r="X27" i="147" s="1"/>
  <c r="CI27" i="147"/>
  <c r="V27" i="147" s="1"/>
  <c r="W27" i="147" s="1"/>
  <c r="AR20" i="165"/>
  <c r="AT39" i="165"/>
  <c r="AT36" i="165"/>
  <c r="AT20" i="165"/>
  <c r="AR18" i="165"/>
  <c r="AR29" i="165"/>
  <c r="AR37" i="165"/>
  <c r="AR40" i="147"/>
  <c r="AT33" i="165"/>
  <c r="AR28" i="165"/>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BY24" i="185" l="1"/>
  <c r="FB24" i="185"/>
  <c r="EX24" i="185"/>
  <c r="EZ24" i="185"/>
  <c r="BW26" i="186"/>
  <c r="BX26" i="186" s="1"/>
  <c r="GK66" i="186" s="1"/>
  <c r="EZ31" i="185"/>
  <c r="FE24" i="185"/>
  <c r="FF24" i="185" s="1"/>
  <c r="FB31" i="185"/>
  <c r="FA31" i="185" s="1"/>
  <c r="BY31" i="185"/>
  <c r="EZ34" i="185"/>
  <c r="EX35" i="185"/>
  <c r="FB34" i="185"/>
  <c r="FA34" i="185" s="1"/>
  <c r="BY34" i="185"/>
  <c r="BX24" i="186"/>
  <c r="EX24" i="186" s="1"/>
  <c r="EX25" i="183"/>
  <c r="BY25" i="183"/>
  <c r="GK65" i="183"/>
  <c r="FB25" i="183"/>
  <c r="FA25" i="183" s="1"/>
  <c r="EX14" i="184"/>
  <c r="FB14" i="184"/>
  <c r="EZ14" i="184"/>
  <c r="BY14" i="184"/>
  <c r="BY32" i="185"/>
  <c r="FF20" i="186"/>
  <c r="EX32" i="185"/>
  <c r="EZ32" i="185"/>
  <c r="FB32" i="185"/>
  <c r="FF32" i="185"/>
  <c r="FF14" i="186"/>
  <c r="EX15" i="184"/>
  <c r="EZ21" i="186"/>
  <c r="GK79" i="184"/>
  <c r="FA37" i="184"/>
  <c r="EX39" i="184"/>
  <c r="FF21" i="186"/>
  <c r="EZ39" i="184"/>
  <c r="FB39" i="184"/>
  <c r="FA39" i="184" s="1"/>
  <c r="EZ17" i="184"/>
  <c r="EX17" i="184"/>
  <c r="FB17" i="184"/>
  <c r="FA17" i="184" s="1"/>
  <c r="BY17" i="184"/>
  <c r="EX34" i="184"/>
  <c r="BY30" i="184"/>
  <c r="GK61" i="186"/>
  <c r="FB21" i="186"/>
  <c r="EZ30" i="184"/>
  <c r="FA16" i="184"/>
  <c r="FB30" i="184"/>
  <c r="FA30" i="184" s="1"/>
  <c r="FB19" i="183"/>
  <c r="FA27" i="185"/>
  <c r="EZ29" i="183"/>
  <c r="EZ28" i="185"/>
  <c r="EX28" i="185"/>
  <c r="BY28" i="185"/>
  <c r="FB28" i="185"/>
  <c r="FA28" i="185" s="1"/>
  <c r="FB27" i="186"/>
  <c r="FA27" i="186" s="1"/>
  <c r="BW20" i="185"/>
  <c r="BX20" i="185" s="1"/>
  <c r="GK60" i="185" s="1"/>
  <c r="EX36" i="185"/>
  <c r="BY36" i="185"/>
  <c r="EX37" i="185"/>
  <c r="FA29" i="183"/>
  <c r="FA22" i="184"/>
  <c r="EZ27" i="186"/>
  <c r="BY27" i="186"/>
  <c r="EX29" i="183"/>
  <c r="EZ31" i="186"/>
  <c r="GK69" i="183"/>
  <c r="EX30" i="183"/>
  <c r="EX31" i="183" s="1"/>
  <c r="EX32" i="183" s="1"/>
  <c r="EX33" i="183" s="1"/>
  <c r="EX34" i="183" s="1"/>
  <c r="EX35" i="183" s="1"/>
  <c r="EX36" i="183" s="1"/>
  <c r="EX37" i="183" s="1"/>
  <c r="EX38" i="183" s="1"/>
  <c r="EX39" i="183" s="1"/>
  <c r="EX40" i="183" s="1"/>
  <c r="EX41" i="183" s="1"/>
  <c r="EX42" i="183" s="1"/>
  <c r="EX43" i="183" s="1"/>
  <c r="EX44" i="183" s="1"/>
  <c r="EX45" i="183" s="1"/>
  <c r="FB31" i="186"/>
  <c r="EX30" i="184"/>
  <c r="BY29" i="183"/>
  <c r="BY31" i="186"/>
  <c r="EX31" i="186"/>
  <c r="FB36" i="185"/>
  <c r="FA36" i="185" s="1"/>
  <c r="EX20" i="183"/>
  <c r="GK59" i="183"/>
  <c r="EX19" i="183"/>
  <c r="FA17" i="183"/>
  <c r="BY19" i="183"/>
  <c r="EZ36" i="185"/>
  <c r="EZ23" i="186"/>
  <c r="FF29" i="184"/>
  <c r="BY34" i="184"/>
  <c r="FA37" i="185"/>
  <c r="FB23" i="186"/>
  <c r="FA23" i="186" s="1"/>
  <c r="EX24" i="183"/>
  <c r="BY23" i="186"/>
  <c r="EX23" i="186"/>
  <c r="FF32" i="186"/>
  <c r="FB34" i="184"/>
  <c r="FA34" i="184" s="1"/>
  <c r="EX31" i="184"/>
  <c r="FF26" i="184"/>
  <c r="FF25" i="184" s="1"/>
  <c r="GK74" i="184"/>
  <c r="GK64" i="183"/>
  <c r="BY24" i="183"/>
  <c r="EZ31" i="184"/>
  <c r="EZ24" i="183"/>
  <c r="FB31" i="184"/>
  <c r="FA31" i="184" s="1"/>
  <c r="FB24" i="183"/>
  <c r="FA24" i="183" s="1"/>
  <c r="BY31" i="184"/>
  <c r="EX32" i="184"/>
  <c r="FE30" i="185"/>
  <c r="FF30" i="185" s="1"/>
  <c r="CJ27" i="147"/>
  <c r="GK68" i="183"/>
  <c r="FA18" i="183"/>
  <c r="FA22" i="183"/>
  <c r="BW15" i="186"/>
  <c r="BX15" i="186" s="1"/>
  <c r="BY15" i="186" s="1"/>
  <c r="FF27" i="183"/>
  <c r="BW25" i="185"/>
  <c r="BX25" i="185" s="1"/>
  <c r="GK65" i="185" s="1"/>
  <c r="FE25" i="185"/>
  <c r="FF25" i="185" s="1"/>
  <c r="FB26" i="183"/>
  <c r="BY26" i="183"/>
  <c r="EX26" i="183"/>
  <c r="EZ26" i="183"/>
  <c r="GK66" i="183"/>
  <c r="BY39" i="185"/>
  <c r="FB39" i="185"/>
  <c r="EZ39" i="185"/>
  <c r="EX39" i="185"/>
  <c r="BY30" i="185"/>
  <c r="FB30" i="185"/>
  <c r="EZ30" i="185"/>
  <c r="EX31" i="185"/>
  <c r="BY27" i="184"/>
  <c r="FB27" i="184"/>
  <c r="EZ27" i="184"/>
  <c r="EX28" i="184"/>
  <c r="FB20" i="184"/>
  <c r="BY20" i="184"/>
  <c r="EZ20" i="184"/>
  <c r="FB21" i="184"/>
  <c r="EZ21" i="184"/>
  <c r="BY21" i="184"/>
  <c r="EX21" i="184"/>
  <c r="EX22" i="184"/>
  <c r="BY17" i="185"/>
  <c r="FB17" i="185"/>
  <c r="EZ17" i="185"/>
  <c r="EX18" i="185"/>
  <c r="GK73" i="184"/>
  <c r="GK79" i="185"/>
  <c r="FA15" i="183"/>
  <c r="FA14" i="183"/>
  <c r="EX14" i="185"/>
  <c r="BY14" i="185"/>
  <c r="FB14" i="185"/>
  <c r="EZ14" i="185"/>
  <c r="GK54" i="185"/>
  <c r="FE27" i="184"/>
  <c r="FF27" i="184" s="1"/>
  <c r="BY23" i="183"/>
  <c r="FB23" i="183"/>
  <c r="EZ23" i="183"/>
  <c r="EX23" i="183"/>
  <c r="GK67" i="184"/>
  <c r="AJ29" i="185"/>
  <c r="BW29" i="185" s="1"/>
  <c r="BX29" i="185" s="1"/>
  <c r="FE24" i="184"/>
  <c r="FF24" i="184" s="1"/>
  <c r="FE21" i="184"/>
  <c r="FF21" i="184" s="1"/>
  <c r="FB30" i="186"/>
  <c r="FA30" i="186" s="1"/>
  <c r="BY30" i="186"/>
  <c r="EZ30" i="186"/>
  <c r="EX30" i="186"/>
  <c r="BY33" i="184"/>
  <c r="FB33" i="184"/>
  <c r="FA33" i="184" s="1"/>
  <c r="EZ33" i="184"/>
  <c r="EX33" i="184"/>
  <c r="FB24" i="184"/>
  <c r="EZ24" i="184"/>
  <c r="BY24" i="184"/>
  <c r="BY35" i="184"/>
  <c r="FB35" i="184"/>
  <c r="FA35" i="184" s="1"/>
  <c r="EX35" i="184"/>
  <c r="EZ35" i="184"/>
  <c r="BY19" i="185"/>
  <c r="FB19" i="185"/>
  <c r="EX19" i="185"/>
  <c r="EZ19" i="185"/>
  <c r="GK57" i="185"/>
  <c r="GK60" i="184"/>
  <c r="BW18" i="186"/>
  <c r="BX18" i="186" s="1"/>
  <c r="GK75" i="184"/>
  <c r="BW40" i="184"/>
  <c r="BX40" i="184" s="1"/>
  <c r="GK80" i="184" s="1"/>
  <c r="FB22" i="186"/>
  <c r="FA22" i="186" s="1"/>
  <c r="BY22" i="186"/>
  <c r="EX22" i="186"/>
  <c r="EZ22" i="186"/>
  <c r="FA25" i="186"/>
  <c r="GK70" i="186"/>
  <c r="EZ28" i="183"/>
  <c r="BY28" i="183"/>
  <c r="FB28" i="183"/>
  <c r="FA28" i="183" s="1"/>
  <c r="EX28" i="183"/>
  <c r="GK59" i="185"/>
  <c r="BY40" i="185"/>
  <c r="FB40" i="185"/>
  <c r="EZ40" i="185"/>
  <c r="EX40" i="185"/>
  <c r="EX41" i="185"/>
  <c r="EX42" i="185" s="1"/>
  <c r="EX43" i="185" s="1"/>
  <c r="EX44" i="185" s="1"/>
  <c r="EX45" i="185" s="1"/>
  <c r="GK63" i="183"/>
  <c r="FC18" i="186"/>
  <c r="FF18" i="186" s="1"/>
  <c r="FB18" i="184"/>
  <c r="BY18" i="184"/>
  <c r="EX18" i="184"/>
  <c r="EZ18" i="184"/>
  <c r="BY15" i="185"/>
  <c r="FB15" i="185"/>
  <c r="EX15" i="185"/>
  <c r="EZ15" i="185"/>
  <c r="AJ16" i="185"/>
  <c r="EX36" i="184"/>
  <c r="BW19" i="184"/>
  <c r="BX19" i="184" s="1"/>
  <c r="BW26" i="184"/>
  <c r="BX26" i="184" s="1"/>
  <c r="BW26" i="185"/>
  <c r="BX26" i="185" s="1"/>
  <c r="FE20" i="184"/>
  <c r="FF20" i="184" s="1"/>
  <c r="GK70" i="185"/>
  <c r="FB14" i="186"/>
  <c r="EZ14" i="186"/>
  <c r="EX14" i="186"/>
  <c r="BY14" i="186"/>
  <c r="FC39" i="185"/>
  <c r="FF39" i="185" s="1"/>
  <c r="BY26" i="186"/>
  <c r="FB26" i="186"/>
  <c r="FA26" i="186" s="1"/>
  <c r="EZ26" i="186"/>
  <c r="EX26" i="186"/>
  <c r="GK54" i="186"/>
  <c r="FF19" i="183"/>
  <c r="BW23" i="184"/>
  <c r="BX23" i="184" s="1"/>
  <c r="BY27" i="183"/>
  <c r="FB27" i="183"/>
  <c r="EX27" i="183"/>
  <c r="EZ27" i="183"/>
  <c r="FF19" i="185"/>
  <c r="FE40" i="184"/>
  <c r="FF40" i="184" s="1"/>
  <c r="EX27" i="186"/>
  <c r="BY25" i="184"/>
  <c r="EZ25" i="184"/>
  <c r="FB25" i="184"/>
  <c r="FA25" i="184" s="1"/>
  <c r="EX25" i="184"/>
  <c r="FA38" i="185"/>
  <c r="BY28" i="186"/>
  <c r="FB28" i="186"/>
  <c r="EX28" i="186"/>
  <c r="EZ28" i="186"/>
  <c r="GK61" i="184"/>
  <c r="FF18" i="184"/>
  <c r="BY33" i="185"/>
  <c r="FB33" i="185"/>
  <c r="FA33" i="185" s="1"/>
  <c r="EZ33" i="185"/>
  <c r="EX33" i="185"/>
  <c r="FF31" i="186"/>
  <c r="FE17" i="185"/>
  <c r="FF17" i="185" s="1"/>
  <c r="GK80" i="185"/>
  <c r="FC15" i="186"/>
  <c r="FF15" i="186" s="1"/>
  <c r="GK67" i="183"/>
  <c r="FB29" i="184"/>
  <c r="BY29" i="184"/>
  <c r="EZ29" i="184"/>
  <c r="EX29" i="184"/>
  <c r="FE26" i="185"/>
  <c r="FF26" i="185" s="1"/>
  <c r="FE26" i="183"/>
  <c r="FF26" i="183" s="1"/>
  <c r="FF23" i="183"/>
  <c r="FA36" i="184"/>
  <c r="BW20" i="186"/>
  <c r="BX20" i="186" s="1"/>
  <c r="GK60" i="186" s="1"/>
  <c r="FA15" i="184"/>
  <c r="FA14" i="184"/>
  <c r="FF28" i="186"/>
  <c r="AJ16" i="186"/>
  <c r="FE16" i="186" s="1"/>
  <c r="FF16" i="186" s="1"/>
  <c r="BW17" i="186"/>
  <c r="BX17" i="186" s="1"/>
  <c r="GK57" i="186" s="1"/>
  <c r="BY21" i="183"/>
  <c r="FB21" i="183"/>
  <c r="FA21" i="183" s="1"/>
  <c r="EX21" i="183"/>
  <c r="EZ21" i="183"/>
  <c r="GK61" i="183"/>
  <c r="BY29" i="186"/>
  <c r="FB29" i="186"/>
  <c r="FA29" i="186" s="1"/>
  <c r="EZ29" i="186"/>
  <c r="EX29" i="186"/>
  <c r="FE17" i="186"/>
  <c r="FF17" i="186" s="1"/>
  <c r="FA16" i="183"/>
  <c r="EZ32" i="186"/>
  <c r="FB32" i="186"/>
  <c r="BY32" i="186"/>
  <c r="EX32" i="186"/>
  <c r="EX33" i="186"/>
  <c r="EX34" i="186" s="1"/>
  <c r="EX35" i="186" s="1"/>
  <c r="EX36" i="186" s="1"/>
  <c r="EX37" i="186" s="1"/>
  <c r="EX38" i="186" s="1"/>
  <c r="EX39" i="186" s="1"/>
  <c r="EX40" i="186" s="1"/>
  <c r="EX41" i="186" s="1"/>
  <c r="EX42" i="186" s="1"/>
  <c r="EX43" i="186" s="1"/>
  <c r="EX44" i="186" s="1"/>
  <c r="EX45" i="186" s="1"/>
  <c r="EX34" i="185"/>
  <c r="FF40" i="185"/>
  <c r="GK55" i="185"/>
  <c r="GK62" i="186"/>
  <c r="AW24" i="160"/>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A24" i="185" l="1"/>
  <c r="FB24" i="186"/>
  <c r="FA24" i="186" s="1"/>
  <c r="BY24" i="186"/>
  <c r="EX25" i="186"/>
  <c r="FA32" i="185"/>
  <c r="EZ20" i="185"/>
  <c r="EX20" i="185"/>
  <c r="FA21" i="186"/>
  <c r="FA19" i="183"/>
  <c r="FA29" i="184"/>
  <c r="FA32" i="186"/>
  <c r="BY20" i="185"/>
  <c r="FB20" i="185"/>
  <c r="FA20" i="185" s="1"/>
  <c r="EX21" i="185"/>
  <c r="FA31" i="186"/>
  <c r="FA27" i="183"/>
  <c r="EX25" i="185"/>
  <c r="EZ25" i="185"/>
  <c r="FB25" i="185"/>
  <c r="FA25" i="185" s="1"/>
  <c r="BY25" i="185"/>
  <c r="EY28" i="183"/>
  <c r="FA21" i="184"/>
  <c r="GK55" i="186"/>
  <c r="FA19" i="185"/>
  <c r="FA24" i="184"/>
  <c r="EZ15" i="186"/>
  <c r="FA28" i="186"/>
  <c r="EX15" i="186"/>
  <c r="EY25" i="183"/>
  <c r="FB15" i="186"/>
  <c r="FA15" i="186" s="1"/>
  <c r="FA40" i="185"/>
  <c r="EZ29" i="185"/>
  <c r="FB29" i="185"/>
  <c r="BY29" i="185"/>
  <c r="EX29" i="185"/>
  <c r="EX30" i="185"/>
  <c r="EY29" i="183"/>
  <c r="EY17" i="183"/>
  <c r="BY18" i="186"/>
  <c r="FB18" i="186"/>
  <c r="FA18" i="186" s="1"/>
  <c r="EZ18" i="186"/>
  <c r="EX18" i="186"/>
  <c r="EX19" i="186"/>
  <c r="EY15" i="183"/>
  <c r="EY21" i="183"/>
  <c r="BY20" i="186"/>
  <c r="FB20" i="186"/>
  <c r="FA20" i="186" s="1"/>
  <c r="EX20" i="186"/>
  <c r="EZ20" i="186"/>
  <c r="EX21" i="186"/>
  <c r="GK69" i="185"/>
  <c r="BY23" i="184"/>
  <c r="EZ23" i="184"/>
  <c r="FB23" i="184"/>
  <c r="FA23" i="184" s="1"/>
  <c r="EX23" i="184"/>
  <c r="FB26" i="184"/>
  <c r="FA26" i="184" s="1"/>
  <c r="BY26" i="184"/>
  <c r="EZ26" i="184"/>
  <c r="EX26" i="184"/>
  <c r="EY18" i="183"/>
  <c r="FA30" i="185"/>
  <c r="EY16" i="183"/>
  <c r="GK63" i="184"/>
  <c r="BY19" i="184"/>
  <c r="FB19" i="184"/>
  <c r="FA19" i="184" s="1"/>
  <c r="EZ19" i="184"/>
  <c r="EX19" i="184"/>
  <c r="FA17" i="185"/>
  <c r="EX20" i="184"/>
  <c r="EX27" i="184"/>
  <c r="GK66" i="184"/>
  <c r="EY26" i="183"/>
  <c r="FA14" i="185"/>
  <c r="FA15" i="185"/>
  <c r="EY20" i="183"/>
  <c r="EY23" i="183"/>
  <c r="FA27" i="184"/>
  <c r="EY14" i="183"/>
  <c r="BY26" i="185"/>
  <c r="FB26" i="185"/>
  <c r="FA26" i="185" s="1"/>
  <c r="EZ26" i="185"/>
  <c r="EX26" i="185"/>
  <c r="EX27" i="185"/>
  <c r="BY17" i="186"/>
  <c r="FB17" i="186"/>
  <c r="FA17" i="186" s="1"/>
  <c r="EZ17" i="186"/>
  <c r="BW16" i="185"/>
  <c r="BX16" i="185" s="1"/>
  <c r="GK56" i="185" s="1"/>
  <c r="FA18" i="184"/>
  <c r="FE16" i="185"/>
  <c r="FF16" i="185" s="1"/>
  <c r="FA20" i="184"/>
  <c r="FA26" i="183"/>
  <c r="FE29" i="185"/>
  <c r="FF29" i="185" s="1"/>
  <c r="BY40" i="184"/>
  <c r="FB40" i="184"/>
  <c r="FA40" i="184" s="1"/>
  <c r="EZ40" i="184"/>
  <c r="EX40" i="184"/>
  <c r="EX41" i="184"/>
  <c r="EX42" i="184" s="1"/>
  <c r="EX43" i="184" s="1"/>
  <c r="EX44" i="184" s="1"/>
  <c r="EX45" i="184" s="1"/>
  <c r="FA23" i="183"/>
  <c r="FA39" i="185"/>
  <c r="BW16" i="186"/>
  <c r="BX16" i="186" s="1"/>
  <c r="GK56" i="186" s="1"/>
  <c r="EY19" i="183"/>
  <c r="EY27" i="183"/>
  <c r="GK59" i="184"/>
  <c r="EX24" i="184"/>
  <c r="EY24" i="183"/>
  <c r="EY22" i="183"/>
  <c r="GK58" i="186"/>
  <c r="GK66" i="185"/>
  <c r="FR57" i="160"/>
  <c r="FS58" i="160" s="1"/>
  <c r="FP58" i="160" s="1"/>
  <c r="GA58" i="160" s="1"/>
  <c r="GB57" i="160"/>
  <c r="FK66" i="160"/>
  <c r="FJ65" i="160"/>
  <c r="FK66" i="84"/>
  <c r="FJ66" i="84" s="1"/>
  <c r="FA14" i="186" l="1"/>
  <c r="EY21" i="184"/>
  <c r="EY28" i="184"/>
  <c r="EY33" i="184"/>
  <c r="EY17" i="184"/>
  <c r="EY22" i="184"/>
  <c r="EY20" i="184"/>
  <c r="EY26" i="184"/>
  <c r="BY16" i="185"/>
  <c r="FB16" i="185"/>
  <c r="FA16" i="185" s="1"/>
  <c r="EZ16" i="185"/>
  <c r="EX16" i="185"/>
  <c r="EX17" i="185"/>
  <c r="EY24" i="184"/>
  <c r="EY30" i="184"/>
  <c r="EY18" i="184"/>
  <c r="EZ16" i="186"/>
  <c r="FB16" i="186"/>
  <c r="FA16" i="186" s="1"/>
  <c r="BY16" i="186"/>
  <c r="EX16" i="186"/>
  <c r="EY35" i="184"/>
  <c r="EY29" i="184"/>
  <c r="EY19" i="184"/>
  <c r="EY37" i="184"/>
  <c r="EY16" i="184"/>
  <c r="EY39" i="184"/>
  <c r="EY32" i="184"/>
  <c r="EY15" i="184"/>
  <c r="EY31" i="184"/>
  <c r="EY34" i="184"/>
  <c r="EY14" i="184"/>
  <c r="EY36" i="184"/>
  <c r="EY23" i="184"/>
  <c r="EX17" i="186"/>
  <c r="EY25" i="184"/>
  <c r="EY38" i="184"/>
  <c r="FA29" i="185"/>
  <c r="EY40" i="184"/>
  <c r="EY27" i="184"/>
  <c r="FR58" i="160"/>
  <c r="FS59" i="160" s="1"/>
  <c r="FP59" i="160" s="1"/>
  <c r="GA59" i="160" s="1"/>
  <c r="FU58" i="160"/>
  <c r="FT58" i="160" s="1"/>
  <c r="FN58" i="160"/>
  <c r="FW58" i="160" s="1"/>
  <c r="FO58" i="160"/>
  <c r="AF18" i="160" s="1"/>
  <c r="FQ58" i="160"/>
  <c r="FY58" i="160" s="1"/>
  <c r="GB58" i="160" s="1"/>
  <c r="FK67" i="160"/>
  <c r="FJ66" i="160"/>
  <c r="FK67" i="84"/>
  <c r="FJ67" i="84" s="1"/>
  <c r="EY17" i="186" l="1"/>
  <c r="EY17" i="185"/>
  <c r="EY18" i="186"/>
  <c r="EY26" i="185"/>
  <c r="EY20" i="186"/>
  <c r="EY19" i="186"/>
  <c r="EY30" i="185"/>
  <c r="EY16" i="186"/>
  <c r="EY22" i="186"/>
  <c r="EY29" i="186"/>
  <c r="EY32" i="186"/>
  <c r="EY25" i="186"/>
  <c r="EY26" i="186"/>
  <c r="EY23" i="186"/>
  <c r="EY27" i="186"/>
  <c r="EY14" i="186"/>
  <c r="EY28" i="186"/>
  <c r="EY24" i="186"/>
  <c r="EY15" i="186"/>
  <c r="EY31" i="186"/>
  <c r="EY30" i="186"/>
  <c r="EY16" i="185"/>
  <c r="EY23" i="185"/>
  <c r="EY38" i="185"/>
  <c r="EY37" i="185"/>
  <c r="EY32" i="185"/>
  <c r="EY35" i="185"/>
  <c r="EY28" i="185"/>
  <c r="EY36" i="185"/>
  <c r="EY19" i="185"/>
  <c r="EY15" i="185"/>
  <c r="EY20" i="185"/>
  <c r="EY33" i="185"/>
  <c r="EY14" i="185"/>
  <c r="EY40" i="185"/>
  <c r="EY34" i="185"/>
  <c r="EY39" i="185"/>
  <c r="EY22" i="185"/>
  <c r="EY21" i="185"/>
  <c r="EY24" i="185"/>
  <c r="EY25" i="185"/>
  <c r="EY18" i="185"/>
  <c r="EY31" i="185"/>
  <c r="EY29" i="185"/>
  <c r="EY21" i="186"/>
  <c r="EY27" i="185"/>
  <c r="FN59" i="160"/>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317D3041-530B-482C-BA55-12F5D3FD19ED}">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31897A6-6271-48C5-AF7F-D5A6A7D3848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3EC415C-9AB6-4189-B097-F8DA017C922B}">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1D44687-BFD1-41AD-856A-30CBD7D5A4B7}">
      <text>
        <r>
          <rPr>
            <b/>
            <sz val="8"/>
            <color indexed="81"/>
            <rFont val="Tahoma"/>
            <family val="2"/>
          </rPr>
          <t xml:space="preserve">Currently NOT used.
</t>
        </r>
      </text>
    </comment>
    <comment ref="F13" authorId="3" shapeId="0" xr:uid="{FC951964-2697-4430-B557-1E2492F13B9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DDD4633-5136-4030-8948-92CEB8DBE1B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8155AED-03A4-4DC1-AA2B-C772CB650BC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CCE0C53-252B-4EE7-8CCF-B87CC89B3F9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407EAD5-8DAB-44FD-8DE8-6F7E7194A1A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3C393E3-4A5C-4B82-ABB9-1EFFFCF4E1F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41CE167-E343-4089-8F84-D1C38D2E1988}">
      <text>
        <r>
          <rPr>
            <b/>
            <sz val="8"/>
            <color indexed="81"/>
            <rFont val="Tahoma"/>
            <family val="2"/>
          </rPr>
          <t xml:space="preserve">Currently NOT used.
</t>
        </r>
      </text>
    </comment>
    <comment ref="F13" authorId="3" shapeId="0" xr:uid="{1B592C89-9855-4369-AFD9-5650083BF21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DBA9E01-CC85-4F30-8021-C1028E7FE33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C3BEC7C-5550-4EB5-8B62-62E076B589B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383D3C6-CD7E-40D2-B956-E881145092C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ADB89E8-B272-493E-BEAD-395B3100472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8570D6D-D4B2-4FF3-A033-61B33B44CAF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F237E46-0642-427B-BD39-9B576683457C}">
      <text>
        <r>
          <rPr>
            <b/>
            <sz val="8"/>
            <color indexed="81"/>
            <rFont val="Tahoma"/>
            <family val="2"/>
          </rPr>
          <t xml:space="preserve">Currently NOT used.
</t>
        </r>
      </text>
    </comment>
    <comment ref="F13" authorId="3" shapeId="0" xr:uid="{DA52118C-7AAA-40F1-BCD4-EB710838A9FF}">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78609AA-4278-46B0-A087-A4529F6630A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9D0A071-4441-4F15-AF2D-9F62E9E0EBC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FBB3223-B181-4822-A519-4A8C50DEFF8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CD5046F-4AEB-475B-9132-71A919ADD06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5EEEFBC-F376-4FA2-90AD-0B54ED0111B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AC3F2C0E-FFF3-43BC-8B96-3EE02790B089}">
      <text>
        <r>
          <rPr>
            <b/>
            <sz val="8"/>
            <color indexed="81"/>
            <rFont val="Tahoma"/>
            <family val="2"/>
          </rPr>
          <t xml:space="preserve">Currently NOT used.
</t>
        </r>
      </text>
    </comment>
    <comment ref="F13" authorId="3" shapeId="0" xr:uid="{85FF8808-92B2-4DD0-BEEA-5F743721EAF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85EA444-4B19-413D-AF28-E1EF46218F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8FAC982-C220-4374-BDA2-1A95900A76E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CB65D67-B590-4FC5-B25E-FA21E0AFAE5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CBAF2594-10E8-4B97-B9D2-245E4E6ED2F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6C20940-DECE-4508-9438-8A51AC94AEC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1F95C86-3E1C-4758-A87E-2AAC3B30319C}">
      <text>
        <r>
          <rPr>
            <b/>
            <sz val="8"/>
            <color indexed="81"/>
            <rFont val="Tahoma"/>
            <family val="2"/>
          </rPr>
          <t xml:space="preserve">Currently NOT used.
</t>
        </r>
      </text>
    </comment>
    <comment ref="F13" authorId="3" shapeId="0" xr:uid="{5716D7EC-68C4-4DC8-A7BB-42A5B212A25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32E285-66D4-4772-9B85-AF4A72BD7C8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240DBF70-E930-4189-8C73-9BC4F142681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132524D-77BF-4113-8116-DCA50D63A71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9D08DBCE-D53A-43FD-9659-F7B84A64AE7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2C04DC2E-72FE-455F-9360-9C8F1A43F6A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C62F02C-003E-4964-BF35-80542858545A}">
      <text>
        <r>
          <rPr>
            <b/>
            <sz val="8"/>
            <color indexed="81"/>
            <rFont val="Tahoma"/>
            <family val="2"/>
          </rPr>
          <t xml:space="preserve">Currently NOT used.
</t>
        </r>
      </text>
    </comment>
    <comment ref="F13" authorId="3" shapeId="0" xr:uid="{A0FB5211-FF57-4B28-AD8F-9C373DFD601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FEBED3A2-97B7-45B9-8034-648D78AD0B5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213B22F-2498-4CD5-8E80-5947DD2A870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5A78A9E-DC0B-4BC2-8489-4036F2D4358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E6D567E-3C0B-49F6-B774-053A870EAAF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E5D5591C-3FCD-45FB-9209-390180F2455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7676F482-A6FD-4663-85D3-28500A519FA0}">
      <text>
        <r>
          <rPr>
            <b/>
            <sz val="8"/>
            <color indexed="81"/>
            <rFont val="Tahoma"/>
            <family val="2"/>
          </rPr>
          <t xml:space="preserve">Currently NOT used.
</t>
        </r>
      </text>
    </comment>
    <comment ref="F13" authorId="3" shapeId="0" xr:uid="{6A7D45D3-70AE-48EC-B2C8-A597B4C8A9C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683D78F3-69ED-4C37-9BEB-55A33C8F590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6E4F537-7B78-4987-A5DA-3B95EB8ED20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52B4DB9-8080-4CF6-944A-B97C93F69FB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4559E43-776C-4176-BD0D-2C5C94D953C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4B40F16-FD44-4E27-8855-62E0CFA6D4EC}">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7CFCD09-0DF0-416F-887F-1F8D219BBC0E}">
      <text>
        <r>
          <rPr>
            <b/>
            <sz val="8"/>
            <color indexed="81"/>
            <rFont val="Tahoma"/>
            <family val="2"/>
          </rPr>
          <t xml:space="preserve">Currently NOT used.
</t>
        </r>
      </text>
    </comment>
    <comment ref="F13" authorId="3" shapeId="0" xr:uid="{37E55BB7-0676-4BE9-B3B5-49DBF927181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59E5F0A5-B089-4EC1-B971-FFA14F4E392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28EF9EAE-3816-433F-A05B-45FA75D4769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184D1D29-6CE8-4D94-9BF4-358C03D92E6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C8CA6B3-E2A5-47BE-BB22-4BFE2DBDFDC7}">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CB4BF0C-710B-47B5-9F35-E40E6E821E1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7EB7B04D-E0C8-4806-AD5E-8203DB23A2DA}">
      <text>
        <r>
          <rPr>
            <b/>
            <sz val="8"/>
            <color indexed="81"/>
            <rFont val="Tahoma"/>
            <family val="2"/>
          </rPr>
          <t xml:space="preserve">Currently NOT used.
</t>
        </r>
      </text>
    </comment>
    <comment ref="F13" authorId="3" shapeId="0" xr:uid="{53B3B1D8-36D3-4E1A-AAC7-6D06E4716F9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49A55D6A-37CB-42AE-A3A0-06BE6704CF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646C310-82B8-40A1-A038-56E8BF8B9BC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7017BB8-8A05-42FF-96F1-9DD2130AB31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EA08A906-7C9A-4CF3-95F1-F7FAFB330CA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E98F7B3-D3C4-406B-9F78-F36DAF9AFFB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0BD52FE-DAF8-4D5D-A88B-B81E60B0122F}">
      <text>
        <r>
          <rPr>
            <b/>
            <sz val="8"/>
            <color indexed="81"/>
            <rFont val="Tahoma"/>
            <family val="2"/>
          </rPr>
          <t xml:space="preserve">Currently NOT used.
</t>
        </r>
      </text>
    </comment>
    <comment ref="F13" authorId="3" shapeId="0" xr:uid="{DB275E9A-1AF7-43A0-AF9B-FDCF883A699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1F7934C1-0E8C-412C-8EEC-A4095E5CFD4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2BD190A6-AA39-40C6-9CC0-8509D36572C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2743FE-9996-4A05-9118-7DE846B1391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693A4BF-32F6-4AF4-A8BB-44FA9DA6105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632FBCE-1A7C-43F1-AACD-510752A4390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56975F4A-F97E-4D14-A02E-BE4120E639AF}">
      <text>
        <r>
          <rPr>
            <b/>
            <sz val="8"/>
            <color indexed="81"/>
            <rFont val="Tahoma"/>
            <family val="2"/>
          </rPr>
          <t xml:space="preserve">Currently NOT used.
</t>
        </r>
      </text>
    </comment>
    <comment ref="F13" authorId="3" shapeId="0" xr:uid="{8EEC4B1E-A7D4-419B-B69A-BACA090FFCD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FFD83841-E68A-4B01-8B1B-E0098E5E563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BA165A0-19A5-434D-A1EF-3D80F1D2419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D1705F6-5B06-4D8D-AC22-CDED3462EA9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8769237-9332-41F0-8AAD-6CD3981AD7E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8BCDD5E0-942A-48B5-85EE-952B9D9DA86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8CDE6B1-66EE-4BC6-9F58-D65867193307}">
      <text>
        <r>
          <rPr>
            <b/>
            <sz val="8"/>
            <color indexed="81"/>
            <rFont val="Tahoma"/>
            <family val="2"/>
          </rPr>
          <t xml:space="preserve">Currently NOT used.
</t>
        </r>
      </text>
    </comment>
    <comment ref="F13" authorId="3" shapeId="0" xr:uid="{2685FA8A-6CDC-4996-B3C8-A7DF009848B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E251D3F-4687-4898-B0D4-ACCEF89ABF0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A7973B1-5119-4CE2-AF94-13D4872AE77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5F7864CA-BEE2-4966-A344-A0E7CFEDFF9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949596B-5C6F-49DD-9C87-588EF6DBC7A2}">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E8C562B-781A-4FF9-9084-63E730A880CA}">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DCA1FCD5-F491-44AB-9FDA-7D10ED84B5FC}">
      <text>
        <r>
          <rPr>
            <b/>
            <sz val="8"/>
            <color indexed="81"/>
            <rFont val="Tahoma"/>
            <family val="2"/>
          </rPr>
          <t xml:space="preserve">Currently NOT used.
</t>
        </r>
      </text>
    </comment>
    <comment ref="F13" authorId="3" shapeId="0" xr:uid="{A2977179-97E9-4CD4-A692-8724A543016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428A347-FD07-4D00-B68D-C263C68BA54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CD70D93-CE8F-40FB-A436-246DEDBF5312}">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CF17C69-B52D-4A5B-A556-405CC31308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E6FA192-53D4-4E30-895D-376A8D7F270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EE4A7FC6-B994-42D9-90AC-775F1CEBCD4B}">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AA629B1-FF16-45D8-AFE7-66AAF78A16F8}">
      <text>
        <r>
          <rPr>
            <b/>
            <sz val="8"/>
            <color indexed="81"/>
            <rFont val="Tahoma"/>
            <family val="2"/>
          </rPr>
          <t xml:space="preserve">Currently NOT used.
</t>
        </r>
      </text>
    </comment>
    <comment ref="F13" authorId="3" shapeId="0" xr:uid="{A7822412-AA5D-46EF-8203-E0CAC92A695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F5C20FB3-F5A3-462D-A0C9-F1CDAE35DD8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1B66D97-BE13-46FD-9608-648F04E1461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8C2AD688-94B6-4169-9A25-3B59D0F68F0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C6E7B9-1E27-4B54-95AC-12377AE0C12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62678B8-860F-4CEB-9FEC-7C3DB6CBF24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1608D27-AAD4-4122-842C-B0A708E8B17A}">
      <text>
        <r>
          <rPr>
            <b/>
            <sz val="8"/>
            <color indexed="81"/>
            <rFont val="Tahoma"/>
            <family val="2"/>
          </rPr>
          <t xml:space="preserve">Currently NOT used.
</t>
        </r>
      </text>
    </comment>
    <comment ref="F13" authorId="3" shapeId="0" xr:uid="{A5425B72-547D-4CCB-B212-0544BD54CF4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927D604F-855B-4A52-B987-B340868B2BE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1171FFC-E7C7-4E1E-9986-72D5651A6C6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095ADCB-77C7-4297-835D-DBA3217E8E6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8FC987E-90ED-4119-9917-6F1A575E925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F0FBDA0-5929-4814-A70B-E551002AB56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2E5DE9BF-DF1F-43B9-89C7-3104FDA5656A}">
      <text>
        <r>
          <rPr>
            <b/>
            <sz val="8"/>
            <color indexed="81"/>
            <rFont val="Tahoma"/>
            <family val="2"/>
          </rPr>
          <t xml:space="preserve">Currently NOT used.
</t>
        </r>
      </text>
    </comment>
    <comment ref="F13" authorId="3" shapeId="0" xr:uid="{6EED01F8-511D-4926-ACF6-07FE7A647DDE}">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23C310A-3D34-4736-B648-D69D05A067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B02272A-1E27-4AC4-A82E-38A73B2259A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72A7AF3-C58C-4452-964A-FED7DA78AC4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0CBEB95-8551-4FBF-A797-F9A3226631D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EF2E6485-472D-4002-90DA-767C26125DE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E52DF9B-7826-4759-9EB6-CEDA6E1AF4A9}">
      <text>
        <r>
          <rPr>
            <b/>
            <sz val="8"/>
            <color indexed="81"/>
            <rFont val="Tahoma"/>
            <family val="2"/>
          </rPr>
          <t xml:space="preserve">Currently NOT used.
</t>
        </r>
      </text>
    </comment>
    <comment ref="F13" authorId="3" shapeId="0" xr:uid="{70F3DFF6-37A4-40A4-9F9D-299B0EC7D8F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15A99DA-4189-4AF5-A64F-694F7E44AB8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5E37BF0-98CD-491B-A51E-1E19A318D5A5}">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E17596F-06D2-4A35-AF9F-964100FCC9E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BEFE31C-DC6B-41C3-B94B-D0758829BCDE}">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B802594-518E-4ED1-92E2-9DD57BF5429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9B00622-5F1B-4217-B6D1-C7A401A43DED}">
      <text>
        <r>
          <rPr>
            <b/>
            <sz val="8"/>
            <color indexed="81"/>
            <rFont val="Tahoma"/>
            <family val="2"/>
          </rPr>
          <t xml:space="preserve">Currently NOT used.
</t>
        </r>
      </text>
    </comment>
    <comment ref="F13" authorId="3" shapeId="0" xr:uid="{75676AF6-31FD-4D47-88C0-DDE6115F8A9F}">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EC2CB982-05CD-4A4D-9482-163FAB17150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9993733-2A4B-4809-9CA9-554C5BE0288F}">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242562A8-2753-4349-B0A1-B8EDC6994A7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F3C9818-0A72-4374-941C-FBE091A191D9}">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20A11CD4-73D7-4FBF-AF69-60F6520D3ED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E7114579-ACBB-44C2-9FE6-EBCCDAFB8B86}">
      <text>
        <r>
          <rPr>
            <b/>
            <sz val="8"/>
            <color indexed="81"/>
            <rFont val="Tahoma"/>
            <family val="2"/>
          </rPr>
          <t xml:space="preserve">Currently NOT used.
</t>
        </r>
      </text>
    </comment>
    <comment ref="F13" authorId="3" shapeId="0" xr:uid="{5D4CD354-CA82-468A-9E9D-77878BC47C8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C0DA80DC-58DE-48EA-9FE6-AC74AF3B71A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43961E89-F957-4740-A91D-65991346CD5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5665B5F-7557-40DC-AD7C-44FAF9A7460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C02F8C4-40E9-483C-BF57-E2B658B76B8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DFDD70C6-BB4A-493F-8B8F-8B8459D240DC}">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205AB4A5-C250-4ABF-9DA3-C93BB80D81D7}">
      <text>
        <r>
          <rPr>
            <b/>
            <sz val="8"/>
            <color indexed="81"/>
            <rFont val="Tahoma"/>
            <family val="2"/>
          </rPr>
          <t xml:space="preserve">Currently NOT used.
</t>
        </r>
      </text>
    </comment>
    <comment ref="F13" authorId="3" shapeId="0" xr:uid="{5A39A4BE-9598-4ABC-A8AD-C2C007663EC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C60DB45-5400-4C48-A215-0DAF1167CB2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4FC218BB-C3D8-4311-9B6E-4F9632D4C0B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368E076-E131-49DA-A0CC-05159B11AD4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3A4ED613-F102-4C27-9D4E-1AB73B0827D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D85BA7B-DCC0-4214-8C90-3FD6862D885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89AD1344-2BA0-4A3B-91E2-F127C8B8D764}">
      <text>
        <r>
          <rPr>
            <b/>
            <sz val="8"/>
            <color indexed="81"/>
            <rFont val="Tahoma"/>
            <family val="2"/>
          </rPr>
          <t xml:space="preserve">Currently NOT used.
</t>
        </r>
      </text>
    </comment>
    <comment ref="F13" authorId="3" shapeId="0" xr:uid="{5D3974EC-C920-4D79-BFF0-F4EE093AAEC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5413AD1-5643-491A-90BE-EAB5FF52FD2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4A3403A-FF7E-46A8-94FE-0BA77E5213B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54AF9696-1149-4FA1-903E-513C6C9AA40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C335EDD-F4E5-4324-B6C7-1D7F8AE00FB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64E7B4-FEEE-4BCC-8D00-7AEF94EA5DD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52C5322-AFD3-48DC-9CB5-253B152355FB}">
      <text>
        <r>
          <rPr>
            <b/>
            <sz val="8"/>
            <color indexed="81"/>
            <rFont val="Tahoma"/>
            <family val="2"/>
          </rPr>
          <t xml:space="preserve">Currently NOT used.
</t>
        </r>
      </text>
    </comment>
    <comment ref="F13" authorId="3" shapeId="0" xr:uid="{A78BA82D-0224-4FA0-8D3A-E5BA549DADE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7D498B0-2C8C-417F-A1E7-98FCF648AEF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C870652-12EE-4DB4-B71C-A258CD74B5F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BDFFBF9-ABC5-4E60-B8AA-D16816AAC22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C30F770-A50A-4F2F-B630-571CF879BE9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1D04028-2829-4CAC-A082-CC9CFE256B4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5A7C6F7B-6630-4B74-AAAC-FE8E0247514C}">
      <text>
        <r>
          <rPr>
            <b/>
            <sz val="8"/>
            <color indexed="81"/>
            <rFont val="Tahoma"/>
            <family val="2"/>
          </rPr>
          <t xml:space="preserve">Currently NOT used.
</t>
        </r>
      </text>
    </comment>
    <comment ref="F13" authorId="3" shapeId="0" xr:uid="{F64A37B9-9A09-497A-BE1C-338D9CE0BA4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9DAB3BAF-FAB3-43EB-962E-35F06452443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EED217C2-8318-4462-B03F-9C0E53C48BF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D3D06E6-BD89-4E39-86DA-A53081E63E4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F398C0C-87E5-4C39-B15E-BE1980119EC3}">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D2491B08-86CC-4F84-94D3-2D530E6369D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A451931C-A4A1-47D4-95DF-57B1E0324195}">
      <text>
        <r>
          <rPr>
            <b/>
            <sz val="8"/>
            <color indexed="81"/>
            <rFont val="Tahoma"/>
            <family val="2"/>
          </rPr>
          <t xml:space="preserve">Currently NOT used.
</t>
        </r>
      </text>
    </comment>
    <comment ref="F13" authorId="3" shapeId="0" xr:uid="{F5F68D0C-8F2D-40AE-956C-C543835E789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D3459C5-1335-4F35-9BED-3121FF705AB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58F236B5-F790-4845-B003-24BE9442ED0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3A231AB-1267-416E-9AE1-265C449B06C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3B4FB92-4A40-46FE-BEB4-754690317686}">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FA35116-AB9C-47F3-B68C-929A12014A6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D0817E9-EEC6-47BC-9E80-447AF1576C58}">
      <text>
        <r>
          <rPr>
            <b/>
            <sz val="8"/>
            <color indexed="81"/>
            <rFont val="Tahoma"/>
            <family val="2"/>
          </rPr>
          <t xml:space="preserve">Currently NOT used.
</t>
        </r>
      </text>
    </comment>
    <comment ref="F13" authorId="3" shapeId="0" xr:uid="{680870A7-DE57-4495-9DC1-99B44565B56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D072BEF-8450-4A7A-AF2F-B225025FD63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58ED44DC-FC1B-4379-980B-685B9BB146D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70D5B4B-B08B-458E-BEED-5DC3714C1F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71827A6-411D-46C9-BE65-FCEAC5FF17D2}">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59A70AB-17CF-4AF8-B103-37745BE1056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EB8B0040-DA21-46E0-BF86-FA91677D7840}">
      <text>
        <r>
          <rPr>
            <b/>
            <sz val="8"/>
            <color indexed="81"/>
            <rFont val="Tahoma"/>
            <family val="2"/>
          </rPr>
          <t xml:space="preserve">Currently NOT used.
</t>
        </r>
      </text>
    </comment>
    <comment ref="F13" authorId="3" shapeId="0" xr:uid="{C313FA8B-9AE0-422F-BD56-E5A09B2BEEEA}">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6566060-BD7B-49C4-A8C1-2CD5D5B4E16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7AF2F4A-954E-4DFE-94AC-F9E21A91428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EEDA1A1-C93C-4B2A-ABC9-EFDEE0A592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22DACC0-F2A4-4ADE-B32D-5067E6647509}">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C8DCEE1-FCBF-4596-A21E-979A7B53841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EE1FFCB-8C2A-4593-99C8-8C25CF6B1F39}">
      <text>
        <r>
          <rPr>
            <b/>
            <sz val="8"/>
            <color indexed="81"/>
            <rFont val="Tahoma"/>
            <family val="2"/>
          </rPr>
          <t xml:space="preserve">Currently NOT used.
</t>
        </r>
      </text>
    </comment>
    <comment ref="F13" authorId="3" shapeId="0" xr:uid="{6B9B7406-A6B1-4906-B98A-23CDD4204A7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11DA73D-4E51-43F0-9A40-7D52D2BC713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B94529D-AD65-4E95-B3D3-0BEE08226BB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8067DDAD-445C-4954-84AC-F48117FCE48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C944EF3-541D-4A00-A00D-3794C74B61D3}">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09FC371-B6E4-4405-9B32-2666ACF1500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E4ABF96A-E616-4C83-B1F5-2463A70C2F90}">
      <text>
        <r>
          <rPr>
            <b/>
            <sz val="8"/>
            <color indexed="81"/>
            <rFont val="Tahoma"/>
            <family val="2"/>
          </rPr>
          <t xml:space="preserve">Currently NOT used.
</t>
        </r>
      </text>
    </comment>
    <comment ref="F13" authorId="3" shapeId="0" xr:uid="{6F91B8D7-1C4A-4C06-9262-3A2D9E6AE11A}">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78D63E07-0156-4BAC-8670-04B84E40584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B12BACDE-A46F-4EDB-A185-124953FA5D72}">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80E175E-7F88-45AC-B21B-98273C5CD94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D60D085-7E93-4E84-AF48-6A92C5172453}">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072C5F8-FC5F-4BF7-9C1E-896BC91C76EA}">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A7B2145-5925-4782-931A-1E946320208E}">
      <text>
        <r>
          <rPr>
            <b/>
            <sz val="8"/>
            <color indexed="81"/>
            <rFont val="Tahoma"/>
            <family val="2"/>
          </rPr>
          <t xml:space="preserve">Currently NOT used.
</t>
        </r>
      </text>
    </comment>
    <comment ref="F13" authorId="3" shapeId="0" xr:uid="{C96D2CDA-9C2F-4687-BB4F-B58954D282AA}">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4FA92CAC-FAA6-475A-A6DE-A187FA1E34F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26A23E5-B9FF-4C06-87B2-5D1D2DC08D3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0FA9278-96CC-4D44-A778-33C1AB92939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994F421-885C-4548-9F16-BC25FFB72CB2}">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6FC9659-8AD5-4AB1-AAC7-182BBE699B1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63040C9-3681-420C-A342-F805FBB0B0CD}">
      <text>
        <r>
          <rPr>
            <b/>
            <sz val="8"/>
            <color indexed="81"/>
            <rFont val="Tahoma"/>
            <family val="2"/>
          </rPr>
          <t xml:space="preserve">Currently NOT used.
</t>
        </r>
      </text>
    </comment>
    <comment ref="F13" authorId="3" shapeId="0" xr:uid="{60877E79-FA80-45D2-94DF-6750943D0B7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10A609B1-AC58-466B-A82C-E64DB53C47C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E0579008-5980-4A5C-9D7B-B86A3161331B}">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8596BB45-0317-4AA8-8B14-D80FE3FCFB1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2EA5D70-56D6-495C-BB4A-C1B5D87EB15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AED8026-7625-4341-87DA-6B4C4A2AC72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82651023-CA0F-4594-A3CF-3C679B378E9C}">
      <text>
        <r>
          <rPr>
            <b/>
            <sz val="8"/>
            <color indexed="81"/>
            <rFont val="Tahoma"/>
            <family val="2"/>
          </rPr>
          <t xml:space="preserve">Currently NOT used.
</t>
        </r>
      </text>
    </comment>
    <comment ref="F13" authorId="3" shapeId="0" xr:uid="{441BCDC7-5BFB-4BDA-A8E1-A700F87FF9D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9161DF0-6571-474C-88C2-A88F0D083AD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1222890-57C8-4578-8F56-D833C24E047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597606F1-7242-4374-BE90-2C06204E0A9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B58EAB6C-ACE4-4CAE-A133-70D9E3026446}">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CD52756-7F80-45A5-8F49-C4C808A0DBD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C6440AC-567D-4A57-A4E5-0E80E9DDDC02}">
      <text>
        <r>
          <rPr>
            <b/>
            <sz val="8"/>
            <color indexed="81"/>
            <rFont val="Tahoma"/>
            <family val="2"/>
          </rPr>
          <t xml:space="preserve">Currently NOT used.
</t>
        </r>
      </text>
    </comment>
    <comment ref="F13" authorId="3" shapeId="0" xr:uid="{A95525EC-CEE0-4B5C-B487-198DBD5C3BBC}">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D8D35257-88A3-4E2E-9696-5ABA99225A8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132DB7F-084B-431E-AEE3-273BDFF7475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1B87992-5E0C-4998-B2FF-9D9797E778B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1C79D700-9319-45E7-9B64-4A03BA45B56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DFD3BF1C-99EC-445F-835B-EBFCAF47C69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47DE6C5-6259-42D0-B4F7-19655F50FF2E}">
      <text>
        <r>
          <rPr>
            <b/>
            <sz val="8"/>
            <color indexed="81"/>
            <rFont val="Tahoma"/>
            <family val="2"/>
          </rPr>
          <t xml:space="preserve">Currently NOT used.
</t>
        </r>
      </text>
    </comment>
    <comment ref="F13" authorId="3" shapeId="0" xr:uid="{2320FA80-6194-43C2-A553-10C53667FFC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FE834C65-08EC-4E83-AD30-99327F7C15D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B8A111D5-CED9-471D-A37F-34DE92C18D9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38301F5-8B23-4DE3-88F8-726F04D104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BEA1177-C85E-47B6-874B-4EA8BFFAA4C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DB7B145-9E3E-4D54-8357-7D4BEC92705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97743F2-439D-4F18-81A2-18F83ADA7C54}">
      <text>
        <r>
          <rPr>
            <b/>
            <sz val="8"/>
            <color indexed="81"/>
            <rFont val="Tahoma"/>
            <family val="2"/>
          </rPr>
          <t xml:space="preserve">Currently NOT used.
</t>
        </r>
      </text>
    </comment>
    <comment ref="F13" authorId="3" shapeId="0" xr:uid="{EBCBFF55-D1E4-4B72-A7F3-916C2C2C6A8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CAAEE49-9FD7-41B5-ABF7-D17DF384B1F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DAF63E4-777A-4845-996A-5DCB8A98513D}">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EF7B7D5-CB09-459A-800D-5ED6D2343E1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834E7AB-F586-4EC7-BC23-0CB82D3BFE99}">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B7F97D0C-9314-4572-A5F6-E2B0856F0E7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D794BE37-0145-4E09-ABA1-04937B2A96E1}">
      <text>
        <r>
          <rPr>
            <b/>
            <sz val="8"/>
            <color indexed="81"/>
            <rFont val="Tahoma"/>
            <family val="2"/>
          </rPr>
          <t xml:space="preserve">Currently NOT used.
</t>
        </r>
      </text>
    </comment>
    <comment ref="F13" authorId="3" shapeId="0" xr:uid="{C0234F1E-FFFD-44D2-97BB-134B68A73B8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166D02-C41D-429A-B501-4CF81BBDC14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5E245EA-53C0-49D9-8CE4-7BC1F91E60A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32D6120-77D0-4193-99B7-B3E848C55D6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AA9238D-2347-4DE1-83D4-BD9FDE884D3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EC591AD-C7F6-4652-A3A6-4B3FB6CEDBA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D5F34882-0981-4BFC-B07D-5E25088EC4C5}">
      <text>
        <r>
          <rPr>
            <b/>
            <sz val="8"/>
            <color indexed="81"/>
            <rFont val="Tahoma"/>
            <family val="2"/>
          </rPr>
          <t xml:space="preserve">Currently NOT used.
</t>
        </r>
      </text>
    </comment>
    <comment ref="F13" authorId="3" shapeId="0" xr:uid="{27C1F1A5-4C3B-47C2-8E20-FFA8B857C03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C68FE715-6BAD-4B9A-8000-FCE342A777A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8D9BBDA-BE89-4F3F-AF63-C5ED18F3A7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206AD21-2E85-42DD-BDFD-943F0697580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938C96AA-9EAB-4312-9C80-691A021BD97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FAB65A2-4797-42A8-9972-54271FE668C3}">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D273968-4AE8-4EE9-BDD5-30045C78821A}">
      <text>
        <r>
          <rPr>
            <b/>
            <sz val="8"/>
            <color indexed="81"/>
            <rFont val="Tahoma"/>
            <family val="2"/>
          </rPr>
          <t xml:space="preserve">Currently NOT used.
</t>
        </r>
      </text>
    </comment>
    <comment ref="F13" authorId="3" shapeId="0" xr:uid="{526E319D-4E26-4CF9-909B-367A5FE7F94E}">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A796FB1-1AA9-4560-A3A6-9C701457D98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72A1EE2D-5C54-4FB3-80AB-7399CC8DE87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E00C0DB-4BD2-4DC0-AF6D-D7B396E1797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4DB964F3-EC43-4CBC-89D8-9B3D335994C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A0F64E7-4D08-44BE-B80E-82752C888265}">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0083C9B-A03E-4987-869A-319748EE23EB}">
      <text>
        <r>
          <rPr>
            <b/>
            <sz val="8"/>
            <color indexed="81"/>
            <rFont val="Tahoma"/>
            <family val="2"/>
          </rPr>
          <t xml:space="preserve">Currently NOT used.
</t>
        </r>
      </text>
    </comment>
    <comment ref="F13" authorId="3" shapeId="0" xr:uid="{E3F84EC7-7D46-45AE-B713-1DCAB19FEC8F}">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1C9447C2-E129-460D-AA16-49FC1EF89A8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5FEDBDE-7B41-47AE-9CEC-9BF7187F2B5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E77F57A7-7A73-4382-986C-7BC4ECEAE21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FD38B99-5DBD-41D1-9C49-137F06E14554}">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26C0F369-1748-447D-87B4-8B8B4AA224D8}">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AA2B57B-9F0E-4B74-90CB-9ED9B82C0CB3}">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768C7EA4-EEEF-43CA-84A7-070AE539BE16}">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BB816223-A1DC-4F2E-9561-4EB7A169304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4F4EE1D-CA13-4B95-AB3C-96459198B78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884C6E23-8249-4B87-9409-082F314E723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1285C8D5-AF61-4A97-A65B-77DC361529D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5A14476F-75B6-4AB7-BAAA-044CCDB2C57E}">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A6E57BA4-139E-4B4C-9DFE-5D4AC5E098F8}">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8319FCB-5D09-4D2D-8E81-6104D8A57313}">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D02B637A-BB22-41A5-A9BF-99969F2446C1}">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52C3156-D905-450B-A5B6-1B6C879FCA65}">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546B131F-7BD6-42C2-B536-A36074F0981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31BDB9C7-0D3C-4595-9BD1-0B1A441CD2EA}">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FD612CDE-B99E-4C0C-B6BB-CA21BF61554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86740989-CC33-4B6A-8DA8-6F628D349756}">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3BB1362C-E000-4C97-81B1-8D2CEEB53E62}">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AFF02A4F-6C76-44BB-9134-66E19B260A92}">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12ABE7EA-9078-405F-B4E5-257B866BB936}">
      <text>
        <r>
          <rPr>
            <b/>
            <sz val="9"/>
            <color indexed="81"/>
            <rFont val="Tahoma"/>
            <family val="2"/>
          </rPr>
          <t>Minimum End of Slot to Edge of Material
(Min Edge Dist).</t>
        </r>
        <r>
          <rPr>
            <sz val="9"/>
            <color indexed="81"/>
            <rFont val="Tahoma"/>
            <family val="2"/>
          </rPr>
          <t xml:space="preserve">
</t>
        </r>
      </text>
    </comment>
    <comment ref="DH9" authorId="3" shapeId="0" xr:uid="{F70C690C-1099-48B6-8B29-822667644068}">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E8CADEF9-A643-4D1C-8345-964A30F78B6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203D0030-7404-480B-9972-3300B6FE344B}">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52BEF8B-59DA-4553-AD3D-E29A85CC26D5}">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118EF974-6355-4A57-B752-B25B7072EE78}">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34EBE080-ABE3-49C3-8DB7-02D61B196799}">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489F4E42-6D98-4DBF-BAAE-28AEB7210E09}">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B0002681-DB90-4F0D-8B0D-26484F3AAEF1}">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BF98CDD-7EF0-42F6-9519-0204492AD0A3}">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EC7A89A5-8318-4DA3-86AA-0B7607AFEC44}">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E1433B0-B1B4-459F-83E9-3E1DCD169595}">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EA279976-8D0E-43E9-A769-9F4EE1F2BD27}">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468AEE04-41C2-4FB0-AECA-25746D6EDD6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E111B25E-66F4-4C8A-A486-21324D57B553}">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CFDAD436-CD81-4BE9-96C3-F37702B0850B}">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3BF5150-ADFB-4B9C-8D75-3F5C32D1E2C4}">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52E561C5-B729-4B79-9A9A-367F5DDFB9E3}">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3FD39123-538C-40A4-80BA-894665436D6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F998D967-C94B-4587-BC32-F0203F86C91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2F7D9DD2-2D10-4288-A483-335706CB593A}">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F7D57913-397B-46FE-83FA-23ABFD36833E}">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94DD007A-BB81-485A-9432-2B995B72FAA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AEE0AD1E-B0DE-4D04-A746-27A241DBBDB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D65067EF-6885-4D01-9D30-3188245014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6D1E694F-22C8-4C53-B6FA-7DFFEA6DB63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ED6B6DB0-7DC7-430E-8329-68551937DCC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E3A14D45-ABF3-4901-9377-33B9CE1FA87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4CF3FC9B-9870-4A2F-9D7A-1AF69F1C39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2852F11-4BEC-4CD6-BB46-7EC87889084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9BB8E1D0-4646-447D-9B7D-7E0ADD4D68A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4DFA927E-3D63-46D6-8CEA-25B95AA485E8}">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C8999C8E-FB89-4FA8-955B-8C3EE4FA8C2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4B927890-84B7-47AC-AE64-F96590D8EBC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BC12558E-0FFC-4BF7-BAA2-A80E7B5F81D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B74F0A69-AAC6-4F4B-90E4-4961CA13CE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2979427B-0175-4152-9E6B-1DC312A86C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C7A3B77D-37DE-4F22-A0C1-9730938EFE3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5379F23-6672-4B49-8353-E652F52E1EA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275C739B-67E7-46D2-A1EE-7ABDFBC901F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810BDFA2-5FBB-400B-B807-F75D2AF2F4E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D1FDFE6A-97B9-48E1-BCC1-341DF87B394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C813E92-5F54-4F7C-8FE0-5AD6C868798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E09CC5A6-AD87-4C78-ADE5-011DDDF25507}">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46CF861-D46D-47F4-9058-F19D7625EAF2}">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43A76525-8859-4254-8CB0-CAC27A8F3962}">
      <text>
        <r>
          <rPr>
            <b/>
            <sz val="9"/>
            <color indexed="81"/>
            <rFont val="Tahoma"/>
            <family val="2"/>
          </rPr>
          <t>Rich Sellers:</t>
        </r>
        <r>
          <rPr>
            <sz val="9"/>
            <color indexed="81"/>
            <rFont val="Tahoma"/>
            <family val="2"/>
          </rPr>
          <t xml:space="preserve">
</t>
        </r>
      </text>
    </comment>
    <comment ref="AB12" authorId="0" shapeId="0" xr:uid="{AE8C5562-4691-471A-B6A9-3E428FF236A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97A36CA3-A598-439B-BC72-C232ADF2394A}">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37CFFACA-27C0-4BC7-81F5-75C2DA353D4C}">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72F94E9-AB6C-41C6-9663-E099C1A58ED3}">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D773A145-0DA3-4BB8-8779-E2398D2FAE7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0684E9C8-795C-4007-B3A6-B7F26763AC8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9B9537B-832F-4905-A7E7-C9A634F0F0A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3EAA9B7-5173-401C-A1B8-03D9DB4F262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DC83A75B-7BA2-456D-BB25-47CF08829D2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45420470-5D38-4C66-BFEF-C7A108F894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981CD5D7-E6C6-443B-BD52-80AC8A12658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22A568CF-E417-4071-9576-2601338DCFC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CA64678-0E52-4FCE-967D-9DA1E4FE469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C0B51EF-AFD2-43DF-A43D-3258E97FC0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2D3F4B4D-DA8C-46F7-A19D-F311297909C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00F178C-EB4C-4F84-8DDE-3D86683C75B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81B16D99-D5DE-4D7C-8B70-ED53ED47D72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5AE5A6F8-0F4D-4936-9614-5F6D140EFA5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CE8F0961-A45A-4B49-A2FA-32EA385F515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C7D7E6A-299D-4A7B-9DD4-4C8DC29224FB}">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2D012CC9-13E4-437B-9B9B-971F06A1326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1D8FCE9-2276-4A80-A01E-A6EBE9113A1D}">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CCA52DAA-F025-472C-8DF2-DE529C8B19EB}">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929992DA-8408-4C9A-A653-D1465A5A98A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B3969C52-4450-493F-8104-9A13CB5AED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70CABC59-6039-4E6A-B0D3-3BEC62F4CD9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AE4F5A9A-C7A3-4831-BDB2-BB79D252E8C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5D0B2488-5337-4301-A852-BA06AAFBCF6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B9CD5EDB-38A8-4B93-8349-42110072B73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14E1934-BD59-463B-9C65-4CB0753586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1FBC25E-60F6-4C5A-8058-9D5CB73F273C}">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B8F4F8C1-34E6-4413-BE73-FE435DCC5AF8}">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581E38A1-02F0-42CF-95E0-A189D56E19AE}">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A2326B3B-2FE4-4D0F-9DC5-8FC84BDADBC9}">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E487BFC4-41B3-4500-8EA2-193700D043F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1FAA9466-781F-4795-B349-7F2A4DF5D4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12FB11A5-E784-4188-834C-C9D66AB397FC}">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FB64B459-9A41-4946-AD50-427163F299D7}">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64EE02AA-7405-4D0A-B727-E1147BD64250}">
      <text>
        <r>
          <rPr>
            <b/>
            <sz val="9"/>
            <color indexed="81"/>
            <rFont val="Tahoma"/>
            <family val="2"/>
          </rPr>
          <t>Rich Sellers:</t>
        </r>
        <r>
          <rPr>
            <sz val="9"/>
            <color indexed="81"/>
            <rFont val="Tahoma"/>
            <family val="2"/>
          </rPr>
          <t xml:space="preserve">
</t>
        </r>
      </text>
    </comment>
    <comment ref="AB12" authorId="0" shapeId="0" xr:uid="{3E9E6491-A61F-4C02-A313-FFDC79EB98B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705C94EA-9569-4C85-8620-FD925D0A470F}">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2F21A86-81E7-41A2-9D74-901EF61E1784}">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91D61DE-B955-473A-A91D-F8382A40CE64}">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CBDFECC2-59CB-440B-BCAF-49495DEFFAE8}">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A82464BD-FCFB-48B4-A6BF-4F415ED779D6}">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302DED0F-1362-4CB3-921E-D45EFE5FF107}">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C68625A-2D20-495F-895E-07B5211A4DB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851C1F1-4A71-43F4-A5E4-8AE18AFBEC7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563108BF-E17E-41DF-99BB-2686A41FDCC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B795BF6A-2996-47FE-A994-C44F04F8F48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3630A721-3A2A-4C96-884F-CBBB99F62DB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D433BD7B-ABF4-453B-96A9-C0BCCD62CC4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B78B3AD2-F2CF-4F34-82D7-2B058864DD5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71D3E455-1772-4F00-8FBA-32F4E358EE8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8227FE70-66F0-4AAF-930B-924A16A623C2}">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1EAC9714-FE17-4229-A025-7F18E4A5889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BAA37E4D-5AD9-4041-8261-48C622B1F91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8E67B4D2-7625-401F-85BC-573EBC0F9F9C}">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7F87E05-B3DF-440C-BEF9-6DFB64C7CB6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E66D8DE5-ED27-4CC3-883B-7BC1CCF1590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AA1DF9C2-AE08-4C05-B9E0-B5DD5915C148}">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5F4B26-BFDE-47FA-B9FB-C22BA4955492}">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39B7460E-9592-42F1-B714-6039BC148178}">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901682E5-251D-4D3D-B5B4-A66D3D98BEE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49AD362F-6B67-4C62-B97E-38802316E6F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C040FC03-3649-4399-9DEC-F7ECC630D37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9F50ECBA-EFD4-4C90-9355-4EA6CB59DB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342EC5F4-CBDC-4251-AFD5-FB993C93608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4A83D01-2202-4669-A732-03C71602BF5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2384D42A-87DD-4C3B-A729-0DFFCBC8512F}">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1C30B963-CB9C-4690-9118-5E2432E099CA}">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89471FD-92A3-4E38-8A08-9805B885B789}">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CA52FC7A-A44A-4803-8531-494BA8DAF3EB}">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F1614308-81DF-44B2-BEBB-E35D5F2BA0A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E5D3679-9E79-46B2-923D-1610391E26E6}">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CAE8646D-2A2A-476E-B49C-7A4206CDB6DF}">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D352FA41-0C40-42F0-A0A1-2A3B72A835B6}">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9BC68E7F-291D-4DA1-8460-2573E0C9B058}">
      <text>
        <r>
          <rPr>
            <b/>
            <sz val="9"/>
            <color indexed="81"/>
            <rFont val="Tahoma"/>
            <family val="2"/>
          </rPr>
          <t>Rich Sellers:</t>
        </r>
        <r>
          <rPr>
            <sz val="9"/>
            <color indexed="81"/>
            <rFont val="Tahoma"/>
            <family val="2"/>
          </rPr>
          <t xml:space="preserve">
</t>
        </r>
      </text>
    </comment>
    <comment ref="AB12" authorId="0" shapeId="0" xr:uid="{76BDACD2-B3CB-4DDB-8292-2E82AC2117D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B720A5FF-9E1C-4C87-8BDF-249E50829494}">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83E0EF2F-354B-439E-BFE3-BDB0D2DFA44F}">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73CA276-C345-4BF0-944A-CEA791D4D53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B5412199-BB45-4F45-93C8-726D36A3A5C6}">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6B8ED2D3-9271-491F-BA7D-9590A6AADD1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AB4394D6-D715-471F-B8B6-F6294D0D5A9C}">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46618C84-3B4F-480B-972F-02A865CC266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5B039DA-6543-49A7-AEE4-9CDC0058342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75AA356-F5ED-480E-9FA9-A5EB851329C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AEFC6919-8A0E-483E-ACCF-B213F734F0F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67DD3DFD-0CA1-423F-8EC1-CBB46CC2457E}">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38892619-36D4-408A-BFFE-FB29D32D060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4583B51A-D746-4EB3-841E-D354C297D40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14CBCB20-DEF9-490C-BF8C-ABDE270B467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C66BEC70-0E23-42CB-A351-93085CC71E4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7964B0F-CF2B-482B-80A1-0084AF0204D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6817EA1F-737A-48AA-820D-81DE643A781C}">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45CD2696-9EB9-463F-BC37-C000F0564D8D}">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7C7994EB-CF53-4720-A8BF-BEB48703528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9751BC8-E894-4790-A84F-AA9D22232BB6}">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D7570C5E-7129-4759-8691-0ABF5A491E7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571CF10B-35D8-473E-BA7A-ACD8CB88722A}">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F86EDBE7-A064-4D61-BB2D-5D83FBBC4BE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309EE656-0101-42E5-BC69-290A52B4D34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51822F-237B-4087-8E37-D501649ACC6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E1B61C80-5CE6-4245-8FD4-532DF216F5E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2069E6FB-3C77-4C94-B3BF-3811479EE39D}">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841C8E7B-4445-4378-BAF2-157A9EDF282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D0F83916-685C-4AB2-B03B-2F01B8B4B76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1D55A06D-C79A-4688-9CEB-8D97D3CA3E7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982F130E-7760-4C7D-AA50-30A586BFF7B9}">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6FBD960-9670-4482-B819-532A3F0A76FC}">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DAD6512-D6C3-40B0-8C39-539D6534ED54}">
      <text>
        <r>
          <rPr>
            <b/>
            <sz val="9"/>
            <color indexed="81"/>
            <rFont val="Tahoma"/>
            <family val="2"/>
          </rPr>
          <t>Rich Sellers:</t>
        </r>
        <r>
          <rPr>
            <sz val="9"/>
            <color indexed="81"/>
            <rFont val="Tahoma"/>
            <family val="2"/>
          </rPr>
          <t xml:space="preserve">
A,B,AB or FALSE.
A/B = error for that value
FALSE = no error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<sst xmlns="http://schemas.openxmlformats.org/spreadsheetml/2006/main" count="28091" uniqueCount="2040">
  <si>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</si>
  <si>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</si>
  <si>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</si>
  <si>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</si>
  <si>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</si>
  <si>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</si>
  <si>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</si>
  <si>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</si>
  <si>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</si>
  <si>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</si>
  <si>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</si>
  <si>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</si>
  <si>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</si>
  <si>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</si>
  <si>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</si>
  <si>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</si>
  <si>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</si>
  <si>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</si>
  <si>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</si>
  <si>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</si>
  <si>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</si>
  <si>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</si>
  <si>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</si>
  <si>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</si>
  <si>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</si>
  <si>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</si>
  <si>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</si>
  <si>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</si>
  <si>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</si>
  <si>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</si>
  <si>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</si>
  <si>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</si>
  <si>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</si>
  <si>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</si>
  <si>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</si>
  <si>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</si>
  <si>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</si>
  <si>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</si>
  <si>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</si>
  <si>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</si>
  <si>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</si>
  <si>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</si>
  <si>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</si>
  <si>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</si>
  <si>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</si>
  <si>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</si>
  <si>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</si>
  <si>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</si>
  <si>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</si>
  <si>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</si>
  <si>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</si>
  <si>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</si>
  <si>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</si>
  <si>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</si>
  <si>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</si>
  <si>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</si>
  <si>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</si>
  <si>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</si>
  <si>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</si>
  <si>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</si>
  <si>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</si>
  <si>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</si>
  <si>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</si>
  <si>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</si>
  <si>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</si>
  <si>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</si>
  <si>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</si>
  <si>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</si>
  <si>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</si>
  <si>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</si>
  <si>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</si>
  <si>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</si>
  <si>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</si>
  <si>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</si>
  <si>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</si>
  <si>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</si>
  <si>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</si>
  <si>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</si>
  <si>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</si>
  <si>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</si>
  <si>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</si>
  <si>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</si>
  <si>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</si>
  <si>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</si>
  <si>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</si>
  <si>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</si>
  <si>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</si>
  <si>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</si>
  <si>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</si>
  <si>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</si>
  <si>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</si>
  <si>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</si>
  <si>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</si>
  <si>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</si>
  <si>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</si>
  <si>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</si>
  <si>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</si>
  <si>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</si>
  <si>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</si>
  <si>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</si>
  <si>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</si>
  <si>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</si>
  <si>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</si>
  <si>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</si>
  <si>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</si>
  <si>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</si>
  <si>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</si>
  <si>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</si>
  <si>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</si>
  <si>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</si>
  <si>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</si>
  <si>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</si>
  <si>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</si>
  <si>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</si>
  <si>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</si>
  <si>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</si>
  <si>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</si>
  <si>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</si>
  <si>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</si>
  <si>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</si>
  <si>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</si>
  <si>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</si>
  <si>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</si>
  <si>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</si>
  <si>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</si>
  <si>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</si>
  <si>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</si>
  <si>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</si>
  <si>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</si>
  <si>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</si>
  <si>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</si>
  <si>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</si>
  <si>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</si>
  <si>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</si>
  <si>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</si>
  <si>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</si>
  <si>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</si>
  <si>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</si>
  <si>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</si>
  <si>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</si>
  <si>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</si>
  <si>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</si>
  <si>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</si>
  <si>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</si>
  <si>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</si>
  <si>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</si>
  <si>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</si>
  <si>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</si>
  <si>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</si>
  <si>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</si>
  <si>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</si>
  <si>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</si>
  <si>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</si>
  <si>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</si>
  <si>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</si>
  <si>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</si>
  <si>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</si>
  <si>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</si>
  <si>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</si>
  <si>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</si>
  <si>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</si>
  <si>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</si>
  <si>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</si>
  <si>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</si>
  <si>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</si>
  <si>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</si>
  <si>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</si>
  <si>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</si>
  <si>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</si>
  <si>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</si>
  <si>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</si>
  <si>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</si>
  <si>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</si>
  <si>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</si>
  <si>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</si>
  <si>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</si>
  <si>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</si>
  <si>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</si>
  <si>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</si>
  <si>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</si>
  <si>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</si>
  <si>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</si>
  <si>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</si>
  <si>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</si>
  <si>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</si>
  <si>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</si>
  <si>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</si>
  <si>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</si>
  <si>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</si>
  <si>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</si>
  <si>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</si>
  <si>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</si>
  <si>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</si>
  <si>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</si>
  <si>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</si>
  <si>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</si>
  <si>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</si>
  <si>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</si>
  <si>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</si>
  <si>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</si>
  <si>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</si>
  <si>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</si>
  <si>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</si>
  <si>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</si>
  <si>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</si>
  <si>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</si>
  <si>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</si>
  <si>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</si>
  <si>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</si>
  <si>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</si>
  <si>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</si>
  <si>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</si>
  <si>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</si>
  <si>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</si>
  <si>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</si>
  <si>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</si>
  <si>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</si>
  <si>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</si>
  <si>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</si>
  <si>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</si>
  <si>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</si>
  <si>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</si>
  <si>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</si>
  <si>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</si>
  <si>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</si>
  <si>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</si>
  <si>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</si>
  <si>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</si>
  <si>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</si>
  <si>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</si>
  <si>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</si>
  <si>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</si>
  <si>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</si>
  <si>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</si>
  <si>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</si>
  <si>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</si>
  <si>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</si>
  <si>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</si>
  <si>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</si>
  <si>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</si>
  <si>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</si>
  <si>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</si>
  <si>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</si>
  <si>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</si>
  <si>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</si>
  <si>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</si>
  <si>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</si>
  <si>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</si>
  <si>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</si>
  <si>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</si>
  <si>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</si>
  <si>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</si>
  <si>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</si>
  <si>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</si>
  <si>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</si>
  <si>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</si>
  <si>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</si>
  <si>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</si>
  <si>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</si>
  <si>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</si>
  <si>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</si>
  <si>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</si>
  <si>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</si>
  <si>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</si>
  <si>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</si>
  <si>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</si>
  <si>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</si>
  <si>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</si>
  <si>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</si>
  <si>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</si>
  <si>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</si>
  <si>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</si>
  <si>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</si>
  <si>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</si>
  <si>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</si>
  <si>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</si>
  <si>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</si>
  <si>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</si>
  <si>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</si>
  <si>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</si>
  <si>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</si>
  <si>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</si>
  <si>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</si>
  <si>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</si>
  <si>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</si>
  <si>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</si>
  <si>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</si>
  <si>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</si>
  <si>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</si>
  <si>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</si>
  <si>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</si>
  <si>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</si>
  <si>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</si>
  <si>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</si>
  <si>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</si>
  <si>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</si>
  <si>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</si>
  <si>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</si>
  <si>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</si>
  <si>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</si>
  <si>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</si>
  <si>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</si>
  <si>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</si>
  <si>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</si>
  <si>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</si>
  <si>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</si>
  <si>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</si>
  <si>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</si>
  <si>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</si>
  <si>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</si>
  <si>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</si>
  <si>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</si>
  <si>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</si>
  <si>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</si>
  <si>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</si>
  <si>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</si>
  <si>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</si>
  <si>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</si>
  <si>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</si>
  <si>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</si>
  <si>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</si>
  <si>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</si>
  <si>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</si>
  <si>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</si>
  <si>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</si>
  <si>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</si>
  <si>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</si>
  <si>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</si>
  <si>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</si>
  <si>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</si>
  <si>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</si>
  <si>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</si>
  <si>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</si>
  <si>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</si>
  <si>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</si>
  <si>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</si>
  <si>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</si>
  <si>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</si>
  <si>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</si>
  <si>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</si>
  <si>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</si>
  <si>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</si>
  <si>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</si>
  <si>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</si>
  <si>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</si>
  <si>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</si>
  <si>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</si>
  <si>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</si>
  <si>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</si>
  <si>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</si>
  <si>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</si>
  <si>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</si>
  <si>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</si>
  <si>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</si>
  <si>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</si>
  <si>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</si>
  <si>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</si>
  <si>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</si>
  <si>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</si>
  <si>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</si>
  <si>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</si>
  <si>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</si>
  <si>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</si>
  <si>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</si>
  <si>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</si>
  <si>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</si>
  <si>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</si>
  <si>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</si>
  <si>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</si>
  <si>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</si>
  <si>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</si>
  <si>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</si>
  <si>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</si>
  <si>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</si>
  <si>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</si>
  <si>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</si>
  <si>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</si>
  <si>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</si>
  <si>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</si>
  <si>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</si>
  <si>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</si>
  <si>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</si>
  <si>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</si>
  <si>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</si>
  <si>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</si>
  <si>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</si>
  <si>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</si>
  <si>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</si>
  <si>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</si>
  <si>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</si>
  <si>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</si>
  <si>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</si>
  <si>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</si>
  <si>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</si>
  <si>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</si>
  <si>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</si>
  <si>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</si>
  <si>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</si>
  <si>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</si>
  <si>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</si>
  <si>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</si>
  <si>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</si>
  <si>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</si>
  <si>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</si>
  <si>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</si>
  <si>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</si>
  <si>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</si>
  <si>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</si>
  <si>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</si>
  <si>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</si>
  <si>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</si>
  <si>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</si>
  <si>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</si>
  <si>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</si>
  <si>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</si>
  <si>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</si>
  <si>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</si>
  <si>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</si>
  <si>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</si>
  <si>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</si>
  <si>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</si>
  <si>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</si>
  <si>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</si>
  <si>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</si>
  <si>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</si>
  <si>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</si>
  <si>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</si>
  <si>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</si>
  <si>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</si>
  <si>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</si>
  <si>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</si>
  <si>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</si>
  <si>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</si>
  <si>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</si>
  <si>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</si>
  <si>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</si>
  <si>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</si>
  <si>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</si>
  <si>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</si>
  <si>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</si>
  <si>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</si>
  <si>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</si>
  <si>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</si>
  <si>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</si>
  <si>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</si>
  <si>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</si>
  <si>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</si>
  <si>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</si>
  <si>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</si>
  <si>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</si>
  <si>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</si>
  <si>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</si>
  <si>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</si>
  <si>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</si>
  <si>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</si>
  <si>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</si>
  <si>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</si>
  <si>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</si>
  <si>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</si>
  <si>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</si>
  <si>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</si>
  <si>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</si>
  <si>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</si>
  <si>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</si>
  <si>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</si>
  <si>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</si>
  <si>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</si>
  <si>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</si>
  <si>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</si>
  <si>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</si>
  <si>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</si>
  <si>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</si>
  <si>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</si>
  <si>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</si>
  <si>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</si>
  <si>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</si>
  <si>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</si>
  <si>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</si>
  <si>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</si>
  <si>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</si>
  <si>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</si>
  <si>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</si>
  <si>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</si>
  <si>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</si>
  <si>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</si>
  <si>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</si>
  <si>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</si>
  <si>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</si>
  <si>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</si>
  <si>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</si>
  <si>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</si>
  <si>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</si>
  <si>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</si>
  <si>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</si>
  <si>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</si>
  <si>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</si>
  <si>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</si>
  <si>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</si>
  <si>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</si>
  <si>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</si>
  <si>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</si>
  <si>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</si>
  <si>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</si>
  <si>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</si>
  <si>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</si>
  <si>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</si>
  <si>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</si>
  <si>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</si>
  <si>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</si>
  <si>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</si>
  <si>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</si>
  <si>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</si>
  <si>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</si>
  <si>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</si>
  <si>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</si>
  <si>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</si>
  <si>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</si>
  <si>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</si>
  <si>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</si>
  <si>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</si>
  <si>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</si>
  <si>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</si>
  <si>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</si>
  <si>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</si>
  <si>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</si>
  <si>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</si>
  <si>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</si>
  <si>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</si>
  <si>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</si>
  <si>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</si>
  <si>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</si>
  <si>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</si>
  <si>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</si>
  <si>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</si>
  <si>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</si>
  <si>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</si>
  <si>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</si>
  <si>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</si>
  <si>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</si>
  <si>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</si>
  <si>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</si>
  <si>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</si>
  <si>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</si>
  <si>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</si>
  <si>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</si>
  <si>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</si>
  <si>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</si>
  <si>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</si>
  <si>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</si>
  <si>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</si>
  <si>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</si>
  <si>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</si>
  <si>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</si>
  <si>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</si>
  <si>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</si>
  <si>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</si>
  <si>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</si>
  <si>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</si>
  <si>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</si>
  <si>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</si>
  <si>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</si>
  <si>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</si>
  <si>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</si>
  <si>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</si>
  <si>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</si>
  <si>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</si>
  <si>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</si>
  <si>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</si>
  <si>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</si>
  <si>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</si>
  <si>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</si>
  <si>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</si>
  <si>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</si>
  <si>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</si>
  <si>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</si>
  <si>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</si>
  <si>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</si>
  <si>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</si>
  <si>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</si>
  <si>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</si>
  <si>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</si>
  <si>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</si>
  <si>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</si>
  <si>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</si>
  <si>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</si>
  <si>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</si>
  <si>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</si>
  <si>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</si>
  <si>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</si>
  <si>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</si>
  <si>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</si>
  <si>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</si>
  <si>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</si>
  <si>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</si>
  <si>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</si>
  <si>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</si>
  <si>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</si>
  <si>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</si>
  <si>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</si>
  <si>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</si>
  <si>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</si>
  <si>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</si>
  <si>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</si>
  <si>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</si>
  <si>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</si>
  <si>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</si>
  <si>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</si>
  <si>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</si>
  <si>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</si>
  <si>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</si>
  <si>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</si>
  <si>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</si>
  <si>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</si>
  <si>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</si>
  <si>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</si>
  <si>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</si>
  <si>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</si>
  <si>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</si>
  <si>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</si>
  <si>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</si>
  <si>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</si>
  <si>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</si>
  <si>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</si>
  <si>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</si>
  <si>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</si>
  <si>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</si>
  <si>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</si>
  <si>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</si>
  <si>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</si>
  <si>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</si>
  <si>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</si>
  <si>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</si>
  <si>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</si>
  <si>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</si>
  <si>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</si>
  <si>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</si>
  <si>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</si>
  <si>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</si>
  <si>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</si>
  <si>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</si>
  <si>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</si>
  <si>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</si>
  <si>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</si>
  <si>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</si>
  <si>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</si>
  <si>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</si>
  <si>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</si>
  <si>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</si>
  <si>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</si>
  <si>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</si>
  <si>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</si>
  <si>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</si>
  <si>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</si>
  <si>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</si>
  <si>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</si>
  <si>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</si>
  <si>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</si>
  <si>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</si>
  <si>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</si>
  <si>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</si>
  <si>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</si>
  <si>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</si>
  <si>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</si>
  <si>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</si>
  <si>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</si>
  <si>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</si>
  <si>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</si>
  <si>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</si>
  <si>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</si>
  <si>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</si>
  <si>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</si>
  <si>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</si>
  <si>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</si>
  <si>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</si>
  <si>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</si>
  <si>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</si>
  <si>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</si>
  <si>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</si>
  <si>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</si>
  <si>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</si>
  <si>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</si>
  <si>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</si>
  <si>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</si>
  <si>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</si>
  <si>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</si>
  <si>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</si>
  <si>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</si>
  <si>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</si>
  <si>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</si>
  <si>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</si>
  <si>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</si>
  <si>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</si>
  <si>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</si>
  <si>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</si>
  <si>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</si>
  <si>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</si>
  <si>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</si>
  <si>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</si>
  <si>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</si>
  <si>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</si>
  <si>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</si>
  <si>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</si>
  <si>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</si>
  <si>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</si>
  <si>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</si>
  <si>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</si>
  <si>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</si>
  <si>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</si>
  <si>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</si>
  <si>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</si>
  <si>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</si>
  <si>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</si>
  <si>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</si>
  <si>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</si>
  <si>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</si>
  <si>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</si>
  <si>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</si>
  <si>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</si>
  <si>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</si>
  <si>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</si>
  <si>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</si>
  <si>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</si>
  <si>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</si>
  <si>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</si>
  <si>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</si>
  <si>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</si>
  <si>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</si>
  <si>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</si>
  <si>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</si>
  <si>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</si>
  <si>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</si>
  <si>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</si>
  <si>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</si>
  <si>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</si>
  <si>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</si>
  <si>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</si>
  <si>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</si>
  <si>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</si>
  <si>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</si>
  <si>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</si>
  <si>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</si>
  <si>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</si>
  <si>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</si>
  <si>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</si>
  <si>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</si>
  <si>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</si>
  <si>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</si>
  <si>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</si>
  <si>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</si>
  <si>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</si>
  <si>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</si>
  <si>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</si>
  <si>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</si>
  <si>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</si>
  <si>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</si>
  <si>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</si>
  <si>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</si>
  <si>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</si>
  <si>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</si>
  <si>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</si>
  <si>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</si>
  <si>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</si>
  <si>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</si>
  <si>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</si>
  <si>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</si>
  <si>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</si>
  <si>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</si>
  <si>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</si>
  <si>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</si>
  <si>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</si>
  <si>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</si>
  <si>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</si>
  <si>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</si>
  <si>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</si>
  <si>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</si>
  <si>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</si>
  <si>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</si>
  <si>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</si>
  <si>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</si>
  <si>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</si>
  <si>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</si>
  <si>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</si>
  <si>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</si>
  <si>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</si>
  <si>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</si>
  <si>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</si>
  <si>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</si>
  <si>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</si>
  <si>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</si>
  <si>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</si>
  <si>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</si>
  <si>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</si>
  <si>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</si>
  <si>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</si>
  <si>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</si>
  <si>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</si>
  <si>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</si>
  <si>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</si>
  <si>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</si>
  <si>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</si>
  <si>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</si>
  <si>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</si>
  <si>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</si>
  <si>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</si>
  <si>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</si>
  <si>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</si>
  <si>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</si>
  <si>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</si>
  <si>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</si>
  <si>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</si>
  <si>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</si>
  <si>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</si>
  <si>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</si>
  <si>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</si>
  <si>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</si>
  <si>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</si>
  <si>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</si>
  <si>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</si>
  <si>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</si>
  <si>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</si>
  <si>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</si>
  <si>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</si>
  <si>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</si>
  <si>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</si>
  <si>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</si>
  <si>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</si>
  <si>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</si>
  <si>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</si>
  <si>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</si>
  <si>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</si>
  <si>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</si>
  <si>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</si>
  <si>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</si>
  <si>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</si>
  <si>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</si>
  <si>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</si>
  <si>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</si>
  <si>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</si>
  <si>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</si>
  <si>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</si>
  <si>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</si>
  <si>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</si>
  <si>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</si>
  <si>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</si>
  <si>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</si>
  <si>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</si>
  <si>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</si>
  <si>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</si>
  <si>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</si>
  <si>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</si>
  <si>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</si>
  <si>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</si>
  <si>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</si>
  <si>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</si>
  <si>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</si>
  <si>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</si>
  <si>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</si>
  <si>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</si>
  <si>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</si>
  <si>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</si>
  <si>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</si>
  <si>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</si>
  <si>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</si>
  <si>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</si>
  <si>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</si>
  <si>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</si>
  <si>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</si>
  <si>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</si>
  <si>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</si>
  <si>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</si>
  <si>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</si>
  <si>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</si>
  <si>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</si>
  <si>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</si>
  <si>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</si>
  <si>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</si>
  <si>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</si>
  <si>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</si>
  <si>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</si>
  <si>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</si>
  <si>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</si>
  <si>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</si>
  <si>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</si>
  <si>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</si>
  <si>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</si>
  <si>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</si>
  <si>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</si>
  <si>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</si>
  <si>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</si>
  <si>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</si>
  <si>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</si>
  <si>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</si>
  <si>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</si>
  <si>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</si>
  <si>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</si>
  <si>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</si>
  <si>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</si>
  <si>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</si>
  <si>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</si>
  <si>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</si>
  <si>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</si>
  <si>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</si>
  <si>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</si>
  <si>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</si>
  <si>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</si>
  <si>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</si>
  <si>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</si>
  <si>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</si>
  <si>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</si>
  <si>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</si>
  <si>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</si>
  <si>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</si>
  <si>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</si>
  <si>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</si>
  <si>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</si>
  <si>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</si>
  <si>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</si>
  <si>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</si>
  <si>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</si>
  <si>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</si>
  <si>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</si>
  <si>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</si>
  <si>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</si>
  <si>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</si>
  <si>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</si>
  <si>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</si>
  <si>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</si>
  <si>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</si>
  <si>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</si>
  <si>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</si>
  <si>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</si>
  <si>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</si>
  <si>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</si>
  <si>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</si>
  <si>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</si>
  <si>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</si>
  <si>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</si>
  <si>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</si>
  <si>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</si>
  <si>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</si>
  <si>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</si>
  <si>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</si>
  <si>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</si>
  <si>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</si>
  <si>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</si>
  <si>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</si>
  <si>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</si>
  <si>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</si>
  <si>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</si>
  <si>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</si>
  <si>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</si>
  <si>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</si>
  <si>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</si>
  <si>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</si>
  <si>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</si>
  <si>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</si>
  <si>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</si>
  <si>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</si>
  <si>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</si>
  <si>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</si>
  <si>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</si>
  <si>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</si>
  <si>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</si>
  <si>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</si>
  <si>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</si>
  <si>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</si>
  <si>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</si>
  <si>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</si>
  <si>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</si>
  <si>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</si>
  <si>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</si>
  <si>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</si>
  <si>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</si>
  <si>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</si>
  <si>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</si>
  <si>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</si>
  <si>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</si>
  <si>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</si>
  <si>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</si>
  <si>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</si>
  <si>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</si>
  <si>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</si>
  <si>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</si>
  <si>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</si>
  <si>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</si>
  <si>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</si>
  <si>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</si>
  <si>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</si>
  <si>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</si>
  <si>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</si>
  <si>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</si>
  <si>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</si>
  <si>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</si>
  <si>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</si>
  <si>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</si>
  <si>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</si>
  <si>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</si>
  <si>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</si>
  <si>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</si>
  <si>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</si>
  <si>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</si>
  <si>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</si>
  <si>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</si>
  <si>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</si>
  <si>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</si>
  <si>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</si>
  <si>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</si>
  <si>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</si>
  <si>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</si>
  <si>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</si>
  <si>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</si>
  <si>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</si>
  <si>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</si>
  <si>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</si>
  <si>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</si>
  <si>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</si>
  <si>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</si>
  <si>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</si>
  <si>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</si>
  <si>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</si>
  <si>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</si>
  <si>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</si>
  <si>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</si>
  <si>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</si>
  <si>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</si>
  <si>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</si>
  <si>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</si>
  <si>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</si>
  <si>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</si>
  <si>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</si>
  <si>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</si>
  <si>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</si>
  <si>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</si>
  <si>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</si>
  <si>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</si>
  <si>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</si>
  <si>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</si>
  <si>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</si>
  <si>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</si>
  <si>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</si>
  <si>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</si>
  <si>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</si>
  <si>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</si>
  <si>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</si>
  <si>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</si>
  <si>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</si>
  <si>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</si>
  <si>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</si>
  <si>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</si>
  <si>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</si>
  <si>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</si>
  <si>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</si>
  <si>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</si>
  <si>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</si>
  <si>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</si>
  <si>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</si>
  <si>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</si>
  <si>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</si>
  <si>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</si>
  <si>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</si>
  <si>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</si>
  <si>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</si>
  <si>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</si>
  <si>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</si>
  <si>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</si>
  <si>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</si>
  <si>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</si>
  <si>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</si>
  <si>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</si>
  <si>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</si>
  <si>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</si>
  <si>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</si>
  <si>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</si>
  <si>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</si>
  <si>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</si>
  <si>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</si>
  <si>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</si>
  <si>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</si>
  <si>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</si>
  <si>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</si>
  <si>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</si>
  <si>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</si>
  <si>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</si>
  <si>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</si>
  <si>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</si>
  <si>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</si>
  <si>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</si>
  <si>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</si>
  <si>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</si>
  <si>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</si>
  <si>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</si>
  <si>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</si>
  <si>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</si>
  <si>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</si>
  <si>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</si>
  <si>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</si>
  <si>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</si>
  <si>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</si>
  <si>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</si>
  <si>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</si>
  <si>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</si>
  <si>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</si>
  <si>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</si>
  <si>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</si>
  <si>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</si>
  <si>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</si>
  <si>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</si>
  <si>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</si>
  <si>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</si>
  <si>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</si>
  <si>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</si>
  <si>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</si>
  <si>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</si>
  <si>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</si>
  <si>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</si>
  <si>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</si>
  <si>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</si>
  <si>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</si>
  <si>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</si>
  <si>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</si>
  <si>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</si>
  <si>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</si>
  <si>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</si>
  <si>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</si>
  <si>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</si>
  <si>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</si>
  <si>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</si>
  <si>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</si>
  <si>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</si>
  <si>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</si>
  <si>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</si>
  <si>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</si>
  <si>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</si>
  <si>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</si>
  <si>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</si>
  <si>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</si>
  <si>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</si>
  <si>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</si>
  <si>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</si>
  <si>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</si>
  <si>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</si>
  <si>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</si>
  <si>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</si>
  <si>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</si>
  <si>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</si>
  <si>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</si>
  <si>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</si>
  <si>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</si>
  <si>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</si>
  <si>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</si>
  <si>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</si>
  <si>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</si>
  <si>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</si>
  <si>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</si>
  <si>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</si>
  <si>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</si>
  <si>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</si>
  <si>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</si>
  <si>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</si>
  <si>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</si>
  <si>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</si>
  <si>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</si>
  <si>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</si>
  <si>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</si>
  <si>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</si>
  <si>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</si>
  <si>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</si>
  <si>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</si>
  <si>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</si>
  <si>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</si>
  <si>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</si>
  <si>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</si>
  <si>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</si>
  <si>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</si>
  <si>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</si>
  <si>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</si>
  <si>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</si>
  <si>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</si>
  <si>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</si>
  <si>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</si>
  <si>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</si>
  <si>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</si>
  <si>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</si>
  <si>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</si>
  <si>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</si>
  <si>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</si>
  <si>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</si>
  <si>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</si>
  <si>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</si>
  <si>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</si>
  <si>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</si>
  <si>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</si>
  <si>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</si>
  <si>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</si>
  <si>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</si>
  <si>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</si>
  <si>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</si>
  <si>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</si>
  <si>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</si>
  <si>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</si>
  <si>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</si>
  <si>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</si>
  <si>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</si>
  <si>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</si>
  <si>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</si>
  <si>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</si>
  <si>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</si>
  <si>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</si>
  <si>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</si>
  <si>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</si>
  <si>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</si>
  <si>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</si>
  <si>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</si>
  <si>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</si>
  <si>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</si>
  <si>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</si>
  <si>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</si>
  <si>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</si>
  <si>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</si>
  <si>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</si>
  <si>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</si>
  <si>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</si>
  <si>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</si>
  <si>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</si>
  <si>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</si>
  <si>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</si>
  <si>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</si>
  <si>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</si>
  <si>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</si>
  <si>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</si>
  <si>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</si>
  <si>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</si>
  <si>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</si>
  <si>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</si>
  <si>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</si>
  <si>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</si>
  <si>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</si>
  <si>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</si>
  <si>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</si>
  <si>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</si>
  <si>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</si>
  <si>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</si>
  <si>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</si>
  <si>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</si>
  <si>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</si>
  <si>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</si>
  <si>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</si>
  <si>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</si>
  <si>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</si>
  <si>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</si>
  <si>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</si>
  <si>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</si>
  <si>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</si>
  <si>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</si>
  <si>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</si>
  <si>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</si>
  <si>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</si>
  <si>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</si>
  <si>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</si>
  <si>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</si>
  <si>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</si>
  <si>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</si>
  <si>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</si>
  <si>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</si>
  <si>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</si>
  <si>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</si>
  <si>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</si>
  <si>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</si>
  <si>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</si>
  <si>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</si>
  <si>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</si>
  <si>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</si>
  <si>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</si>
  <si>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</si>
  <si>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</si>
  <si>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</si>
  <si>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</si>
  <si>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</si>
  <si>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</si>
  <si>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</si>
  <si>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</si>
  <si>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</si>
  <si>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</si>
  <si>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</si>
  <si>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</si>
  <si>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</si>
  <si>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</si>
  <si>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</si>
  <si>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</si>
  <si>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</si>
  <si>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</si>
  <si>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</si>
  <si>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</si>
  <si>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</si>
  <si>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</si>
  <si>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</si>
  <si>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</si>
  <si>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</si>
  <si>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</si>
  <si>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</si>
  <si>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</si>
  <si>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</si>
  <si>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</si>
  <si>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</si>
  <si>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</si>
  <si>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</si>
  <si>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</si>
  <si>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</si>
  <si>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</si>
  <si>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</si>
  <si>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</si>
  <si>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</si>
  <si>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</si>
  <si>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</si>
  <si>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</si>
  <si>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</si>
  <si>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</si>
  <si>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</si>
  <si>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</si>
  <si>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</si>
  <si>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</si>
  <si>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</si>
  <si>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</si>
  <si>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</si>
  <si>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</si>
  <si>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</si>
  <si>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</si>
  <si>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</si>
  <si>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</si>
  <si>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</si>
  <si>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</si>
  <si>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</si>
  <si>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</si>
  <si>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</si>
  <si>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</si>
  <si>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</si>
  <si>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</si>
  <si>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</si>
  <si>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</si>
  <si>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</si>
  <si>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</si>
  <si>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</si>
  <si>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</si>
  <si>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</si>
  <si>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</si>
  <si>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</si>
  <si>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</si>
  <si>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</si>
  <si>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</si>
  <si>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</si>
  <si>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</si>
  <si>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</si>
  <si>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</si>
  <si>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</si>
  <si>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</si>
  <si>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</si>
  <si>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</si>
  <si>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</si>
  <si>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</si>
  <si>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</si>
  <si>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</si>
  <si>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</si>
  <si>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</si>
  <si>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</si>
  <si>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</si>
  <si>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</si>
  <si>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</si>
  <si>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</si>
  <si>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</si>
  <si>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</si>
  <si>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</si>
  <si>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</si>
  <si>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</si>
  <si>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</si>
  <si>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</si>
  <si>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</si>
  <si>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</si>
  <si>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</si>
  <si>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</si>
  <si>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</si>
  <si>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</si>
  <si>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</si>
  <si>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</si>
  <si>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</si>
  <si>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</si>
  <si>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</si>
  <si>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</si>
  <si>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</si>
  <si>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</si>
  <si>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</si>
  <si>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</si>
  <si>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</si>
  <si>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1</t>
  </si>
  <si>
    <t>3</t>
  </si>
  <si>
    <t>4</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</si>
  <si>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</si>
  <si>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</si>
  <si>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</si>
  <si>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</si>
  <si>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</si>
  <si>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</si>
  <si>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</si>
  <si>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</si>
  <si>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</si>
  <si>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</si>
  <si>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</si>
  <si>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</si>
  <si>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</si>
  <si>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</si>
  <si>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</si>
  <si>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</si>
  <si>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</si>
  <si>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</si>
  <si>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</si>
  <si>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</si>
  <si>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</si>
  <si>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</si>
  <si>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</si>
  <si>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</si>
  <si>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</si>
  <si>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</si>
  <si>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</si>
  <si>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</si>
  <si>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</si>
  <si>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</si>
  <si>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</si>
  <si>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</si>
  <si>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</si>
  <si>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</si>
  <si>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</si>
  <si>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</si>
  <si>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</si>
  <si>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</si>
  <si>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</si>
  <si>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</si>
  <si>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</si>
  <si>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</si>
  <si>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</si>
  <si>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</si>
  <si>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</si>
  <si>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</si>
  <si>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</si>
  <si>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</si>
  <si>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</si>
  <si>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</si>
  <si>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</si>
  <si>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</si>
  <si>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</si>
  <si>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</si>
  <si>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</si>
  <si>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</si>
  <si>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</si>
  <si>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</si>
  <si>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</si>
  <si>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</si>
  <si>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</si>
  <si>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</si>
  <si>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</si>
  <si>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</si>
  <si>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</si>
  <si>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</si>
  <si>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</si>
  <si>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</si>
  <si>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</si>
  <si>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</si>
  <si>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</si>
  <si>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</si>
  <si>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</si>
  <si>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</si>
  <si>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</si>
  <si>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</si>
  <si>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</si>
  <si>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</si>
  <si>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</si>
  <si>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</si>
  <si>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</si>
  <si>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</si>
  <si>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</si>
  <si>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</si>
  <si>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</si>
  <si>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</si>
  <si>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</si>
  <si>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</si>
  <si>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</si>
  <si>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</si>
  <si>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</si>
  <si>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Joists</t>
  </si>
  <si>
    <t>J1</t>
  </si>
  <si>
    <t>J2</t>
  </si>
  <si>
    <t>J3</t>
  </si>
  <si>
    <t>J4</t>
  </si>
  <si>
    <t>TJ5</t>
  </si>
  <si>
    <t>J6</t>
  </si>
  <si>
    <t>J7</t>
  </si>
  <si>
    <t>J8</t>
  </si>
  <si>
    <t>J9</t>
  </si>
  <si>
    <t>TJ10</t>
  </si>
  <si>
    <t>J11</t>
  </si>
  <si>
    <t>J12</t>
  </si>
  <si>
    <t>J13</t>
  </si>
  <si>
    <t>TJ14</t>
  </si>
  <si>
    <t>J15</t>
  </si>
  <si>
    <t>J16</t>
  </si>
  <si>
    <t>J17</t>
  </si>
  <si>
    <t>TJ18</t>
  </si>
  <si>
    <t>J19</t>
  </si>
  <si>
    <t>TJ20</t>
  </si>
  <si>
    <t>J21</t>
  </si>
  <si>
    <t>TJ22</t>
  </si>
  <si>
    <t>J23</t>
  </si>
  <si>
    <t>TJ24</t>
  </si>
  <si>
    <t>J25</t>
  </si>
  <si>
    <t>J26</t>
  </si>
  <si>
    <t>TJ27</t>
  </si>
  <si>
    <t>J28</t>
  </si>
  <si>
    <t>TJ29</t>
  </si>
  <si>
    <t>TJ30</t>
  </si>
  <si>
    <t>J31</t>
  </si>
  <si>
    <t>TJ32</t>
  </si>
  <si>
    <t>TJ33</t>
  </si>
  <si>
    <t>TJ34</t>
  </si>
  <si>
    <t>TJ35</t>
  </si>
  <si>
    <t>TJ36</t>
  </si>
  <si>
    <t>J37</t>
  </si>
  <si>
    <t>J38</t>
  </si>
  <si>
    <t>J39</t>
  </si>
  <si>
    <t>J40</t>
  </si>
  <si>
    <t>J41</t>
  </si>
  <si>
    <t>J42</t>
  </si>
  <si>
    <t>TJ43</t>
  </si>
  <si>
    <t>TJ44</t>
  </si>
  <si>
    <t>J45</t>
  </si>
  <si>
    <t>J46</t>
  </si>
  <si>
    <t>J47</t>
  </si>
  <si>
    <t>TJ48</t>
  </si>
  <si>
    <t>J49</t>
  </si>
  <si>
    <t>TJ50</t>
  </si>
  <si>
    <t>J51</t>
  </si>
  <si>
    <t>TJ52</t>
  </si>
  <si>
    <t>TJ53</t>
  </si>
  <si>
    <t>TJ54</t>
  </si>
  <si>
    <t>J55</t>
  </si>
  <si>
    <t>J56</t>
  </si>
  <si>
    <t>J57</t>
  </si>
  <si>
    <t>J58</t>
  </si>
  <si>
    <t>J59</t>
  </si>
  <si>
    <t>J60</t>
  </si>
  <si>
    <t>J61</t>
  </si>
  <si>
    <t>J62</t>
  </si>
  <si>
    <t>J63</t>
  </si>
  <si>
    <t>J64</t>
  </si>
  <si>
    <t>J65</t>
  </si>
  <si>
    <t>J66</t>
  </si>
  <si>
    <t>J67</t>
  </si>
  <si>
    <t>TJ68</t>
  </si>
  <si>
    <t>TJ69</t>
  </si>
  <si>
    <t>J70</t>
  </si>
  <si>
    <t>J71</t>
  </si>
  <si>
    <t>J72</t>
  </si>
  <si>
    <t>J73</t>
  </si>
  <si>
    <t>TJ74</t>
  </si>
  <si>
    <t>J75</t>
  </si>
  <si>
    <t>J76</t>
  </si>
  <si>
    <t>J77</t>
  </si>
  <si>
    <t>TJ78</t>
  </si>
  <si>
    <t>TJ79</t>
  </si>
  <si>
    <t>J80</t>
  </si>
  <si>
    <t>J81</t>
  </si>
  <si>
    <t>TJ82</t>
  </si>
  <si>
    <t>TJ83</t>
  </si>
  <si>
    <t>TJ84</t>
  </si>
  <si>
    <t>J85</t>
  </si>
  <si>
    <t>J86</t>
  </si>
  <si>
    <t>J87</t>
  </si>
  <si>
    <t>J88</t>
  </si>
  <si>
    <t>J89</t>
  </si>
  <si>
    <t>J90</t>
  </si>
  <si>
    <t>J91</t>
  </si>
  <si>
    <t>TJ92</t>
  </si>
  <si>
    <t>J93</t>
  </si>
  <si>
    <t>TJ94</t>
  </si>
  <si>
    <t>J95</t>
  </si>
  <si>
    <t>TJ96</t>
  </si>
  <si>
    <t>J97</t>
  </si>
  <si>
    <t>J98</t>
  </si>
  <si>
    <t>TJ99</t>
  </si>
  <si>
    <t>J100</t>
  </si>
  <si>
    <t>TJ101</t>
  </si>
  <si>
    <t>J102</t>
  </si>
  <si>
    <t>TJ103</t>
  </si>
  <si>
    <t>TJ104</t>
  </si>
  <si>
    <t>J105</t>
  </si>
  <si>
    <t>J106</t>
  </si>
  <si>
    <t>J107</t>
  </si>
  <si>
    <t>TJ108</t>
  </si>
  <si>
    <t>J109</t>
  </si>
  <si>
    <t>J110</t>
  </si>
  <si>
    <t>J111</t>
  </si>
  <si>
    <t>TJ112</t>
  </si>
  <si>
    <t>J113</t>
  </si>
  <si>
    <t>J114</t>
  </si>
  <si>
    <t>J115</t>
  </si>
  <si>
    <t>TJ116</t>
  </si>
  <si>
    <t>J117</t>
  </si>
  <si>
    <t>J118</t>
  </si>
  <si>
    <t>J119</t>
  </si>
  <si>
    <t>J120</t>
  </si>
  <si>
    <t>J121</t>
  </si>
  <si>
    <t>TJ122</t>
  </si>
  <si>
    <t>J123</t>
  </si>
  <si>
    <t>J124</t>
  </si>
  <si>
    <t>J125</t>
  </si>
  <si>
    <t>TJ126</t>
  </si>
  <si>
    <t>J127</t>
  </si>
  <si>
    <t>TJ128</t>
  </si>
  <si>
    <t>J129</t>
  </si>
  <si>
    <t>TJ130</t>
  </si>
  <si>
    <t>TJ131</t>
  </si>
  <si>
    <t>J132</t>
  </si>
  <si>
    <t>J133</t>
  </si>
  <si>
    <t>J134</t>
  </si>
  <si>
    <t>TJ135</t>
  </si>
  <si>
    <t>J136</t>
  </si>
  <si>
    <t>J137</t>
  </si>
  <si>
    <t>JOISTS BLDG A+B</t>
  </si>
  <si>
    <t>1,2</t>
  </si>
  <si>
    <t>GIRDERS BLDG A+B</t>
  </si>
  <si>
    <t>3-4 BRACE ANGLE@JOIST</t>
  </si>
  <si>
    <t>5-6 BRACE ANGLE@JOIST</t>
  </si>
  <si>
    <t>5</t>
  </si>
  <si>
    <t>BRACE ANGLE@GIRDER</t>
  </si>
  <si>
    <t>6</t>
  </si>
  <si>
    <t>GIRDERS</t>
  </si>
  <si>
    <t>BLDG A</t>
  </si>
  <si>
    <t>10</t>
  </si>
  <si>
    <t>11</t>
  </si>
  <si>
    <t>BLDG B</t>
  </si>
  <si>
    <t>12</t>
  </si>
  <si>
    <t>13</t>
  </si>
  <si>
    <t>14</t>
  </si>
  <si>
    <t>15</t>
  </si>
  <si>
    <t>16</t>
  </si>
  <si>
    <t>4" MAIN PAR_JOISTS</t>
  </si>
  <si>
    <t>17</t>
  </si>
  <si>
    <t>4" MAIN PER_GIRDER</t>
  </si>
  <si>
    <t>18</t>
  </si>
  <si>
    <t>4" MAIN PER_JOISTS</t>
  </si>
  <si>
    <t>19</t>
  </si>
  <si>
    <t>20</t>
  </si>
  <si>
    <t>21</t>
  </si>
  <si>
    <t>22</t>
  </si>
  <si>
    <t>23</t>
  </si>
  <si>
    <t>24</t>
  </si>
  <si>
    <t>4" MAIN PAR_GIRDER</t>
  </si>
  <si>
    <t>25</t>
  </si>
  <si>
    <t>6"+8" MAIN PAR_JOISTS</t>
  </si>
  <si>
    <t>26</t>
  </si>
  <si>
    <t>6"+8" MAIN PER_GIRDER</t>
  </si>
  <si>
    <t>27</t>
  </si>
  <si>
    <t>6"+8" MAIN PER_JOISTS</t>
  </si>
  <si>
    <t>28</t>
  </si>
  <si>
    <t>29</t>
  </si>
  <si>
    <t>30</t>
  </si>
  <si>
    <t>32</t>
  </si>
  <si>
    <t>33</t>
  </si>
  <si>
    <t>34</t>
  </si>
  <si>
    <t>35</t>
  </si>
  <si>
    <t>36</t>
  </si>
  <si>
    <t>4"+8" MAIN PER_GIRDER</t>
  </si>
  <si>
    <t>37</t>
  </si>
  <si>
    <t>38</t>
  </si>
  <si>
    <t>39</t>
  </si>
  <si>
    <t>40</t>
  </si>
  <si>
    <t>BRACING</t>
  </si>
  <si>
    <t>41</t>
  </si>
  <si>
    <t>JOIST BLDG A</t>
  </si>
  <si>
    <t>JOIST AXIAL TRANSFERS THRU TIE PL @ L.E. AND THRU SEAT @ R.E.</t>
  </si>
  <si>
    <t>JOIST AXIAL TRANSFERS THRU SEAT @ B.E.</t>
  </si>
  <si>
    <t>FULL SKEW ON R.E @ 44 DEG. F.S.</t>
  </si>
  <si>
    <t>D</t>
  </si>
  <si>
    <t>AT R.E.</t>
  </si>
  <si>
    <t>E</t>
  </si>
  <si>
    <t>HALF SKEW ON N.S. OF R.E @ 46 DEG. (BLDG A)</t>
  </si>
  <si>
    <t>H</t>
  </si>
  <si>
    <t>2" BRANCHLINES LOCATED @ 5'-0", 15'-0", 25'-0", 35'-0", 45'-0" FROM L-PTP</t>
  </si>
  <si>
    <t>J</t>
  </si>
  <si>
    <t>2" BRANCHLINES LOCATED @ 5'-0" FROM L-PTP</t>
  </si>
  <si>
    <t>2" BRANCHLINES LOCATED @ 5'-0", 15'-0" FROM L-PTP</t>
  </si>
  <si>
    <t>2" BRANCHLINES LOCATED @ 5'-0", 15'-0", 25'-0" FROM L-PTP</t>
  </si>
  <si>
    <t>2" BRANCHLINES LOCATED @ 5'-0", 15'-0", 25'-0", 35'-0" FROM L-PTP</t>
  </si>
  <si>
    <t>8" MAINS @1ST/LAST PP</t>
  </si>
  <si>
    <t>2" BRANCHLINES LOCATED @ 5'-4 1/2", 15'-4 1/2", 25'-4 1/2", 35'-4 1/2", 45-4 1/2", 55'-4</t>
  </si>
  <si>
    <t>1/2" FROM L-PTP</t>
  </si>
  <si>
    <t>Q</t>
  </si>
  <si>
    <t>GIRDER AXIAL TRANSFER THRU TIE PLATE @ L.E.; REDUCES TO 0.00K THRU SEAT AT R.E.</t>
  </si>
  <si>
    <t>GIRDER AXIAL TRANSFER THRU TIE PLATE @ L.E.; THRU KNIFE PLATE AND HOLD CLR. 2'-0" AT R.E.</t>
  </si>
  <si>
    <t>GIRDER AXIAL TRANSFER THRU KNIFE PLATE AND HOLD CLR. 2'-0" @ L.E.; THRU TIE PLATE AT R.E.</t>
  </si>
  <si>
    <t>T</t>
  </si>
  <si>
    <t>2" BRANCHLINES LOCATED @ 5'-5", 15'-5", 25'-5", 35'-5", 45-5", 55'-5" FROM L-PTP</t>
  </si>
  <si>
    <t>OFFSET SLOT 11" N.S, 5 3/4" F.S @ R.E.</t>
  </si>
  <si>
    <t>V</t>
  </si>
  <si>
    <t>OFFSET SLOT 3/8" N.S, 3 3/4" F.S @ R.E.</t>
  </si>
  <si>
    <t>52G7N12.0/5.5K2.4</t>
  </si>
  <si>
    <t>8, 17, 24</t>
  </si>
  <si>
    <t>D, E, U</t>
  </si>
  <si>
    <t>#1</t>
  </si>
  <si>
    <t>#6</t>
  </si>
  <si>
    <t>F</t>
  </si>
  <si>
    <t>5, 8</t>
  </si>
  <si>
    <t>8, 26</t>
  </si>
  <si>
    <t>8, 17</t>
  </si>
  <si>
    <t>6, 8, 26</t>
  </si>
  <si>
    <t>6, 8</t>
  </si>
  <si>
    <t>9, 26</t>
  </si>
  <si>
    <t>60G7N11.0/5.0K2.4</t>
  </si>
  <si>
    <t>2, 17, 24</t>
  </si>
  <si>
    <t>E, Q, U</t>
  </si>
  <si>
    <t>2, 5</t>
  </si>
  <si>
    <t>2, 26</t>
  </si>
  <si>
    <t>2, 17</t>
  </si>
  <si>
    <t>2, 6, 26</t>
  </si>
  <si>
    <t>2, 6</t>
  </si>
  <si>
    <t>52G7N11.0/5.0K2.4</t>
  </si>
  <si>
    <t>5, 9, 17, 24</t>
  </si>
  <si>
    <t>9, 17</t>
  </si>
  <si>
    <t>6, 9, 26</t>
  </si>
  <si>
    <t>N, S</t>
  </si>
  <si>
    <t>6, 9</t>
  </si>
  <si>
    <t>10, 26</t>
  </si>
  <si>
    <t>52G8N13.0/6.0K2.4</t>
  </si>
  <si>
    <t>12, 17</t>
  </si>
  <si>
    <t>52G7N13.0/6.0K2.4</t>
  </si>
  <si>
    <t>6, 12</t>
  </si>
  <si>
    <t>12, 26</t>
  </si>
  <si>
    <t>6, 14</t>
  </si>
  <si>
    <t>14, 32</t>
  </si>
  <si>
    <t>15, 17</t>
  </si>
  <si>
    <t>15, 26</t>
  </si>
  <si>
    <t>15, 36</t>
  </si>
  <si>
    <t>#7</t>
  </si>
  <si>
    <t>14, 17</t>
  </si>
  <si>
    <t>60G8N13.0/6.0K2.4</t>
  </si>
  <si>
    <t>11, 17</t>
  </si>
  <si>
    <t>60G7N13.0/6.0K2.4</t>
  </si>
  <si>
    <t>6, 11</t>
  </si>
  <si>
    <t>11, 26</t>
  </si>
  <si>
    <t>11, 32</t>
  </si>
  <si>
    <t>11, 36</t>
  </si>
  <si>
    <t>72G8N13.0/6.0K2.4</t>
  </si>
  <si>
    <t>72G7N13.0/6.0K2.4</t>
  </si>
  <si>
    <t>#5</t>
  </si>
  <si>
    <t>11, 33</t>
  </si>
  <si>
    <t>#2</t>
  </si>
  <si>
    <t>11, 34</t>
  </si>
  <si>
    <t>11, 35</t>
  </si>
  <si>
    <t>11, 37</t>
  </si>
  <si>
    <t>12, 33</t>
  </si>
  <si>
    <t>12, 34</t>
  </si>
  <si>
    <t>13, 17</t>
  </si>
  <si>
    <t>13, 35</t>
  </si>
  <si>
    <t>13, 37</t>
  </si>
  <si>
    <t>Verify girder has sufficient minimum required bearing on LEFT ends.  Girders with a</t>
  </si>
  <si>
    <t>self-weight greater than 50 plf. require 6" minimum bearing on steel.</t>
  </si>
  <si>
    <t>Verify girder has sufficient minimum required bearing on RIGHT ends.  Girders with a</t>
  </si>
  <si>
    <t>Does not have the minimum required bearing on the RIGHT end.</t>
  </si>
  <si>
    <t>36LH240/120</t>
  </si>
  <si>
    <t>X</t>
  </si>
  <si>
    <t>A, P</t>
  </si>
  <si>
    <t>1, 16</t>
  </si>
  <si>
    <t>1, 25</t>
  </si>
  <si>
    <t>1, 40</t>
  </si>
  <si>
    <t>1, 16, 40</t>
  </si>
  <si>
    <t>1, 25, 40</t>
  </si>
  <si>
    <t>1, 3</t>
  </si>
  <si>
    <t>1, 25, 27</t>
  </si>
  <si>
    <t>1, 27</t>
  </si>
  <si>
    <t>1, 16, 27</t>
  </si>
  <si>
    <t>1, 28</t>
  </si>
  <si>
    <t>1, 25, 28</t>
  </si>
  <si>
    <t>1, 29</t>
  </si>
  <si>
    <t>1, 3, 29</t>
  </si>
  <si>
    <t>1, 16, 29</t>
  </si>
  <si>
    <t>1, 25, 29</t>
  </si>
  <si>
    <t>12K285/165</t>
  </si>
  <si>
    <t>1, 16, 18</t>
  </si>
  <si>
    <t>A, C, J</t>
  </si>
  <si>
    <t>16K285/165</t>
  </si>
  <si>
    <t>A, C, K</t>
  </si>
  <si>
    <t>24K345/158</t>
  </si>
  <si>
    <t>1, 16, 19</t>
  </si>
  <si>
    <t>A, C, L</t>
  </si>
  <si>
    <t>26K270/150</t>
  </si>
  <si>
    <t>A, C, M</t>
  </si>
  <si>
    <t>30K260/140</t>
  </si>
  <si>
    <t>1, 20</t>
  </si>
  <si>
    <t>A, C, M, V</t>
  </si>
  <si>
    <t>30K250/130</t>
  </si>
  <si>
    <t>1, 16, 22</t>
  </si>
  <si>
    <t>1, 4</t>
  </si>
  <si>
    <t>10K280/160</t>
  </si>
  <si>
    <t>14K280/160</t>
  </si>
  <si>
    <t>1, 16, 20</t>
  </si>
  <si>
    <t>22K280/160</t>
  </si>
  <si>
    <t>1, 16, 21</t>
  </si>
  <si>
    <t>1, 4, 16, 38</t>
  </si>
  <si>
    <t>1, 16, 39</t>
  </si>
  <si>
    <t>1, 16, 23</t>
  </si>
  <si>
    <t>1, 23</t>
  </si>
  <si>
    <t>A, H</t>
  </si>
  <si>
    <t>2.5K285/165</t>
  </si>
  <si>
    <t>A, C</t>
  </si>
  <si>
    <t>1, 25, 30</t>
  </si>
  <si>
    <t>1, 30</t>
  </si>
  <si>
    <t>1, 16, 30</t>
  </si>
  <si>
    <t>1, 27, 40</t>
  </si>
  <si>
    <t>1, 3, 27</t>
  </si>
  <si>
    <t>1, 25, 27, 29</t>
  </si>
  <si>
    <t>A, T</t>
  </si>
  <si>
    <t>ENGR REVIEW: EC</t>
  </si>
  <si>
    <t>IBC 2018</t>
  </si>
  <si>
    <t>DEFLECTION: LL=L/360</t>
  </si>
  <si>
    <t>CAMBER FOR DEAD LOAD</t>
  </si>
  <si>
    <t>MIN. BPL SIZE = 1725</t>
  </si>
  <si>
    <t>SEISMIC SEPARATION IS REQUIRED</t>
  </si>
  <si>
    <t>JOIST AXIAL TRANSFER THRU TIE PLATE B.E., U.N.O.</t>
  </si>
  <si>
    <t>GIRDER AXIAL TRANSFER THRU KNIFE PLATE, HOLD CLR. 2'-0" @ B.E., TYP. U.N.O.</t>
  </si>
  <si>
    <t>ELEVATIONS COMBINED @ WALLS WHERE POSSIBLE</t>
  </si>
  <si>
    <t>[WN] - CBL: 3", CBR: 3", SP: 24"</t>
  </si>
  <si>
    <t>CL OF 2" BRANCHLINES @ 8" BELOW DECK</t>
  </si>
  <si>
    <t>CL OF 4"+ 6" MAIN @ 16" BELOW DECK; 8" MAIN @ 30" BELOW DECK</t>
  </si>
  <si>
    <t>SUNCAP CHEYENNE&amp;COMMERCE BLDG A&amp;B PP</t>
  </si>
  <si>
    <t>LAS VEGAS, NV</t>
  </si>
  <si>
    <t>9122-0050</t>
  </si>
  <si>
    <t>SA</t>
  </si>
  <si>
    <t>NR</t>
  </si>
  <si>
    <t>N (1)</t>
  </si>
  <si>
    <t>L (1)</t>
  </si>
  <si>
    <t>L (2)</t>
  </si>
  <si>
    <t>L (3)</t>
  </si>
  <si>
    <t>L (4)</t>
  </si>
  <si>
    <t>S (1)</t>
  </si>
  <si>
    <t>S (2)</t>
  </si>
  <si>
    <t>S (3)</t>
  </si>
  <si>
    <t>S (4)</t>
  </si>
  <si>
    <t>S (5)</t>
  </si>
  <si>
    <t>S (6)</t>
  </si>
  <si>
    <t>S (7)</t>
  </si>
  <si>
    <t>G (1)</t>
  </si>
  <si>
    <t>G (2)</t>
  </si>
  <si>
    <t>G (3)</t>
  </si>
  <si>
    <t>G (4)</t>
  </si>
  <si>
    <t>P (1)</t>
  </si>
  <si>
    <t>2" BRANCHLINES LOCATED @ 5'-0", 15'-0", 25'-0", 35'-0", 45'-0", 55'-0" FROM L-PTP, TYP. U.N.O.</t>
  </si>
  <si>
    <t>SPECIAL</t>
  </si>
  <si>
    <t>LOAD</t>
  </si>
  <si>
    <t>JB1</t>
  </si>
  <si>
    <t>BRIDGING</t>
  </si>
  <si>
    <t>JB2</t>
  </si>
  <si>
    <t>JB3</t>
  </si>
  <si>
    <t>6- 14K JOISTS ADDED
3 -2.5K JOISTS REPLACED WF BEAMS</t>
  </si>
  <si>
    <t>GIRDER AXIAL TRANSFER THRU KNIFE PLATE, HOLD CLR. 2'-0" @ L.E.; REDUCES TO 11.00K THRU SEAT</t>
  </si>
  <si>
    <t>3A</t>
  </si>
  <si>
    <t>10A</t>
  </si>
  <si>
    <t>SEISMIC SDS = 0.542</t>
  </si>
  <si>
    <t>[D,E,U] (8,17,24, SG1)</t>
  </si>
  <si>
    <t>[R] (8, SG2)</t>
  </si>
  <si>
    <t>[S] (5,8, SG3)</t>
  </si>
  <si>
    <t>(8,26, SG4)</t>
  </si>
  <si>
    <t>(8,17, SG5)</t>
  </si>
  <si>
    <t>(8, SG6)</t>
  </si>
  <si>
    <t>(8, SG7)</t>
  </si>
  <si>
    <t>[N] (6,8,26, SG8)</t>
  </si>
  <si>
    <t>(6,8, SG9)</t>
  </si>
  <si>
    <t>(8,17, SG10)</t>
  </si>
  <si>
    <t>(9, SG11)</t>
  </si>
  <si>
    <t>(9, SG12)</t>
  </si>
  <si>
    <t>(9,26, SG13)</t>
  </si>
  <si>
    <t>[N] (9,26, SG14)</t>
  </si>
  <si>
    <t>[D] (8,17, SG15)</t>
  </si>
  <si>
    <t>[E,Q,U] (2,17,24, SG16)</t>
  </si>
  <si>
    <t>[S] (2,5, SG17)</t>
  </si>
  <si>
    <t>(2,26, SG18)</t>
  </si>
  <si>
    <t>(2,17, SG19)</t>
  </si>
  <si>
    <t>(2, SG20)</t>
  </si>
  <si>
    <t>(2, SG21)</t>
  </si>
  <si>
    <t>[N] (2,6,26, SG22)</t>
  </si>
  <si>
    <t>(2,6, SG23)</t>
  </si>
  <si>
    <t>(2,17, SG24)</t>
  </si>
  <si>
    <t>(2,26, SG25)</t>
  </si>
  <si>
    <t>[N] (2,26, SG26)</t>
  </si>
  <si>
    <t>[D] (2,17, SG27)</t>
  </si>
  <si>
    <t>[D,E,U] (5,9,17,24, SG28)</t>
  </si>
  <si>
    <t>(9,26, SG29)</t>
  </si>
  <si>
    <t>(9,17, SG30)</t>
  </si>
  <si>
    <t>(9, SG31)</t>
  </si>
  <si>
    <t>(9, SG32)</t>
  </si>
  <si>
    <t>[N,S] (6,9,26, SG33)</t>
  </si>
  <si>
    <t>[S] (6,9, SG34)</t>
  </si>
  <si>
    <t>(9,17, SG35)</t>
  </si>
  <si>
    <t>(10, SG36)</t>
  </si>
  <si>
    <t>(10, SG37)</t>
  </si>
  <si>
    <t>(10,26, SG38)</t>
  </si>
  <si>
    <t>[N] (10,26, SG39)</t>
  </si>
  <si>
    <t>[D] (9,17, SG40)</t>
  </si>
  <si>
    <t>[D] (12,17, SG41)</t>
  </si>
  <si>
    <t>[S] (12, SG42)</t>
  </si>
  <si>
    <t>[S] (6,12, SG43)</t>
  </si>
  <si>
    <t>(12,26, SG44)</t>
  </si>
  <si>
    <t>(12,17, SG45)</t>
  </si>
  <si>
    <t>(12, SG46)</t>
  </si>
  <si>
    <t>[S] (12, SG47)</t>
  </si>
  <si>
    <t>[S] (6,14, SG48)</t>
  </si>
  <si>
    <t>[N] (14,32, SG49)</t>
  </si>
  <si>
    <t>(14, SG50)</t>
  </si>
  <si>
    <t>(15,17, SG51)</t>
  </si>
  <si>
    <t>(15,26, SG52)</t>
  </si>
  <si>
    <t>(15, SG53)</t>
  </si>
  <si>
    <t>[N] (15,36, SG54)</t>
  </si>
  <si>
    <t>(14, SG55)</t>
  </si>
  <si>
    <t>[D] (14,17, SG56)</t>
  </si>
  <si>
    <t>[D] (11,17, SG57)</t>
  </si>
  <si>
    <t>[S] (11, SG58)</t>
  </si>
  <si>
    <t>[S] (6,11, SG59)</t>
  </si>
  <si>
    <t>(11,26, SG60)</t>
  </si>
  <si>
    <t>(11,17, SG61)</t>
  </si>
  <si>
    <t>(11, SG62)</t>
  </si>
  <si>
    <t>(11, SG63)</t>
  </si>
  <si>
    <t>(6,11, SG64)</t>
  </si>
  <si>
    <t>[N] (11,32, SG65)</t>
  </si>
  <si>
    <t>[N] (11,36, SG66)</t>
  </si>
  <si>
    <t>(11, SG67)</t>
  </si>
  <si>
    <t>[D] (11,17, SG68)</t>
  </si>
  <si>
    <t>[S] (11, SG69)</t>
  </si>
  <si>
    <t>[S] (6,11, SG70)</t>
  </si>
  <si>
    <t>(11,26, SG71)</t>
  </si>
  <si>
    <t>[N] (11,33, SG72)</t>
  </si>
  <si>
    <t>(11, SG73)</t>
  </si>
  <si>
    <t>(11, SG74)</t>
  </si>
  <si>
    <t>(6,11, SG75)</t>
  </si>
  <si>
    <t>[N] (11,34, SG76)</t>
  </si>
  <si>
    <t>(11,17, SG77)</t>
  </si>
  <si>
    <t>(11,35, SG78)</t>
  </si>
  <si>
    <t>[N] (11,37, SG79)</t>
  </si>
  <si>
    <t>(11, SG80)</t>
  </si>
  <si>
    <t>[N] (12,33, SG82)</t>
  </si>
  <si>
    <t>[S] (6,12, SG83)</t>
  </si>
  <si>
    <t>[N] (12,34, SG84)</t>
  </si>
  <si>
    <t>(13,17, SG85)</t>
  </si>
  <si>
    <t>(13,35, SG86)</t>
  </si>
  <si>
    <t>(13, SG87)</t>
  </si>
  <si>
    <t>[N] (13,37, SG88)</t>
  </si>
  <si>
    <t>(12, SG89)</t>
  </si>
  <si>
    <t>SG1</t>
  </si>
  <si>
    <t>SG2</t>
  </si>
  <si>
    <t>SG3</t>
  </si>
  <si>
    <t>SG4</t>
  </si>
  <si>
    <t>SG5</t>
  </si>
  <si>
    <t>SG6</t>
  </si>
  <si>
    <t>SG7</t>
  </si>
  <si>
    <t>SG8</t>
  </si>
  <si>
    <t>SG9</t>
  </si>
  <si>
    <t>SG10</t>
  </si>
  <si>
    <t>SG11</t>
  </si>
  <si>
    <t>SG12</t>
  </si>
  <si>
    <t>SG13</t>
  </si>
  <si>
    <t>SG14</t>
  </si>
  <si>
    <t>SG15</t>
  </si>
  <si>
    <t>SG16</t>
  </si>
  <si>
    <t>SG17</t>
  </si>
  <si>
    <t>SG18</t>
  </si>
  <si>
    <t>SG19</t>
  </si>
  <si>
    <t>SG20</t>
  </si>
  <si>
    <t>SG21</t>
  </si>
  <si>
    <t>SG22</t>
  </si>
  <si>
    <t>SG23</t>
  </si>
  <si>
    <t>SG24</t>
  </si>
  <si>
    <t>SG25</t>
  </si>
  <si>
    <t>SG26</t>
  </si>
  <si>
    <t>SG27</t>
  </si>
  <si>
    <t>SG28</t>
  </si>
  <si>
    <t>SG29</t>
  </si>
  <si>
    <t>SG30</t>
  </si>
  <si>
    <t>SG31</t>
  </si>
  <si>
    <t>SG32</t>
  </si>
  <si>
    <t>SG33</t>
  </si>
  <si>
    <t>SG34</t>
  </si>
  <si>
    <t>SG35</t>
  </si>
  <si>
    <t>SG36</t>
  </si>
  <si>
    <t>SG37</t>
  </si>
  <si>
    <t>SG38</t>
  </si>
  <si>
    <t>SG39</t>
  </si>
  <si>
    <t>SG40</t>
  </si>
  <si>
    <t>SG41</t>
  </si>
  <si>
    <t>SG42</t>
  </si>
  <si>
    <t>SG43</t>
  </si>
  <si>
    <t>SG44</t>
  </si>
  <si>
    <t>SG45</t>
  </si>
  <si>
    <t>SG46</t>
  </si>
  <si>
    <t>SG47</t>
  </si>
  <si>
    <t>SG48</t>
  </si>
  <si>
    <t>SG49</t>
  </si>
  <si>
    <t>SG50</t>
  </si>
  <si>
    <t>SG51</t>
  </si>
  <si>
    <t>SG52</t>
  </si>
  <si>
    <t>SG53</t>
  </si>
  <si>
    <t>SG54</t>
  </si>
  <si>
    <t>SG55</t>
  </si>
  <si>
    <t>SG56</t>
  </si>
  <si>
    <t>SG57</t>
  </si>
  <si>
    <t>SG58</t>
  </si>
  <si>
    <t>SG59</t>
  </si>
  <si>
    <t>SG60</t>
  </si>
  <si>
    <t>SG61</t>
  </si>
  <si>
    <t>SG62</t>
  </si>
  <si>
    <t>SG63</t>
  </si>
  <si>
    <t>SG64</t>
  </si>
  <si>
    <t>SG65</t>
  </si>
  <si>
    <t>SG66</t>
  </si>
  <si>
    <t>SG67</t>
  </si>
  <si>
    <t>SG68</t>
  </si>
  <si>
    <t>SG69</t>
  </si>
  <si>
    <t>SG70</t>
  </si>
  <si>
    <t>SG71</t>
  </si>
  <si>
    <t>SG72</t>
  </si>
  <si>
    <t>SG73</t>
  </si>
  <si>
    <t>SG74</t>
  </si>
  <si>
    <t>SG75</t>
  </si>
  <si>
    <t>SG76</t>
  </si>
  <si>
    <t>SG77</t>
  </si>
  <si>
    <t>SG78</t>
  </si>
  <si>
    <t>SG79</t>
  </si>
  <si>
    <t>SG80</t>
  </si>
  <si>
    <t>SG82</t>
  </si>
  <si>
    <t>SG83</t>
  </si>
  <si>
    <t>SG84</t>
  </si>
  <si>
    <t>SG85</t>
  </si>
  <si>
    <t>SG86</t>
  </si>
  <si>
    <t>SG87</t>
  </si>
  <si>
    <t>SG88</t>
  </si>
  <si>
    <t>SG89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</si>
</sst>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77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49" fontId="15" fillId="0" borderId="0" xfId="0" applyNumberFormat="1" applyFont="1"/>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0" fontId="118" fillId="0" borderId="328" xfId="0" applyFont="1" applyBorder="1" applyAlignment="1">
      <alignment horizontal="center" vertical="center"/>
    </xf>
    <xf numFmtId="194" fontId="118" fillId="0" borderId="123" xfId="0" applyNumberFormat="1" applyFont="1" applyBorder="1" applyAlignment="1">
      <alignment horizontal="center" vertical="center"/>
    </xf>
    <xf numFmtId="0" fontId="118" fillId="0" borderId="123" xfId="0" applyFont="1" applyBorder="1" applyAlignment="1">
      <alignment horizontal="center" vertical="center"/>
    </xf>
    <xf numFmtId="188" fontId="124" fillId="0" borderId="326" xfId="0" applyNumberFormat="1" applyFont="1" applyBorder="1" applyAlignment="1">
      <alignment horizontal="right" vertical="center"/>
    </xf>
    <xf numFmtId="170" fontId="124" fillId="0" borderId="332" xfId="0" applyNumberFormat="1" applyFont="1" applyBorder="1" applyAlignment="1">
      <alignment horizontal="left" vertical="center"/>
    </xf>
    <xf numFmtId="170" fontId="124" fillId="0" borderId="334" xfId="0" applyNumberFormat="1" applyFont="1" applyBorder="1" applyAlignment="1">
      <alignment horizontal="center" vertical="center"/>
    </xf>
    <xf numFmtId="188" fontId="124" fillId="0" borderId="332" xfId="0" applyNumberFormat="1" applyFont="1" applyBorder="1" applyAlignment="1">
      <alignment horizontal="right" vertical="center"/>
    </xf>
    <xf numFmtId="170" fontId="124" fillId="0" borderId="327" xfId="0" applyNumberFormat="1" applyFont="1" applyBorder="1" applyAlignment="1">
      <alignment horizontal="left" vertical="center"/>
    </xf>
    <xf numFmtId="0" fontId="124" fillId="0" borderId="123" xfId="0" applyFont="1" applyBorder="1" applyAlignment="1">
      <alignment horizontal="center" vertical="center"/>
    </xf>
    <xf numFmtId="0" fontId="124" fillId="0" borderId="326" xfId="0" applyFont="1" applyBorder="1" applyAlignment="1">
      <alignment horizontal="center" vertical="center"/>
    </xf>
    <xf numFmtId="170" fontId="124" fillId="0" borderId="328" xfId="0" applyNumberFormat="1" applyFont="1" applyBorder="1" applyAlignment="1">
      <alignment horizontal="center" vertical="center"/>
    </xf>
    <xf numFmtId="170" fontId="124" fillId="0" borderId="329" xfId="0" applyNumberFormat="1" applyFont="1" applyBorder="1" applyAlignment="1">
      <alignment horizontal="center" vertical="center"/>
    </xf>
    <xf numFmtId="188" fontId="124" fillId="0" borderId="335" xfId="0" applyNumberFormat="1" applyFont="1" applyBorder="1" applyAlignment="1">
      <alignment horizontal="right" vertical="center"/>
    </xf>
    <xf numFmtId="167" fontId="124" fillId="0" borderId="327" xfId="0" applyNumberFormat="1" applyFont="1" applyBorder="1" applyAlignment="1">
      <alignment horizontal="center" vertical="center"/>
    </xf>
    <xf numFmtId="167" fontId="124" fillId="0" borderId="326" xfId="0" applyNumberFormat="1" applyFont="1" applyBorder="1" applyAlignment="1">
      <alignment horizontal="center" vertical="center"/>
    </xf>
    <xf numFmtId="49" fontId="124" fillId="0" borderId="123" xfId="0" applyNumberFormat="1" applyFont="1" applyBorder="1" applyAlignment="1">
      <alignment horizontal="left" vertical="center"/>
    </xf>
    <xf numFmtId="1" fontId="124" fillId="0" borderId="329" xfId="0" applyNumberFormat="1" applyFont="1" applyBorder="1" applyAlignment="1">
      <alignment horizontal="center" vertical="center"/>
    </xf>
    <xf numFmtId="194" fontId="118" fillId="0" borderId="103" xfId="0" applyNumberFormat="1" applyFont="1" applyBorder="1" applyAlignment="1">
      <alignment horizontal="center" vertical="center"/>
    </xf>
    <xf numFmtId="49" fontId="124" fillId="0" borderId="103" xfId="0" applyNumberFormat="1" applyFont="1" applyBorder="1" applyAlignment="1">
      <alignment horizontal="left" vertical="center"/>
    </xf>
    <xf numFmtId="0" fontId="118" fillId="0" borderId="125" xfId="0" applyFont="1" applyBorder="1" applyAlignment="1">
      <alignment horizontal="center" vertical="center"/>
    </xf>
    <xf numFmtId="194" fontId="118" fillId="0" borderId="120" xfId="0" applyNumberFormat="1" applyFont="1" applyBorder="1" applyAlignment="1">
      <alignment horizontal="center" vertical="center"/>
    </xf>
    <xf numFmtId="0" fontId="118" fillId="0" borderId="120" xfId="0" applyFont="1" applyBorder="1" applyAlignment="1">
      <alignment horizontal="center" vertical="center"/>
    </xf>
    <xf numFmtId="188" fontId="124" fillId="0" borderId="330" xfId="0" applyNumberFormat="1" applyFont="1" applyBorder="1" applyAlignment="1">
      <alignment horizontal="right" vertical="center"/>
    </xf>
    <xf numFmtId="170" fontId="124" fillId="0" borderId="333" xfId="0" applyNumberFormat="1" applyFont="1" applyBorder="1" applyAlignment="1">
      <alignment horizontal="left" vertical="center"/>
    </xf>
    <xf numFmtId="170" fontId="124" fillId="0" borderId="312" xfId="0" applyNumberFormat="1" applyFont="1" applyBorder="1" applyAlignment="1">
      <alignment horizontal="center" vertical="center"/>
    </xf>
    <xf numFmtId="188" fontId="124" fillId="0" borderId="333" xfId="0" applyNumberFormat="1" applyFont="1" applyBorder="1" applyAlignment="1">
      <alignment horizontal="right" vertical="center"/>
    </xf>
    <xf numFmtId="170" fontId="124" fillId="0" borderId="324" xfId="0" applyNumberFormat="1" applyFont="1" applyBorder="1" applyAlignment="1">
      <alignment horizontal="left" vertical="center"/>
    </xf>
    <xf numFmtId="0" fontId="124" fillId="0" borderId="120" xfId="0" applyFont="1" applyBorder="1" applyAlignment="1">
      <alignment horizontal="center" vertical="center"/>
    </xf>
    <xf numFmtId="0" fontId="124" fillId="0" borderId="330" xfId="0" applyFont="1" applyBorder="1" applyAlignment="1">
      <alignment horizontal="center" vertical="center"/>
    </xf>
    <xf numFmtId="170" fontId="124" fillId="0" borderId="125" xfId="0" applyNumberFormat="1" applyFont="1" applyBorder="1" applyAlignment="1">
      <alignment horizontal="center" vertical="center"/>
    </xf>
    <xf numFmtId="170" fontId="124" fillId="0" borderId="121" xfId="0" applyNumberFormat="1" applyFont="1" applyBorder="1" applyAlignment="1">
      <alignment horizontal="center" vertical="center"/>
    </xf>
    <xf numFmtId="188" fontId="124" fillId="0" borderId="309" xfId="0" applyNumberFormat="1" applyFont="1" applyBorder="1" applyAlignment="1">
      <alignment horizontal="right" vertical="center"/>
    </xf>
    <xf numFmtId="167" fontId="124" fillId="0" borderId="324" xfId="0" applyNumberFormat="1" applyFont="1" applyBorder="1" applyAlignment="1">
      <alignment horizontal="center" vertical="center"/>
    </xf>
    <xf numFmtId="167" fontId="124" fillId="0" borderId="330" xfId="0" applyNumberFormat="1" applyFont="1" applyBorder="1" applyAlignment="1">
      <alignment horizontal="center" vertical="center"/>
    </xf>
    <xf numFmtId="49" fontId="124" fillId="0" borderId="120" xfId="0" applyNumberFormat="1" applyFont="1" applyBorder="1" applyAlignment="1">
      <alignment horizontal="left" vertical="center"/>
    </xf>
    <xf numFmtId="1" fontId="124" fillId="0" borderId="121" xfId="0" applyNumberFormat="1" applyFont="1" applyBorder="1" applyAlignment="1">
      <alignment horizontal="center" vertical="center"/>
    </xf>
    <xf numFmtId="0" fontId="118" fillId="0" borderId="289" xfId="0" applyFont="1" applyBorder="1" applyAlignment="1">
      <alignment horizontal="center" vertical="center"/>
    </xf>
    <xf numFmtId="0" fontId="124" fillId="0" borderId="219" xfId="0" applyFont="1" applyBorder="1" applyAlignment="1">
      <alignment horizontal="center" vertical="center"/>
    </xf>
    <xf numFmtId="188" fontId="124" fillId="0" borderId="220" xfId="0" applyNumberFormat="1" applyFont="1" applyBorder="1" applyAlignment="1">
      <alignment horizontal="right" vertical="center"/>
    </xf>
    <xf numFmtId="170" fontId="124" fillId="0" borderId="222" xfId="0" applyNumberFormat="1" applyFont="1" applyBorder="1" applyAlignment="1">
      <alignment horizontal="left" vertical="center"/>
    </xf>
    <xf numFmtId="166" fontId="124" fillId="0" borderId="220" xfId="0" applyNumberFormat="1" applyFont="1" applyBorder="1" applyAlignment="1">
      <alignment horizontal="center" vertical="center"/>
    </xf>
    <xf numFmtId="0" fontId="124" fillId="0" borderId="343" xfId="0" applyFont="1" applyBorder="1" applyAlignment="1">
      <alignment horizontal="center" vertical="center"/>
    </xf>
    <xf numFmtId="170" fontId="124" fillId="0" borderId="219" xfId="0" applyNumberFormat="1" applyFont="1" applyBorder="1" applyAlignment="1">
      <alignment horizontal="center" vertical="center"/>
    </xf>
    <xf numFmtId="170" fontId="124" fillId="0" borderId="220" xfId="0" applyNumberFormat="1" applyFont="1" applyBorder="1" applyAlignment="1">
      <alignment horizontal="center" vertical="center"/>
    </xf>
    <xf numFmtId="170" fontId="124" fillId="0" borderId="289" xfId="0" applyNumberFormat="1" applyFont="1" applyBorder="1" applyAlignment="1">
      <alignment horizontal="center" vertical="center"/>
    </xf>
    <xf numFmtId="170" fontId="124" fillId="0" borderId="344" xfId="0" applyNumberFormat="1" applyFont="1" applyBorder="1" applyAlignment="1">
      <alignment horizontal="center" vertical="center"/>
    </xf>
    <xf numFmtId="188" fontId="124" fillId="0" borderId="221" xfId="0" applyNumberFormat="1" applyFont="1" applyBorder="1" applyAlignment="1">
      <alignment horizontal="right" vertical="center"/>
    </xf>
    <xf numFmtId="166" fontId="124" fillId="0" borderId="219" xfId="0" applyNumberFormat="1" applyFont="1" applyBorder="1" applyAlignment="1">
      <alignment horizontal="center" vertical="center"/>
    </xf>
    <xf numFmtId="0" fontId="124" fillId="0" borderId="329" xfId="0" applyFont="1" applyBorder="1" applyAlignment="1">
      <alignment horizontal="center" vertical="center"/>
    </xf>
    <xf numFmtId="0" fontId="124" fillId="0" borderId="288" xfId="0" applyFont="1" applyBorder="1" applyAlignment="1">
      <alignment horizontal="center" vertical="center"/>
    </xf>
    <xf numFmtId="166" fontId="124" fillId="0" borderId="104" xfId="0" applyNumberFormat="1" applyFont="1" applyBorder="1" applyAlignment="1">
      <alignment horizontal="center" vertical="center"/>
    </xf>
    <xf numFmtId="0" fontId="124" fillId="0" borderId="339" xfId="0" applyFont="1" applyBorder="1" applyAlignment="1">
      <alignment horizontal="center" vertical="center"/>
    </xf>
    <xf numFmtId="170" fontId="124" fillId="0" borderId="103" xfId="0" applyNumberFormat="1" applyFont="1" applyBorder="1" applyAlignment="1">
      <alignment horizontal="center" vertical="center"/>
    </xf>
    <xf numFmtId="170" fontId="124" fillId="0" borderId="104" xfId="0" applyNumberFormat="1" applyFont="1" applyBorder="1" applyAlignment="1">
      <alignment horizontal="center" vertical="center"/>
    </xf>
    <xf numFmtId="170" fontId="124" fillId="0" borderId="340" xfId="0" applyNumberFormat="1" applyFont="1" applyBorder="1" applyAlignment="1">
      <alignment horizontal="center" vertical="center"/>
    </xf>
    <xf numFmtId="166" fontId="124" fillId="0" borderId="103" xfId="0" applyNumberFormat="1" applyFont="1" applyBorder="1" applyAlignment="1">
      <alignment horizontal="center" vertical="center"/>
    </xf>
    <xf numFmtId="0" fontId="124" fillId="0" borderId="106" xfId="0" applyFont="1" applyBorder="1" applyAlignment="1">
      <alignment horizontal="center" vertical="center"/>
    </xf>
    <xf numFmtId="166" fontId="124" fillId="0" borderId="330" xfId="0" applyNumberFormat="1" applyFont="1" applyBorder="1" applyAlignment="1">
      <alignment horizontal="center" vertical="center"/>
    </xf>
    <xf numFmtId="0" fontId="124" fillId="0" borderId="341" xfId="0" applyFont="1" applyBorder="1" applyAlignment="1">
      <alignment horizontal="center" vertical="center"/>
    </xf>
    <xf numFmtId="170" fontId="124" fillId="0" borderId="120" xfId="0" applyNumberFormat="1" applyFont="1" applyBorder="1" applyAlignment="1">
      <alignment horizontal="center" vertical="center"/>
    </xf>
    <xf numFmtId="170" fontId="124" fillId="0" borderId="330" xfId="0" applyNumberFormat="1" applyFont="1" applyBorder="1" applyAlignment="1">
      <alignment horizontal="center" vertical="center"/>
    </xf>
    <xf numFmtId="170" fontId="124" fillId="0" borderId="342" xfId="0" applyNumberFormat="1" applyFont="1" applyBorder="1" applyAlignment="1">
      <alignment horizontal="center" vertical="center"/>
    </xf>
    <xf numFmtId="166" fontId="124" fillId="0" borderId="120" xfId="0" applyNumberFormat="1" applyFont="1" applyBorder="1" applyAlignment="1">
      <alignment horizontal="center" vertical="center"/>
    </xf>
    <xf numFmtId="0" fontId="124" fillId="0" borderId="121" xfId="0" applyFont="1" applyBorder="1" applyAlignment="1">
      <alignment horizontal="center" vertical="center"/>
    </xf>
    <xf numFmtId="194" fontId="118" fillId="0" borderId="219" xfId="0" applyNumberFormat="1" applyFont="1" applyBorder="1" applyAlignment="1">
      <alignment horizontal="center" vertical="center"/>
    </xf>
    <xf numFmtId="0" fontId="118" fillId="0" borderId="219" xfId="0" applyFont="1" applyBorder="1" applyAlignment="1">
      <alignment horizontal="center" vertical="center"/>
    </xf>
    <xf numFmtId="170" fontId="124" fillId="0" borderId="221" xfId="0" applyNumberFormat="1" applyFont="1" applyBorder="1" applyAlignment="1">
      <alignment horizontal="left" vertical="center"/>
    </xf>
    <xf numFmtId="170" fontId="124" fillId="0" borderId="325" xfId="0" applyNumberFormat="1" applyFont="1" applyBorder="1" applyAlignment="1">
      <alignment horizontal="center" vertical="center"/>
    </xf>
    <xf numFmtId="0" fontId="124" fillId="0" borderId="220" xfId="0" applyFont="1" applyBorder="1" applyAlignment="1">
      <alignment horizontal="center" vertical="center"/>
    </xf>
    <xf numFmtId="170" fontId="124" fillId="0" borderId="288" xfId="0" applyNumberFormat="1" applyFont="1" applyBorder="1" applyAlignment="1">
      <alignment horizontal="center" vertical="center"/>
    </xf>
    <xf numFmtId="188" fontId="124" fillId="0" borderId="345" xfId="0" applyNumberFormat="1" applyFont="1" applyBorder="1" applyAlignment="1">
      <alignment horizontal="right" vertical="center"/>
    </xf>
    <xf numFmtId="167" fontId="124" fillId="0" borderId="222" xfId="0" applyNumberFormat="1" applyFont="1" applyBorder="1" applyAlignment="1">
      <alignment horizontal="center" vertical="center"/>
    </xf>
    <xf numFmtId="167" fontId="124" fillId="0" borderId="220" xfId="0" applyNumberFormat="1" applyFont="1" applyBorder="1" applyAlignment="1">
      <alignment horizontal="center" vertical="center"/>
    </xf>
    <xf numFmtId="1" fontId="124" fillId="0" borderId="346" xfId="0" applyNumberFormat="1" applyFont="1" applyBorder="1" applyAlignment="1">
      <alignment horizontal="center" vertical="center"/>
    </xf>
    <xf numFmtId="1" fontId="124" fillId="0" borderId="308" xfId="0" applyNumberFormat="1" applyFont="1" applyBorder="1" applyAlignment="1">
      <alignment horizontal="center" vertical="center"/>
    </xf>
    <xf numFmtId="170" fontId="124" fillId="0" borderId="158" xfId="0" applyNumberFormat="1" applyFont="1" applyBorder="1" applyAlignment="1">
      <alignment horizontal="left" vertical="center"/>
    </xf>
    <xf numFmtId="12" fontId="124" fillId="0" borderId="103" xfId="0" applyNumberFormat="1" applyFont="1" applyBorder="1" applyAlignment="1">
      <alignment horizontal="center" vertical="center"/>
    </xf>
    <xf numFmtId="12" fontId="124" fillId="0" borderId="104" xfId="0" applyNumberFormat="1" applyFont="1" applyBorder="1" applyAlignment="1">
      <alignment horizontal="center" vertical="center"/>
    </xf>
    <xf numFmtId="167" fontId="124" fillId="0" borderId="124" xfId="0" applyNumberFormat="1" applyFont="1" applyBorder="1" applyAlignment="1">
      <alignment horizontal="center" vertical="center"/>
    </xf>
    <xf numFmtId="167" fontId="124" fillId="0" borderId="106" xfId="0" applyNumberFormat="1" applyFont="1" applyBorder="1" applyAlignment="1">
      <alignment horizontal="center" vertical="center"/>
    </xf>
    <xf numFmtId="49" fontId="124" fillId="0" borderId="159" xfId="0" applyNumberFormat="1" applyFont="1" applyBorder="1" applyAlignment="1">
      <alignment horizontal="left" vertical="center"/>
    </xf>
    <xf numFmtId="170" fontId="124" fillId="0" borderId="308" xfId="0" applyNumberFormat="1" applyFont="1" applyBorder="1" applyAlignment="1">
      <alignment horizontal="left" vertical="center"/>
    </xf>
    <xf numFmtId="12" fontId="124" fillId="0" borderId="120" xfId="0" applyNumberFormat="1" applyFont="1" applyBorder="1" applyAlignment="1">
      <alignment horizontal="center" vertical="center"/>
    </xf>
    <xf numFmtId="12" fontId="124" fillId="0" borderId="330" xfId="0" applyNumberFormat="1" applyFont="1" applyBorder="1" applyAlignment="1">
      <alignment horizontal="center" vertical="center"/>
    </xf>
    <xf numFmtId="167" fontId="124" fillId="0" borderId="125" xfId="0" applyNumberFormat="1" applyFont="1" applyBorder="1" applyAlignment="1">
      <alignment horizontal="center" vertical="center"/>
    </xf>
    <xf numFmtId="167" fontId="124" fillId="0" borderId="121" xfId="0" applyNumberFormat="1" applyFont="1" applyBorder="1" applyAlignment="1">
      <alignment horizontal="center" vertical="center"/>
    </xf>
    <xf numFmtId="49" fontId="124" fillId="0" borderId="312" xfId="0" applyNumberFormat="1" applyFont="1" applyBorder="1" applyAlignment="1">
      <alignment horizontal="left" vertical="center"/>
    </xf>
    <xf numFmtId="3" fontId="118" fillId="0" borderId="0" xfId="0" applyNumberFormat="1" applyFont="1" applyAlignment="1">
      <alignment horizontal="left" indent="2"/>
    </xf>
    <xf numFmtId="12" fontId="124" fillId="0" borderId="106" xfId="0" applyNumberFormat="1" applyFont="1" applyBorder="1" applyAlignment="1">
      <alignment horizontal="center" vertical="center"/>
    </xf>
    <xf numFmtId="12" fontId="124" fillId="0" borderId="121" xfId="0" applyNumberFormat="1" applyFont="1" applyBorder="1" applyAlignment="1">
      <alignment horizontal="center" vertic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3" fontId="118" fillId="26" borderId="0" xfId="0" applyNumberFormat="1" applyFont="1" applyFill="1" applyAlignment="1">
      <alignment horizontal="left"/>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312" xfId="0" applyNumberFormat="1" applyFont="1" applyBorder="1" applyAlignment="1" applyProtection="1">
      <alignment horizontal="left"/>
      <protection locked="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9" xfId="0" applyFont="1" applyBorder="1" applyAlignment="1">
      <alignment horizontal="center"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15" fillId="0" borderId="68" xfId="0" applyFont="1" applyBorder="1" applyAlignment="1">
      <alignment horizontal="center"/>
    </xf>
    <xf numFmtId="0" fontId="0" fillId="0" borderId="31" xfId="0" applyBorder="1" applyAlignment="1">
      <alignment horizont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15" fillId="0" borderId="326" xfId="0" applyFont="1" applyBorder="1" applyAlignment="1">
      <alignment horizontal="center" vertical="center"/>
    </xf>
    <xf numFmtId="0" fontId="48" fillId="2" borderId="31" xfId="0" applyFont="1" applyFill="1" applyBorder="1" applyAlignment="1">
      <alignment horizontal="center"/>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72" fillId="0" borderId="82" xfId="0" applyFont="1" applyBorder="1" applyAlignment="1">
      <alignment horizontal="center" vertical="center"/>
    </xf>
    <xf numFmtId="0" fontId="72" fillId="0" borderId="331"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327" xfId="0" applyFont="1" applyBorder="1" applyAlignment="1">
      <alignment horizontal="center" vertical="center"/>
    </xf>
    <xf numFmtId="0" fontId="72" fillId="0" borderId="326" xfId="0" applyFont="1" applyBorder="1" applyAlignment="1">
      <alignment horizontal="center" vertical="center"/>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5" xfId="0" applyFont="1" applyBorder="1" applyAlignment="1">
      <alignment horizontal="center" vertical="center"/>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7" fillId="0" borderId="253"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331" xfId="0" applyFont="1" applyBorder="1" applyAlignment="1">
      <alignment horizontal="center" vertical="center" wrapText="1"/>
    </xf>
    <xf numFmtId="0" fontId="72" fillId="0" borderId="12" xfId="0" applyFont="1" applyBorder="1" applyAlignment="1">
      <alignment horizontal="center" vertical="center" wrapText="1"/>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80" xfId="0" applyFont="1" applyBorder="1" applyAlignment="1">
      <alignment horizontal="center" vertical="center"/>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15" fillId="8" borderId="280" xfId="0" applyFont="1" applyFill="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0" fillId="0" borderId="0" xfId="0"/>
    <xf numFmtId="0" fontId="4"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84" fillId="2" borderId="281"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 fillId="22" borderId="371" xfId="0" applyFont="1" applyFill="1" applyBorder="1" applyAlignment="1" applyProtection="1">
      <alignment horizont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15" fillId="8" borderId="233" xfId="0" applyFont="1" applyFill="1" applyBorder="1" applyAlignment="1" applyProtection="1">
      <alignment horizontal="center" vertical="center" wrapText="1"/>
      <protection hidden="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3" fontId="122" fillId="0" borderId="16" xfId="0" applyNumberFormat="1" applyFont="1" applyBorder="1" applyAlignment="1">
      <alignment horizontal="center"/>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3" fillId="0" borderId="206" xfId="0" applyFont="1" applyBorder="1" applyAlignment="1">
      <alignment horizontal="center"/>
    </xf>
    <xf numFmtId="0" fontId="72" fillId="0" borderId="332" xfId="0" applyFont="1" applyBorder="1" applyAlignment="1">
      <alignment horizontal="center" vertical="center"/>
    </xf>
    <xf numFmtId="0" fontId="72" fillId="0" borderId="330" xfId="0" applyFont="1" applyBorder="1" applyAlignment="1">
      <alignment horizontal="center" vertical="center"/>
    </xf>
    <xf numFmtId="0" fontId="142" fillId="0" borderId="249" xfId="0" applyFont="1" applyBorder="1" applyAlignment="1">
      <alignment horizontal="center" vertical="center"/>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0" fontId="15" fillId="0" borderId="0" xfId="0" applyFont="1" applyAlignment="1">
      <alignment horizontal="left"/>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48" fillId="0" borderId="16" xfId="0" applyFont="1" applyBorder="1"/>
    <xf numFmtId="0" fontId="73" fillId="0" borderId="0" xfId="0" applyFont="1" applyAlignment="1">
      <alignment horizontal="right"/>
    </xf>
    <xf numFmtId="49" fontId="15" fillId="0" borderId="0" xfId="0" applyNumberFormat="1" applyFont="1" applyAlignment="1">
      <alignment horizontal="left" indent="3"/>
    </xf>
    <xf numFmtId="0" fontId="15" fillId="0" borderId="0" xfId="0" applyFont="1" applyAlignment="1">
      <alignment horizontal="left" indent="3"/>
    </xf>
    <xf numFmtId="0" fontId="123" fillId="0" borderId="0" xfId="0" applyFont="1" applyAlignment="1">
      <alignment horizontal="left"/>
    </xf>
    <xf numFmtId="0" fontId="71" fillId="0" borderId="0" xfId="0" applyFont="1" applyAlignment="1">
      <alignment horizontal="left"/>
    </xf>
    <xf numFmtId="0" fontId="72" fillId="0" borderId="312" xfId="0" applyFont="1" applyBorder="1" applyAlignment="1">
      <alignment horizontal="center" vertical="center"/>
    </xf>
    <xf numFmtId="0" fontId="72" fillId="0" borderId="333" xfId="0" applyFont="1" applyBorder="1" applyAlignment="1">
      <alignment horizontal="center" vertical="center"/>
    </xf>
    <xf numFmtId="0" fontId="72" fillId="0" borderId="336" xfId="0" applyFont="1" applyBorder="1" applyAlignment="1">
      <alignment horizontal="center" vertical="center"/>
    </xf>
    <xf numFmtId="0" fontId="73" fillId="0" borderId="12" xfId="0" applyFont="1" applyBorder="1" applyAlignment="1">
      <alignment horizontal="right" vertical="top"/>
    </xf>
    <xf numFmtId="0" fontId="73" fillId="0" borderId="0" xfId="0" applyFont="1"/>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85" fillId="2" borderId="57" xfId="0" applyFont="1" applyFill="1" applyBorder="1" applyAlignment="1" applyProtection="1">
      <alignment horizontal="center"/>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Protection="1">
      <protection hidden="1"/>
    </xf>
    <xf numFmtId="0" fontId="0" fillId="0" borderId="119" xfId="0" applyBorder="1"/>
    <xf numFmtId="0" fontId="0" fillId="0" borderId="51" xfId="0" applyBorder="1"/>
    <xf numFmtId="0" fontId="6" fillId="5" borderId="52" xfId="0" applyFont="1" applyFill="1" applyBorder="1" applyProtection="1">
      <protection hidden="1"/>
    </xf>
    <xf numFmtId="0" fontId="6" fillId="5" borderId="0" xfId="0" applyFont="1" applyFill="1" applyProtection="1">
      <protection hidden="1"/>
    </xf>
    <xf numFmtId="0" fontId="0" fillId="0" borderId="53" xfId="0" applyBorder="1"/>
    <xf numFmtId="0" fontId="28" fillId="0" borderId="258"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15" fillId="0" borderId="226" xfId="0" applyFont="1" applyBorder="1" applyAlignment="1" applyProtection="1">
      <alignment horizontal="center" vertical="center" wrapText="1"/>
      <protection hidden="1"/>
    </xf>
    <xf numFmtId="0" fontId="0" fillId="0" borderId="99"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7" fillId="0" borderId="52" xfId="0" applyFont="1" applyBorder="1" applyProtection="1">
      <protection hidden="1"/>
    </xf>
    <xf numFmtId="0" fontId="7" fillId="0" borderId="0" xfId="0" applyFont="1" applyProtection="1">
      <protection hidden="1"/>
    </xf>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0" fillId="0" borderId="382" xfId="0" applyBorder="1" applyAlignment="1">
      <alignment horizontal="center" wrapText="1"/>
    </xf>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8" fillId="0" borderId="16" xfId="0" applyFont="1" applyBorder="1" applyAlignment="1">
      <alignment horizontal="left"/>
    </xf>
    <xf numFmtId="0" fontId="73" fillId="0" borderId="12" xfId="0" applyFont="1" applyBorder="1"/>
    <xf numFmtId="0" fontId="73" fillId="0" borderId="11" xfId="0" applyFont="1" applyBorder="1"/>
    <xf numFmtId="0" fontId="28" fillId="0" borderId="0" xfId="0" applyFont="1"/>
    <xf numFmtId="0" fontId="46" fillId="0" borderId="213" xfId="0" applyFont="1" applyBorder="1" applyAlignment="1">
      <alignment horizontal="center"/>
    </xf>
    <xf numFmtId="0" fontId="46" fillId="0" borderId="214" xfId="0" applyFont="1" applyBorder="1" applyAlignment="1">
      <alignment horizontal="center"/>
    </xf>
    <xf numFmtId="0" fontId="104" fillId="5" borderId="50" xfId="0" applyFont="1" applyFill="1" applyBorder="1" applyAlignment="1" applyProtection="1">
      <alignment horizontal="center" vertical="center"/>
      <protection hidden="1"/>
    </xf>
    <xf numFmtId="0" fontId="0" fillId="0" borderId="131" xfId="0" applyBorder="1"/>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0" fillId="0" borderId="230" xfId="0" applyBorder="1" applyAlignment="1">
      <alignment horizontal="center" wrapText="1"/>
    </xf>
    <xf numFmtId="0" fontId="0" fillId="2" borderId="236" xfId="0" applyFill="1" applyBorder="1" applyAlignment="1" applyProtection="1">
      <alignment horizontal="center" wrapText="1"/>
      <protection hidden="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236" xfId="0" applyBorder="1" applyAlignment="1">
      <alignment horizontal="center" wrapText="1"/>
    </xf>
    <xf numFmtId="0" fontId="0" fillId="0" borderId="381"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47" fillId="0" borderId="102" xfId="0" applyFont="1" applyBorder="1" applyAlignment="1" applyProtection="1">
      <alignment horizontal="center" vertical="center" wrapText="1"/>
      <protection hidden="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lignment horizontal="left"/>
    </xf>
    <xf numFmtId="0" fontId="28" fillId="2" borderId="102" xfId="0" applyFont="1" applyFill="1" applyBorder="1" applyAlignment="1" applyProtection="1">
      <alignment horizontal="center" wrapText="1"/>
      <protection hidden="1"/>
    </xf>
    <xf numFmtId="0" fontId="48" fillId="0" borderId="359"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15" fillId="0" borderId="0" xfId="0" applyFont="1" applyAlignment="1">
      <alignment horizontal="left" indent="3" shrinkToFit="1"/>
    </xf>
    <xf numFmtId="0" fontId="72" fillId="0" borderId="123" xfId="0" applyFont="1" applyBorder="1" applyAlignment="1">
      <alignment horizontal="center" vertical="center" wrapText="1"/>
    </xf>
    <xf numFmtId="0" fontId="72" fillId="0" borderId="329" xfId="0" applyFont="1" applyBorder="1" applyAlignment="1">
      <alignment horizontal="center" vertical="center" wrapText="1"/>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81"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135" fillId="15" borderId="0" xfId="0" applyFont="1" applyFill="1" applyAlignment="1">
      <alignment horizontal="center"/>
    </xf>
    <xf numFmtId="0" fontId="28" fillId="2" borderId="217"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28" fillId="14" borderId="131" xfId="0" applyFont="1" applyFill="1" applyBorder="1"/>
    <xf numFmtId="0" fontId="0" fillId="14" borderId="132" xfId="0" applyFill="1" applyBorder="1"/>
    <xf numFmtId="0" fontId="48" fillId="2" borderId="68" xfId="0" applyFont="1" applyFill="1" applyBorder="1" applyAlignment="1">
      <alignment horizontal="center"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xf>
    <xf numFmtId="0" fontId="67" fillId="0" borderId="16" xfId="0" applyFont="1" applyBorder="1"/>
    <xf numFmtId="0" fontId="6" fillId="0" borderId="0" xfId="0" applyFont="1" applyAlignment="1">
      <alignment horizontal="left" indent="1"/>
    </xf>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55" xfId="0" applyFont="1" applyBorder="1" applyAlignment="1">
      <alignment horizontal="center" vertical="center" wrapText="1"/>
    </xf>
    <xf numFmtId="0" fontId="72" fillId="0" borderId="294" xfId="0" applyFont="1" applyBorder="1" applyAlignment="1">
      <alignment horizontal="center" vertical="center"/>
    </xf>
    <xf numFmtId="0" fontId="72" fillId="0" borderId="254" xfId="0" applyFont="1" applyBorder="1" applyAlignment="1">
      <alignment horizontal="center" vertical="center"/>
    </xf>
    <xf numFmtId="0" fontId="72" fillId="0" borderId="295" xfId="0" applyFont="1" applyBorder="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center"/>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34" fillId="0" borderId="204" xfId="0" applyFont="1" applyBorder="1" applyAlignment="1">
      <alignment horizontal="center"/>
    </xf>
    <xf numFmtId="0" fontId="34" fillId="0" borderId="205" xfId="0" applyFont="1" applyBorder="1" applyAlignment="1">
      <alignment horizontal="center"/>
    </xf>
    <xf numFmtId="0" fontId="14" fillId="0" borderId="11" xfId="0" applyFont="1" applyBorder="1" applyAlignment="1">
      <alignment horizontal="right" vertical="top"/>
    </xf>
    <xf numFmtId="0" fontId="26" fillId="0" borderId="10" xfId="0" applyFont="1" applyBorder="1"/>
    <xf numFmtId="0" fontId="26" fillId="0" borderId="22" xfId="0" applyFont="1" applyBorder="1"/>
    <xf numFmtId="0" fontId="23" fillId="0" borderId="10" xfId="0" applyFont="1" applyBorder="1" applyAlignment="1">
      <alignment horizontal="left"/>
    </xf>
    <xf numFmtId="0" fontId="9" fillId="0" borderId="0" xfId="0" applyFont="1"/>
    <xf numFmtId="0" fontId="39" fillId="0" borderId="10" xfId="0" applyFont="1" applyBorder="1"/>
    <xf numFmtId="0" fontId="33" fillId="0" borderId="16" xfId="0" applyFont="1" applyBorder="1" applyAlignment="1" applyProtection="1">
      <alignment horizontal="left"/>
      <protection locked="0"/>
    </xf>
    <xf numFmtId="0" fontId="0" fillId="0" borderId="16" xfId="0" applyBorder="1" applyProtection="1">
      <protection locked="0"/>
    </xf>
    <xf numFmtId="174" fontId="23" fillId="0" borderId="10"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10" xfId="0" applyFont="1" applyBorder="1"/>
    <xf numFmtId="0" fontId="108" fillId="0" borderId="22" xfId="0" applyFont="1" applyBorder="1"/>
    <xf numFmtId="0" fontId="73" fillId="0" borderId="10" xfId="0" applyFont="1" applyBorder="1"/>
    <xf numFmtId="0" fontId="34" fillId="0" borderId="12" xfId="0" applyFont="1" applyBorder="1" applyAlignment="1">
      <alignment horizontal="center"/>
    </xf>
    <xf numFmtId="0" fontId="34" fillId="0" borderId="0" xfId="0" applyFont="1" applyAlignment="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Border="1" applyAlignment="1">
      <alignment horizontal="left"/>
    </xf>
    <xf numFmtId="0" fontId="108" fillId="0" borderId="10" xfId="0" applyFont="1" applyBorder="1" applyAlignment="1">
      <alignment horizontal="left"/>
    </xf>
    <xf numFmtId="0" fontId="7" fillId="0" borderId="12" xfId="0" applyFont="1" applyBorder="1" applyAlignment="1">
      <alignment horizontal="center"/>
    </xf>
    <xf numFmtId="1" fontId="34" fillId="0" borderId="68" xfId="0" applyNumberFormat="1" applyFont="1" applyBorder="1" applyAlignment="1">
      <alignment horizontal="center"/>
    </xf>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28" fillId="5" borderId="296" xfId="0" applyFont="1" applyFill="1" applyBorder="1" applyAlignment="1">
      <alignment horizontal="right"/>
    </xf>
    <xf numFmtId="0" fontId="28" fillId="5" borderId="84" xfId="0" applyFont="1" applyFill="1" applyBorder="1" applyAlignment="1">
      <alignment horizontal="right"/>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2" fillId="4" borderId="117" xfId="0" applyFont="1" applyFill="1" applyBorder="1" applyAlignment="1">
      <alignment horizontal="left" indent="1"/>
    </xf>
    <xf numFmtId="0" fontId="0" fillId="0" borderId="90" xfId="0" applyBorder="1" applyAlignment="1">
      <alignment horizontal="left" indent="1"/>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132" fillId="0" borderId="8" xfId="0" applyFont="1" applyBorder="1" applyAlignment="1" applyProtection="1">
      <alignment horizontal="center" vertical="center"/>
      <protection locked="0"/>
    </xf>
    <xf numFmtId="0" fontId="132" fillId="0" borderId="12" xfId="0" applyFont="1" applyBorder="1" applyAlignment="1" applyProtection="1">
      <alignment horizontal="center" vertical="center"/>
      <protection locked="0"/>
    </xf>
    <xf numFmtId="188" fontId="132" fillId="0" borderId="11" xfId="0" applyNumberFormat="1" applyFont="1" applyBorder="1" applyAlignment="1" applyProtection="1">
      <alignment horizontal="right" vertical="center"/>
      <protection locked="0"/>
    </xf>
    <xf numFmtId="170" fontId="132" fillId="0" borderId="22" xfId="0" applyNumberFormat="1" applyFont="1" applyBorder="1" applyAlignment="1" applyProtection="1">
      <alignment horizontal="left" vertical="center"/>
      <protection locked="0"/>
    </xf>
    <xf numFmtId="165" fontId="132" fillId="0" borderId="12" xfId="0" applyNumberFormat="1" applyFont="1" applyBorder="1" applyAlignment="1" applyProtection="1">
      <alignment horizontal="center" vertical="center"/>
      <protection locked="0"/>
    </xf>
    <xf numFmtId="171" fontId="132" fillId="0" borderId="12" xfId="0" applyNumberFormat="1" applyFont="1" applyBorder="1" applyAlignment="1" applyProtection="1">
      <alignment horizontal="center" vertical="center"/>
      <protection locked="0"/>
    </xf>
    <xf numFmtId="1" fontId="132" fillId="0" borderId="21" xfId="0" applyNumberFormat="1" applyFont="1" applyBorder="1" applyAlignment="1" applyProtection="1">
      <alignment horizontal="center" vertical="center"/>
      <protection locked="0"/>
    </xf>
    <xf numFmtId="171" fontId="132" fillId="26" borderId="12" xfId="0" applyNumberFormat="1" applyFont="1" applyFill="1" applyBorder="1" applyAlignment="1" applyProtection="1">
      <alignment horizontal="center" vertical="center"/>
      <protection locked="0"/>
    </xf>
    <xf numFmtId="0" fontId="132" fillId="26" borderId="8" xfId="0" applyFont="1" applyFill="1" applyBorder="1" applyAlignment="1" applyProtection="1">
      <alignment horizontal="center" vertical="center"/>
      <protection locked="0"/>
    </xf>
    <xf numFmtId="0" fontId="132" fillId="26" borderId="12" xfId="0" applyFont="1" applyFill="1" applyBorder="1" applyAlignment="1" applyProtection="1">
      <alignment horizontal="center" vertical="center"/>
      <protection locked="0"/>
    </xf>
    <xf numFmtId="170" fontId="132" fillId="26" borderId="22" xfId="0" applyNumberFormat="1" applyFont="1" applyFill="1" applyBorder="1" applyAlignment="1" applyProtection="1">
      <alignment horizontal="left" vertical="center"/>
      <protection locked="0"/>
    </xf>
    <xf numFmtId="165" fontId="132" fillId="26" borderId="12" xfId="0" applyNumberFormat="1" applyFont="1" applyFill="1" applyBorder="1" applyAlignment="1" applyProtection="1">
      <alignment horizontal="center" vertical="center"/>
      <protection locked="0"/>
    </xf>
    <xf numFmtId="1" fontId="132" fillId="26" borderId="21" xfId="0" applyNumberFormat="1" applyFont="1" applyFill="1" applyBorder="1" applyAlignment="1" applyProtection="1">
      <alignment horizontal="center" vertical="center"/>
      <protection locked="0"/>
    </xf>
    <xf numFmtId="0" fontId="132" fillId="0" borderId="9" xfId="0" applyFont="1" applyBorder="1" applyAlignment="1" applyProtection="1">
      <alignment horizontal="center" vertical="center"/>
      <protection locked="0"/>
    </xf>
    <xf numFmtId="0" fontId="132" fillId="0" borderId="25" xfId="0" applyFont="1" applyBorder="1" applyAlignment="1" applyProtection="1">
      <alignment horizontal="center" vertical="center"/>
      <protection locked="0"/>
    </xf>
    <xf numFmtId="188" fontId="132" fillId="0" borderId="117" xfId="0" applyNumberFormat="1" applyFont="1" applyBorder="1" applyAlignment="1" applyProtection="1">
      <alignment horizontal="right" vertical="center"/>
      <protection locked="0"/>
    </xf>
    <xf numFmtId="170" fontId="132" fillId="0" borderId="143" xfId="0" applyNumberFormat="1" applyFont="1" applyBorder="1" applyAlignment="1" applyProtection="1">
      <alignment horizontal="left" vertical="center"/>
      <protection locked="0"/>
    </xf>
    <xf numFmtId="165" fontId="132" fillId="0" borderId="25" xfId="0" applyNumberFormat="1" applyFont="1" applyBorder="1" applyAlignment="1" applyProtection="1">
      <alignment horizontal="center" vertical="center"/>
      <protection locked="0"/>
    </xf>
    <xf numFmtId="171" fontId="132" fillId="0" borderId="25" xfId="0" applyNumberFormat="1" applyFont="1" applyBorder="1" applyAlignment="1" applyProtection="1">
      <alignment horizontal="center" vertical="center"/>
      <protection locked="0"/>
    </xf>
    <xf numFmtId="1" fontId="132" fillId="0" borderId="26" xfId="0" applyNumberFormat="1" applyFont="1" applyBorder="1" applyAlignment="1" applyProtection="1">
      <alignment horizontal="center" vertical="center"/>
      <protection locked="0"/>
    </xf>
    <xf numFmtId="49" fontId="119" fillId="26" borderId="159" xfId="0" applyNumberFormat="1" applyFont="1" applyFill="1" applyBorder="1" applyAlignment="1" applyProtection="1">
      <alignment horizontal="center" vertical="center"/>
      <protection locked="0"/>
    </xf>
    <xf numFmtId="1" fontId="119" fillId="26" borderId="105" xfId="0" applyNumberFormat="1" applyFont="1" applyFill="1" applyBorder="1" applyAlignment="1" applyProtection="1">
      <alignment horizontal="center" vertical="center"/>
      <protection locked="0"/>
    </xf>
    <xf numFmtId="1" fontId="119" fillId="26" borderId="103" xfId="0" applyNumberFormat="1" applyFont="1" applyFill="1" applyBorder="1" applyAlignment="1" applyProtection="1">
      <alignment horizontal="center" vertical="center"/>
      <protection locked="0"/>
    </xf>
    <xf numFmtId="0" fontId="118" fillId="26" borderId="180" xfId="0" applyFont="1" applyFill="1" applyBorder="1" applyAlignment="1" applyProtection="1">
      <alignment horizontal="center" vertical="center"/>
      <protection locked="0"/>
    </xf>
    <xf numFmtId="0" fontId="118" fillId="26" borderId="166" xfId="0" applyFont="1" applyFill="1" applyBorder="1" applyAlignment="1" applyProtection="1">
      <alignment horizontal="center" vertical="center"/>
      <protection locked="0"/>
    </xf>
    <xf numFmtId="183" fontId="118" fillId="26" borderId="164" xfId="0" applyNumberFormat="1" applyFont="1" applyFill="1" applyBorder="1" applyAlignment="1" applyProtection="1">
      <alignment horizontal="right" vertical="center"/>
      <protection locked="0"/>
    </xf>
    <xf numFmtId="172" fontId="118" fillId="26" borderId="148" xfId="0" applyNumberFormat="1" applyFont="1" applyFill="1" applyBorder="1" applyAlignment="1" applyProtection="1">
      <alignment horizontal="left" vertical="center"/>
      <protection locked="0"/>
    </xf>
    <xf numFmtId="0" fontId="118" fillId="26" borderId="149" xfId="0" applyFont="1" applyFill="1" applyBorder="1" applyAlignment="1" applyProtection="1">
      <alignment horizontal="center" vertical="center"/>
      <protection locked="0"/>
    </xf>
    <xf numFmtId="172" fontId="118" fillId="26" borderId="158" xfId="0" applyNumberFormat="1" applyFont="1" applyFill="1" applyBorder="1" applyAlignment="1" applyProtection="1">
      <alignment horizontal="left" vertical="center"/>
      <protection locked="0"/>
    </xf>
    <xf numFmtId="0" fontId="118" fillId="26" borderId="159" xfId="0" applyFont="1" applyFill="1" applyBorder="1" applyAlignment="1" applyProtection="1">
      <alignment horizontal="center" vertical="center"/>
      <protection locked="0"/>
    </xf>
    <xf numFmtId="0" fontId="118" fillId="26" borderId="328" xfId="0" applyFont="1" applyFill="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0" fontId="118" fillId="26" borderId="124" xfId="0" applyFont="1" applyFill="1" applyBorder="1" applyAlignment="1" applyProtection="1">
      <alignment horizontal="center"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0" fontId="123" fillId="0" borderId="0" xfId="0" applyFont="1" applyAlignment="1" applyProtection="1">
      <alignment horizontal="left"/>
    </xf>
    <xf numFmtId="0" fontId="0" fillId="0" borderId="0" xfId="0" applyProtection="1"/>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2" fontId="118" fillId="26" borderId="161" xfId="0" applyNumberFormat="1" applyFont="1" applyFill="1" applyBorder="1" applyAlignment="1" applyProtection="1">
      <alignment horizontal="center" vertical="center"/>
      <protection locked="0"/>
    </xf>
    <xf numFmtId="166" fontId="118" fillId="26" borderId="159" xfId="0" applyNumberFormat="1" applyFont="1" applyFill="1" applyBorder="1" applyAlignment="1" applyProtection="1">
      <alignment horizontal="center" vertical="center"/>
      <protection locked="0"/>
    </xf>
    <xf numFmtId="0" fontId="118" fillId="26" borderId="165" xfId="0" applyFont="1" applyFill="1" applyBorder="1" applyAlignment="1" applyProtection="1">
      <alignment horizontal="center" vertical="center"/>
      <protection locked="0"/>
    </xf>
    <xf numFmtId="182" fontId="118" fillId="26" borderId="146" xfId="0" applyNumberFormat="1" applyFont="1" applyFill="1" applyBorder="1" applyAlignment="1" applyProtection="1">
      <alignment horizontal="center" vertical="center"/>
      <protection locked="0"/>
    </xf>
    <xf numFmtId="183" fontId="124" fillId="26" borderId="146" xfId="0" applyNumberFormat="1" applyFont="1" applyFill="1" applyBorder="1" applyAlignment="1" applyProtection="1">
      <alignment horizontal="right" vertical="center"/>
      <protection locked="0"/>
    </xf>
    <xf numFmtId="183" fontId="124" fillId="26" borderId="107" xfId="0" applyNumberFormat="1" applyFont="1" applyFill="1" applyBorder="1" applyAlignment="1" applyProtection="1">
      <alignment horizontal="right" vertical="center"/>
      <protection locked="0"/>
    </xf>
    <xf numFmtId="172" fontId="118" fillId="26" borderId="147" xfId="0" applyNumberFormat="1" applyFont="1" applyFill="1" applyBorder="1" applyAlignment="1" applyProtection="1">
      <alignment horizontal="center" vertical="center"/>
      <protection locked="0"/>
    </xf>
    <xf numFmtId="0" fontId="118" fillId="26" borderId="147" xfId="0" applyFont="1" applyFill="1" applyBorder="1" applyAlignment="1" applyProtection="1">
      <alignment horizontal="center" vertical="center"/>
      <protection locked="0"/>
    </xf>
    <xf numFmtId="172" fontId="118" fillId="26" borderId="105" xfId="0" applyNumberFormat="1" applyFont="1" applyFill="1" applyBorder="1" applyAlignment="1" applyProtection="1">
      <alignment horizontal="center" vertical="center"/>
      <protection locked="0"/>
    </xf>
    <xf numFmtId="172" fontId="118" fillId="26" borderId="163" xfId="0" applyNumberFormat="1" applyFont="1" applyFill="1" applyBorder="1" applyAlignment="1" applyProtection="1">
      <alignment horizontal="center" vertical="center"/>
      <protection locked="0"/>
    </xf>
    <xf numFmtId="49" fontId="118" fillId="16" borderId="0" xfId="0" applyNumberFormat="1" applyFont="1" applyFill="1" applyAlignment="1" applyProtection="1">
      <alignment horizontal="left"/>
      <protection locked="0"/>
    </xf>
    <xf numFmtId="49" fontId="118" fillId="16" borderId="0" xfId="2" applyNumberFormat="1" applyFont="1" applyFill="1" applyAlignment="1" applyProtection="1">
      <alignment horizontal="left"/>
      <protection locked="0"/>
    </xf>
    <xf numFmtId="1" fontId="118" fillId="26" borderId="124" xfId="0" applyNumberFormat="1" applyFont="1" applyFill="1" applyBorder="1" applyAlignment="1" applyProtection="1">
      <alignment horizontal="center" vertical="center"/>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416">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5.wmf"/><Relationship Id="rId2" Type="http://schemas.openxmlformats.org/officeDocument/2006/relationships/image" Target="../media/image14.wmf"/><Relationship Id="rId1" Type="http://schemas.openxmlformats.org/officeDocument/2006/relationships/image" Target="../media/image13.wmf"/><Relationship Id="rId5" Type="http://schemas.openxmlformats.org/officeDocument/2006/relationships/image" Target="../media/image17.wmf"/><Relationship Id="rId4" Type="http://schemas.openxmlformats.org/officeDocument/2006/relationships/image" Target="../media/image16.wmf"/></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8.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6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7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71.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28.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absolute">
    <xdr:from>
      <xdr:col>0</xdr:col>
      <xdr:colOff>342900</xdr:colOff>
      <xdr:row>0</xdr:row>
      <xdr:rowOff>0</xdr:rowOff>
    </xdr:from>
    <xdr:to>
      <xdr:col>2</xdr:col>
      <xdr:colOff>1104900</xdr:colOff>
      <xdr:row>1</xdr:row>
      <xdr:rowOff>171450</xdr:rowOff>
    </xdr:to>
    <xdr:pic>
      <xdr:nvPicPr>
        <xdr:cNvPr id="6" name="Picture 30" descr="newmill_black_logo">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6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7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8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9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909336" name="Picture 24" descr="newmill_black_logo">
          <a:extLst>
            <a:ext uri="{FF2B5EF4-FFF2-40B4-BE49-F238E27FC236}">
              <a16:creationId xmlns:a16="http://schemas.microsoft.com/office/drawing/2014/main" id="{00000000-0008-0000-0A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23660100" y="28575"/>
          <a:ext cx="213360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21621750" y="57150"/>
          <a:ext cx="1971675"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2381720" name="Picture 16280" descr="newmill_black_logo">
          <a:extLst>
            <a:ext uri="{FF2B5EF4-FFF2-40B4-BE49-F238E27FC236}">
              <a16:creationId xmlns:a16="http://schemas.microsoft.com/office/drawing/2014/main" id="{00000000-0008-0000-0A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449426" name="Picture 18" descr="newmill_black_logo">
          <a:extLst>
            <a:ext uri="{FF2B5EF4-FFF2-40B4-BE49-F238E27FC236}">
              <a16:creationId xmlns:a16="http://schemas.microsoft.com/office/drawing/2014/main" id="{00000000-0008-0000-0B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2449534" name="Picture 126" descr="newmill_black_logo">
          <a:extLst>
            <a:ext uri="{FF2B5EF4-FFF2-40B4-BE49-F238E27FC236}">
              <a16:creationId xmlns:a16="http://schemas.microsoft.com/office/drawing/2014/main" id="{00000000-0008-0000-0B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13249275" y="28575"/>
          <a:ext cx="2371725"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C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13249275" y="1562101"/>
          <a:ext cx="2371725"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D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E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F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10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50"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7"/>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7"/>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9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9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9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9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9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A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A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A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A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A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C8E6D33B-DB32-4609-A160-A4767573A62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B3AE084-B597-4DA0-9997-7099982F743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6C593017-C7AA-4305-A9F9-748F46C4731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34AEE46-E41A-48D7-9BF3-0E23D38E4A73}"/>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55D2BA5-27BC-4344-89E2-974436D7767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A1188F94-5943-417F-A2B2-4DFE022CE74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4927F084-F19D-4F5F-AA3A-2117E4FC9FD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5A4E6ED-E8D5-48A1-9A04-E18E5D5B780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1AF6998-320A-48C0-A989-A90D23CCE98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6EEFB34-32C1-45BC-B7C6-E0DA18440EB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9798D13-CAD5-4FDB-BB35-63ACE19D5F2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AD55EB87-4D11-47BD-BE4F-63459321664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72C5A13B-91BA-4D74-88EE-6F8CE04C2F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F3D9DA3-2F24-45F2-B6BB-95EA180F2AAE}"/>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77CACE3-1B57-4324-ABB3-FA3F6E284C3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F31D6B02-2E2D-45C9-B5CA-D483210C7EE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9E98653-EEBF-48CE-9F28-EC8C1D76400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496E3E1-6B33-428A-A306-F1D2601673CE}"/>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CADC3EE2-8FA3-46F8-9D09-72183514121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48E30CA5-E0DE-4480-AF77-4B18F3E3CE8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64D46EFD-D7E5-41B7-9D6D-6CDB3A9DA51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A367E83-2922-4055-8562-AE996FF0C70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11B4E9E-8FD5-480B-BC6B-DE17C6FF117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F5213C0-71D4-4F67-BB66-77521FF12C3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1E0F5353-01C8-45C7-9758-A910EA1DABF1}"/>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3CFF145-A32E-4703-A235-1D675D178E8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A5A42605-ACEE-48EA-8E7B-61F6930D30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89FD58FD-750B-452E-BB51-44416968BB82}"/>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70F43B5-D516-4A60-8A42-681952D8985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D4FC7EF-6F37-4E7C-85B8-F572EB81490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CD5D544-CE32-436C-BF91-FCEFD78D46F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563C4A96-7B15-4A13-863B-710D48F6D6B7}"/>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18923B55-E93D-4E54-8E32-7CD1A7F94566}"/>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93683601-0EA0-4707-8848-B304079A8B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36D5139-A197-4F6F-A22D-021A3FDE032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090F897-5916-44BE-A3D3-F0F56DC2AF3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C5B1139-2251-4C76-9B6C-EC11094B218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6AFCC68-F4D0-4E18-B93F-28D8771B533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921DC34-45E0-495F-A63B-FB53060D127E}"/>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ADE82496-5CC8-447B-AB20-687D5AA853C9}"/>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9E8CCB4A-8DBA-40B5-B4BF-3E52D2D8B3F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F7F55CB-51EB-4647-90F9-4F43318ABE08}"/>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11C0E5A-F60D-4B76-B706-D58EE9C9B5A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D15DBB7-42AF-4AE5-AE59-0917A8A3D16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8A77D15-3863-4026-86EE-65D5C9BF6C9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6102908B-B75A-4AB9-8D56-CC1633FAE8D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D2990C41-4432-4B54-B8D6-101ACA78024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6BA6D3F1-A8ED-445C-9350-AA18FAE67A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CC1B5DFC-7B7B-4E3D-87E7-0B6512576C71}"/>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763EDD1-2800-49CA-AF75-EEA9858E3C7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FD13952-0E66-4527-A4D2-5DE518DA1A3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249DA2C-46F3-43EC-A682-BABC7D57B7D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397D320-D760-4267-BE18-101AACAE4E07}"/>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4019FFB7-925E-4B7A-A19A-D9B2741AEC3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C73BF095-B2C0-4293-A08C-8054596BCDB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A85D4AD7-AC53-4D29-859F-6C1ED64DB2DD}"/>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7ABADCE8-26E1-49C1-A78A-C0A22081AF6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6AA75F4-FB98-48A6-B32C-404FAA6EE37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77B1B3B-0B0B-4D75-AA88-B9D1194B77D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623962-C46E-4FD4-8150-853A05DE073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9FF6B037-1384-4640-B6B3-C58432CDDFAD}"/>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47854578-4EA8-4545-A2E5-D8998B3B85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88C5EA0-F10A-4398-9F0A-8F578B50E82D}"/>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FB80ACB-317A-40FB-93E1-7041D3F68E7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51789979-FBDE-4A45-ADE3-D3F3E8C49DB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90AC09A-AFC3-4ADF-8C2B-F8A5AE9566A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A6D2D1BB-7D75-446C-A9B6-642D233D365B}"/>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7DE5EB02-0387-4D53-9EBB-2B66F914716D}"/>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5E2BB840-F5DA-481C-AC62-570DB42008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A53FD03-BD46-4210-BE00-9B9A8F501F3B}"/>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898EB8B-756F-4F73-B314-909FF4FAD5C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E26E69A-1835-4B6F-8378-86D9E6A0DBE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C4454C3-C028-473C-BB4A-B8B73F976F1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37CF8E00-02B6-44E1-91A9-7EC0FE75957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4A8C6B0-D545-4009-B327-07DD509800E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CC88BE1-F769-4EA1-9766-6A642A9BCA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1E94362D-C580-4262-B41F-2960124FBAB4}"/>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F5D4636-28B8-41B8-B3C0-5418CC9CDA2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5823127-D52F-47AD-A392-667D2AC17EA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B3CEF3EB-399B-4C95-A021-107776A0CCE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BA00707-3348-4D19-8A95-31F3D226006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50B631CA-A8E1-4480-8387-335FBE324D4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B071602A-97FA-4C6F-9B4A-E681264BD02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4C92602-0745-470F-A17C-7BF47459C74D}"/>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4EFFA53-1C55-43FA-B684-578213C7EF9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6C83C9D-EBD4-4A29-BE1E-9189D3AE040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CFA2634-F1FD-4352-9FBB-6663D8DDB9D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EF2E9ECA-4332-4563-81D1-2391650CF324}"/>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B5954189-8513-4AA3-9B3B-C6D6D97B213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A6CB740F-712A-4849-949A-8A2FB784106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1F236785-E44F-4095-8044-D24B389DBAA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D01C08E-DFCA-4BB4-8EEC-D742218D038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455AD9AC-35CC-4F36-A43B-73F12E9452B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255C6D4-3974-477F-A06A-CA84F510BBB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63DF8649-9465-4708-BCBD-7AC879ACA9C1}"/>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85527D2-BBEB-418A-9ADD-2794F99206C7}"/>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E5DC3A54-343A-4080-BAF1-363C88B11C2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A3A3C57F-0B1D-4A7E-A5F7-A65E621F766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6F26A17C-08DE-42D1-BEFE-AB66A85E149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92A01EA-33B8-456E-876A-2E6B8AA7D20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2D0668A-9325-414E-8364-A78B15E02B9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31C14DE8-C20D-4C99-B645-2854028651B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5CABC3F9-2F9F-402B-9574-DBB16B5168C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33C0FF06-ABE5-4D52-AC34-066F205D24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96673DA5-D862-4073-9924-E337748B487A}"/>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D748A49-F238-4DB0-A4E3-5573BE050BF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3C146A2-787A-40C4-8D40-BE87B119134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250BBF8-3ED6-421E-8B12-1459C027AC6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71323E52-514D-4966-BF2F-B8D53507689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9CCB50E5-C84A-4F59-ABB4-75372B134A44}"/>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DE918BE5-C94B-4ACF-991C-D552BE5B97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39547070-4BDE-4FFC-B9D3-EA7ED959EA1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73DE88A6-4AD8-4C01-94DC-9C2EB1F40AC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F5B78FB-5529-499B-B42C-34C2FF1A0E1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22E59E6-0EBB-4DC9-993F-0116CC01B1A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4E7A1B76-356E-488F-A3EC-730A262EF3E3}"/>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76231FE-7B4C-46C0-858F-1219E6874C2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A8D7FF65-5975-4629-83B3-E9280BD5E5C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A3E33D01-F4FD-4028-8EA8-3FAC3FD27F21}"/>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BB4FDE0-2FC0-419F-AAFE-0C8EBF4CD44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2FFED89-9988-4AAD-9F44-737ED1AF521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FB80E82-512B-4226-B64F-9F066D5A473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A735781D-18E6-4AFA-BF27-B3C03146A25F}"/>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B7358287-63E4-4BBD-B016-FF194878D76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5BAD1243-D704-4972-8C70-C09E90C11AF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7F47568D-DEC3-452A-8BF9-2AE71CFCBF0B}"/>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72E90BC-8260-48F9-BA39-EE81B61580B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8A09951-1703-40D2-AEEE-E1F172F2D04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8039E7B-547C-4C6D-BA8A-B40264A603D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6553A83A-8CE2-4992-A1A9-62FA88E22F41}"/>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B5070D70-92DE-480B-85DD-F0875CB3F026}"/>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61F132C5-B2E3-48A7-AA81-06C10CE77D0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41C3C9B8-28DE-472A-B9D5-EE7232AE382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AFFD115-B5FE-4CB3-B227-AEFC3417056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7EAF36E1-FE03-4CD8-910A-0BD3E850F5F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43E0B9A3-EE1A-4D4F-8336-FB10F361513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DE487D46-D95E-45D8-B6B0-17AE8E47A347}"/>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C6C6DD45-B957-4253-92AF-9259B07F36E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E1ADB1F8-DD6D-45D9-93D6-31B74B0C76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770E20C2-2544-407E-9EA0-E34B75CD6C3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9E529C9D-7FD4-4361-AE94-FA12789FCF1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4DEFF4F3-547F-448E-B509-736745FEFCC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4726B1C2-DEC0-49BD-BAF2-22EBAF04A40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4811AC0-5062-4419-9066-AF5DAF0E739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1AE96B7D-6818-47BC-989A-8920E5B1D138}"/>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CA578E0C-992F-4C23-9749-573C85B5CB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1AC02A0-8AA9-436A-B300-C1415C3AB7D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D0A64C3-2099-49C9-B46A-72B3E92C002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A21F7BA-ADFB-4636-A224-FEDD843F4A0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7115ED1-C53C-4D6C-8E09-9723DBC2F4E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0CF5301-E587-4411-AA0B-6F810392136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533D83F-E18F-4ED8-A9C4-5AC1FEA5D1E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52364112-6C4B-4A78-B6D5-6B0E1C2563F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1CA5982C-70B4-4636-BE2A-E94E4511F0E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5624637-A82B-4985-8770-7C018198F2E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3ECBEF7-1CB3-47FE-A0D6-EF13D78B079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76180C4-32EE-4E2E-B8CD-A22894FB49C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B3F91AC-F52E-407F-B0C9-EF73B276CE5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2361D5B4-98D6-4D65-93AF-1C1AC35A277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FE0AB6D0-3567-4D03-A261-C69D7B4CDB1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82A3072D-D373-4963-BB9A-1314C362191A}"/>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80C35E3F-F5A0-4B24-8C0B-10CD66E70C7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B6D13B26-C062-4045-B82B-7A7C7B44082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4A5973D-8284-485C-949A-99F0608C185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101F2FE-7103-4B2B-9B42-7CCB2E4EDDD4}"/>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45D31084-9229-4155-AC75-C87F334FA4F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7D341E47-8470-4E27-830E-76083EDD638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64CA6ABD-95F5-4106-ADCD-772CAA4BCF1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330DE28-B58F-4B27-B0E8-B76DC095451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77F32C1-15ED-4069-B8E6-FE540716546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60F24502-FBBA-4F24-9596-AE7EEE7BCFB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3E467BE-4479-44E3-84B1-C67BAD43EE5B}"/>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53DD0E71-DF7E-474E-B8D3-5DADDBE4BBE6}"/>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45D3FD10-C815-4489-A7FA-F9A6729689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E1F74BC2-1BEC-40CB-BF7F-E272467747A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7576C96-9AF5-4603-B1C1-693A59FCCC3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4D541C0E-55C5-4FE8-8E52-19F4F9E9195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05DE9E0-F197-44C5-BCC6-1A37BB46DF0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8025259-9DC2-4990-805E-AC1F17509969}"/>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92AF789-51D1-41DB-B4E9-720FBDD37039}"/>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3A2E9D7A-6144-4B8B-95D5-28F50FE44F1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52E64586-4742-440F-B80B-6E86C268981D}"/>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62C90F7-42A0-42B4-A4F2-1C3CDEC76FC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DEBBB11-7EB4-415F-BCCB-0AF31EAB050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4B2A5E8-97AB-4FE3-89C6-E2D5BC022EB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21E9F91E-F975-4C71-A698-0B0EA288B771}"/>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BC94E09-D43B-4531-BA0A-97595AAAA2B4}"/>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B8C3101E-6DEB-4EE2-98FB-CD914E33BC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2B1C67DE-80F3-4ABC-86A2-E5486844A6D4}"/>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B2095BB-AF00-469C-A7E3-C4EA9B2B1BA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7F41A09-E574-4335-90DE-C360AEED9F2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19BA993-8B2E-4DDB-90A5-BCFC9E98E40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0F5F400-064D-4373-9EEF-88EDFB261826}"/>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142FE1E-2DE8-4B17-90A3-5794B39489B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3C2675C4-29C9-4C8D-8F36-52498628E0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1CB937FF-8915-4DEC-9472-2570CDE10D2C}"/>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127257B-2AB1-4EF7-96DD-45D36531C07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A7E0C42-6A87-45AC-8263-31D875F44D2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ACBC6E3-8090-404F-B09D-B2E6232F63F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4931997E-9D1A-42C4-A7D8-138C221B58F4}"/>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3105B7C-65CE-468A-8FA4-1CC65EAFA11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A4278287-4979-4BA3-AC74-AC5C4F4B930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6AAC8AB2-F79F-4DB4-9CED-B2A78F110C21}"/>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3CE3C527-F852-428F-BC12-956C9DED3F0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B6DE1D17-1750-4E47-B399-3CF42B6B9D2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AC6BBA3-8697-43EC-AA06-E13A5EB345E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E1AAA187-F3BF-47DC-A37F-88765A7CA938}"/>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58CB75F-52B2-4FBD-9226-5E0A3532161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F5BD9EB7-3E63-4CB5-8B5C-D49CE9BD9E1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4E1582B0-95A5-4A31-B306-DC4F72A465D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B6708912-20AE-4E22-BE60-56087CEA0EB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B94846E-B56F-4D55-AFEA-91B6187ACA4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2B26863-16F4-42B8-84FD-D81A307E557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A967462-6130-4BD2-B526-457679E88173}"/>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D9C05E68-E1E1-4786-A994-7A7E88FDA3ED}"/>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E8C26014-EAF2-418E-864C-D96612091D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35526CA9-8FF0-4030-A4F8-B85D6133FBCF}"/>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7C8AE05B-1CDE-4EC3-96C1-53BC8306557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6EB8CF8-6C27-4D92-BFF5-20BE9497409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6E5A3E2-4194-4EF5-B5AD-E831FF85BA3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EDD7291-A00E-4F57-9320-1E07E07B38A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25299DB-E099-421D-BD2B-56950C81B98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CBFA110C-18B0-4BD3-BE69-022BD846EAF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B0552D1E-D629-4815-98DD-4C6B060175D9}"/>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C4C46984-57A2-410A-9FF3-556C9E97742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BB40FBF7-6D6C-420A-965E-26D27F309EF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34A5ED2-FE46-48FD-97A4-FD59142E286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BCDA4F4-5DE1-49FC-B9CD-09AD1C11A24C}"/>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BD0CAE8A-D387-4DDE-8C39-9E72A8E1C00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6FA826E8-5A00-4FE7-8610-00951CFD34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4801687D-05AF-4BE9-9697-DB30DC651BA4}"/>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2D16B64-6AA3-42CB-820F-50F58243361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61B44D3-CCFF-4AF5-8B4E-81AEC3B3EBA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7425B65-366A-4457-A252-9D852506C51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3CA94FE1-778A-439A-8695-110FEDAD7961}"/>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6240501-27C0-40A3-961D-E9159A47BA95}"/>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FCEA5170-11DF-4342-B0C8-B364C2E4ED8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716CFCBD-0EE9-477A-AD61-A2A93B7BCBEF}"/>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B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B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B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B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7" name="Text Box 23">
          <a:extLst>
            <a:ext uri="{FF2B5EF4-FFF2-40B4-BE49-F238E27FC236}">
              <a16:creationId xmlns:a16="http://schemas.microsoft.com/office/drawing/2014/main" id="{00000000-0008-0000-1B00-000007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B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F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F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F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F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F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F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F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F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F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0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0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0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0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0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0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0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0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1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1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1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1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1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1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1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1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2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2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2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2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2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2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2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2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3" name="Picture 24" descr="newmill_black_logo">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2300-000004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2300-000005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6" name="Text Box 52">
          <a:extLst>
            <a:ext uri="{FF2B5EF4-FFF2-40B4-BE49-F238E27FC236}">
              <a16:creationId xmlns:a16="http://schemas.microsoft.com/office/drawing/2014/main" id="{00000000-0008-0000-2300-000006000000}"/>
            </a:ext>
          </a:extLst>
        </xdr:cNvPr>
        <xdr:cNvSpPr txBox="1">
          <a:spLocks noChangeArrowheads="1"/>
        </xdr:cNvSpPr>
      </xdr:nvSpPr>
      <xdr:spPr bwMode="auto">
        <a:xfrm>
          <a:off x="28574998" y="3651250"/>
          <a:ext cx="2324102"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7" name="Text Box 15544">
          <a:extLst>
            <a:ext uri="{FF2B5EF4-FFF2-40B4-BE49-F238E27FC236}">
              <a16:creationId xmlns:a16="http://schemas.microsoft.com/office/drawing/2014/main" id="{00000000-0008-0000-2300-000007000000}"/>
            </a:ext>
          </a:extLst>
        </xdr:cNvPr>
        <xdr:cNvSpPr txBox="1">
          <a:spLocks noChangeArrowheads="1"/>
        </xdr:cNvSpPr>
      </xdr:nvSpPr>
      <xdr:spPr bwMode="auto">
        <a:xfrm>
          <a:off x="25888950" y="28575"/>
          <a:ext cx="2390775"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8" name="Group 16305">
          <a:extLst>
            <a:ext uri="{FF2B5EF4-FFF2-40B4-BE49-F238E27FC236}">
              <a16:creationId xmlns:a16="http://schemas.microsoft.com/office/drawing/2014/main" id="{00000000-0008-0000-2300-000008000000}"/>
            </a:ext>
          </a:extLst>
        </xdr:cNvPr>
        <xdr:cNvGrpSpPr>
          <a:grpSpLocks/>
        </xdr:cNvGrpSpPr>
      </xdr:nvGrpSpPr>
      <xdr:grpSpPr bwMode="auto">
        <a:xfrm>
          <a:off x="23665132" y="28575"/>
          <a:ext cx="2142406" cy="1785129"/>
          <a:chOff x="2623" y="3"/>
          <a:chExt cx="296" cy="188"/>
        </a:xfrm>
      </xdr:grpSpPr>
      <xdr:grpSp>
        <xdr:nvGrpSpPr>
          <xdr:cNvPr id="9" name="Group 16173">
            <a:extLst>
              <a:ext uri="{FF2B5EF4-FFF2-40B4-BE49-F238E27FC236}">
                <a16:creationId xmlns:a16="http://schemas.microsoft.com/office/drawing/2014/main" id="{00000000-0008-0000-23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23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23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23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23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23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23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23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23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23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23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23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23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23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23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23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23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23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23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23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23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23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23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23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23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23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35" name="Group 16236">
          <a:extLst>
            <a:ext uri="{FF2B5EF4-FFF2-40B4-BE49-F238E27FC236}">
              <a16:creationId xmlns:a16="http://schemas.microsoft.com/office/drawing/2014/main" id="{00000000-0008-0000-2300-000023000000}"/>
            </a:ext>
          </a:extLst>
        </xdr:cNvPr>
        <xdr:cNvGrpSpPr>
          <a:grpSpLocks/>
        </xdr:cNvGrpSpPr>
      </xdr:nvGrpSpPr>
      <xdr:grpSpPr bwMode="auto">
        <a:xfrm>
          <a:off x="21638104" y="57150"/>
          <a:ext cx="1960353" cy="1747029"/>
          <a:chOff x="4176" y="123"/>
          <a:chExt cx="353" cy="199"/>
        </a:xfrm>
      </xdr:grpSpPr>
      <xdr:sp macro="" textlink="">
        <xdr:nvSpPr>
          <xdr:cNvPr id="36" name="Rectangle 16174">
            <a:extLst>
              <a:ext uri="{FF2B5EF4-FFF2-40B4-BE49-F238E27FC236}">
                <a16:creationId xmlns:a16="http://schemas.microsoft.com/office/drawing/2014/main" id="{00000000-0008-0000-23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23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23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23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23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23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23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23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23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23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23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23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23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23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23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23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23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23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23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23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23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23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23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23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23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23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23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23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23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23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23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23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23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23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23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23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23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23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23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23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23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23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23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23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23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23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23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23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23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23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23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23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23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23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90" name="Picture 16280" descr="newmill_black_logo">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2300-00005B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2300-00005C000000}"/>
            </a:ext>
          </a:extLst>
        </xdr:cNvPr>
        <xdr:cNvSpPr txBox="1"/>
      </xdr:nvSpPr>
      <xdr:spPr>
        <a:xfrm>
          <a:off x="4534852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2300-00005D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2300-00005E000000}"/>
            </a:ext>
          </a:extLst>
        </xdr:cNvPr>
        <xdr:cNvSpPr txBox="1">
          <a:spLocks noChangeArrowheads="1"/>
        </xdr:cNvSpPr>
      </xdr:nvSpPr>
      <xdr:spPr bwMode="auto">
        <a:xfrm>
          <a:off x="18983341" y="95250"/>
          <a:ext cx="24860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2300-00005F000000}"/>
            </a:ext>
          </a:extLst>
        </xdr:cNvPr>
        <xdr:cNvSpPr txBox="1">
          <a:spLocks noChangeArrowheads="1"/>
        </xdr:cNvSpPr>
      </xdr:nvSpPr>
      <xdr:spPr bwMode="auto">
        <a:xfrm>
          <a:off x="18983341" y="952476"/>
          <a:ext cx="24860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2300-000060000000}"/>
            </a:ext>
          </a:extLst>
        </xdr:cNvPr>
        <xdr:cNvSpPr txBox="1">
          <a:spLocks noChangeArrowheads="1"/>
        </xdr:cNvSpPr>
      </xdr:nvSpPr>
      <xdr:spPr bwMode="auto">
        <a:xfrm>
          <a:off x="18983325" y="1514495"/>
          <a:ext cx="24860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2300-000061000000}"/>
            </a:ext>
          </a:extLst>
        </xdr:cNvPr>
        <xdr:cNvSpPr txBox="1"/>
      </xdr:nvSpPr>
      <xdr:spPr>
        <a:xfrm>
          <a:off x="5022532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69.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4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4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4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4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4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7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5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5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5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5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5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71.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6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6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6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6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6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876" dataDxfId="875">
  <autoFilter ref="AR1:AR7" xr:uid="{83CCCD05-2D3C-4DCC-A6EE-0DCED6E3C460}"/>
  <tableColumns count="1">
    <tableColumn id="1" xr3:uid="{A2876915-0FD7-4875-B316-012ABAE4381E}" name="Finish Types" dataDxfId="87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6.emf"/><Relationship Id="rId34" Type="http://schemas.openxmlformats.org/officeDocument/2006/relationships/ctrlProp" Target="../ctrlProps/ctrlProp9.xml"/><Relationship Id="rId7" Type="http://schemas.openxmlformats.org/officeDocument/2006/relationships/image" Target="../media/image19.emf"/><Relationship Id="rId12" Type="http://schemas.openxmlformats.org/officeDocument/2006/relationships/control" Target="../activeX/activeX6.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21.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25.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20.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8.xml"/><Relationship Id="rId1" Type="http://schemas.openxmlformats.org/officeDocument/2006/relationships/printerSettings" Target="../printerSettings/printerSettings40.bin"/><Relationship Id="rId4" Type="http://schemas.openxmlformats.org/officeDocument/2006/relationships/comments" Target="../comments2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9.xml"/><Relationship Id="rId1" Type="http://schemas.openxmlformats.org/officeDocument/2006/relationships/printerSettings" Target="../printerSettings/printerSettings41.bin"/><Relationship Id="rId4" Type="http://schemas.openxmlformats.org/officeDocument/2006/relationships/comments" Target="../comments3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40.xml"/><Relationship Id="rId1" Type="http://schemas.openxmlformats.org/officeDocument/2006/relationships/printerSettings" Target="../printerSettings/printerSettings42.bin"/><Relationship Id="rId4" Type="http://schemas.openxmlformats.org/officeDocument/2006/relationships/comments" Target="../comments3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1.xml"/><Relationship Id="rId1" Type="http://schemas.openxmlformats.org/officeDocument/2006/relationships/printerSettings" Target="../printerSettings/printerSettings43.bin"/><Relationship Id="rId4" Type="http://schemas.openxmlformats.org/officeDocument/2006/relationships/comments" Target="../comments3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2.xml"/><Relationship Id="rId1" Type="http://schemas.openxmlformats.org/officeDocument/2006/relationships/printerSettings" Target="../printerSettings/printerSettings44.bin"/><Relationship Id="rId4" Type="http://schemas.openxmlformats.org/officeDocument/2006/relationships/comments" Target="../comments3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3.xml"/><Relationship Id="rId1" Type="http://schemas.openxmlformats.org/officeDocument/2006/relationships/printerSettings" Target="../printerSettings/printerSettings45.bin"/><Relationship Id="rId4" Type="http://schemas.openxmlformats.org/officeDocument/2006/relationships/comments" Target="../comments3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4.xml"/><Relationship Id="rId1" Type="http://schemas.openxmlformats.org/officeDocument/2006/relationships/printerSettings" Target="../printerSettings/printerSettings46.bin"/><Relationship Id="rId4" Type="http://schemas.openxmlformats.org/officeDocument/2006/relationships/comments" Target="../comments3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5.xml"/><Relationship Id="rId1" Type="http://schemas.openxmlformats.org/officeDocument/2006/relationships/printerSettings" Target="../printerSettings/printerSettings47.bin"/><Relationship Id="rId4" Type="http://schemas.openxmlformats.org/officeDocument/2006/relationships/comments" Target="../comments3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6.xml"/><Relationship Id="rId1" Type="http://schemas.openxmlformats.org/officeDocument/2006/relationships/printerSettings" Target="../printerSettings/printerSettings48.bin"/><Relationship Id="rId4" Type="http://schemas.openxmlformats.org/officeDocument/2006/relationships/comments" Target="../comments3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7.xml"/><Relationship Id="rId1" Type="http://schemas.openxmlformats.org/officeDocument/2006/relationships/printerSettings" Target="../printerSettings/printerSettings49.bin"/><Relationship Id="rId4" Type="http://schemas.openxmlformats.org/officeDocument/2006/relationships/comments" Target="../comments3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8.xml"/><Relationship Id="rId1" Type="http://schemas.openxmlformats.org/officeDocument/2006/relationships/printerSettings" Target="../printerSettings/printerSettings50.bin"/><Relationship Id="rId4" Type="http://schemas.openxmlformats.org/officeDocument/2006/relationships/comments" Target="../comments3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9.xml"/><Relationship Id="rId1" Type="http://schemas.openxmlformats.org/officeDocument/2006/relationships/printerSettings" Target="../printerSettings/printerSettings51.bin"/><Relationship Id="rId4" Type="http://schemas.openxmlformats.org/officeDocument/2006/relationships/comments" Target="../comments4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50.xml"/><Relationship Id="rId1" Type="http://schemas.openxmlformats.org/officeDocument/2006/relationships/printerSettings" Target="../printerSettings/printerSettings52.bin"/><Relationship Id="rId4" Type="http://schemas.openxmlformats.org/officeDocument/2006/relationships/comments" Target="../comments4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51.xml"/><Relationship Id="rId1" Type="http://schemas.openxmlformats.org/officeDocument/2006/relationships/printerSettings" Target="../printerSettings/printerSettings53.bin"/><Relationship Id="rId4" Type="http://schemas.openxmlformats.org/officeDocument/2006/relationships/comments" Target="../comments4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2.xml"/><Relationship Id="rId1" Type="http://schemas.openxmlformats.org/officeDocument/2006/relationships/printerSettings" Target="../printerSettings/printerSettings54.bin"/><Relationship Id="rId4" Type="http://schemas.openxmlformats.org/officeDocument/2006/relationships/comments" Target="../comments4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3.xml"/><Relationship Id="rId1" Type="http://schemas.openxmlformats.org/officeDocument/2006/relationships/printerSettings" Target="../printerSettings/printerSettings55.bin"/><Relationship Id="rId4" Type="http://schemas.openxmlformats.org/officeDocument/2006/relationships/comments" Target="../comments4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4.xml"/><Relationship Id="rId1" Type="http://schemas.openxmlformats.org/officeDocument/2006/relationships/printerSettings" Target="../printerSettings/printerSettings56.bin"/><Relationship Id="rId4" Type="http://schemas.openxmlformats.org/officeDocument/2006/relationships/comments" Target="../comments4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5.xml"/><Relationship Id="rId1" Type="http://schemas.openxmlformats.org/officeDocument/2006/relationships/printerSettings" Target="../printerSettings/printerSettings57.bin"/><Relationship Id="rId4" Type="http://schemas.openxmlformats.org/officeDocument/2006/relationships/comments" Target="../comments4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6.xml"/><Relationship Id="rId1" Type="http://schemas.openxmlformats.org/officeDocument/2006/relationships/printerSettings" Target="../printerSettings/printerSettings58.bin"/><Relationship Id="rId4" Type="http://schemas.openxmlformats.org/officeDocument/2006/relationships/comments" Target="../comments4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7.xml"/><Relationship Id="rId1" Type="http://schemas.openxmlformats.org/officeDocument/2006/relationships/printerSettings" Target="../printerSettings/printerSettings59.bin"/><Relationship Id="rId4" Type="http://schemas.openxmlformats.org/officeDocument/2006/relationships/comments" Target="../comments4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8.xml"/><Relationship Id="rId1" Type="http://schemas.openxmlformats.org/officeDocument/2006/relationships/printerSettings" Target="../printerSettings/printerSettings60.bin"/><Relationship Id="rId4" Type="http://schemas.openxmlformats.org/officeDocument/2006/relationships/comments" Target="../comments4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9.xml"/><Relationship Id="rId1" Type="http://schemas.openxmlformats.org/officeDocument/2006/relationships/printerSettings" Target="../printerSettings/printerSettings61.bin"/><Relationship Id="rId4" Type="http://schemas.openxmlformats.org/officeDocument/2006/relationships/comments" Target="../comments5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60.xml"/><Relationship Id="rId1" Type="http://schemas.openxmlformats.org/officeDocument/2006/relationships/printerSettings" Target="../printerSettings/printerSettings62.bin"/><Relationship Id="rId6" Type="http://schemas.openxmlformats.org/officeDocument/2006/relationships/comments" Target="../comments51.xml"/><Relationship Id="rId5" Type="http://schemas.openxmlformats.org/officeDocument/2006/relationships/image" Target="../media/image29.emf"/><Relationship Id="rId4" Type="http://schemas.openxmlformats.org/officeDocument/2006/relationships/control" Target="../activeX/activeX1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61.xml"/><Relationship Id="rId1" Type="http://schemas.openxmlformats.org/officeDocument/2006/relationships/printerSettings" Target="../printerSettings/printerSettings63.bin"/><Relationship Id="rId4" Type="http://schemas.openxmlformats.org/officeDocument/2006/relationships/comments" Target="../comments52.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2.xml"/><Relationship Id="rId1" Type="http://schemas.openxmlformats.org/officeDocument/2006/relationships/printerSettings" Target="../printerSettings/printerSettings64.bin"/><Relationship Id="rId4" Type="http://schemas.openxmlformats.org/officeDocument/2006/relationships/comments" Target="../comments53.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3.xml"/><Relationship Id="rId1" Type="http://schemas.openxmlformats.org/officeDocument/2006/relationships/printerSettings" Target="../printerSettings/printerSettings65.bin"/><Relationship Id="rId4" Type="http://schemas.openxmlformats.org/officeDocument/2006/relationships/comments" Target="../comments54.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64.xml"/><Relationship Id="rId1" Type="http://schemas.openxmlformats.org/officeDocument/2006/relationships/printerSettings" Target="../printerSettings/printerSettings66.bin"/><Relationship Id="rId4" Type="http://schemas.openxmlformats.org/officeDocument/2006/relationships/comments" Target="../comments55.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65.xml"/><Relationship Id="rId1" Type="http://schemas.openxmlformats.org/officeDocument/2006/relationships/printerSettings" Target="../printerSettings/printerSettings67.bin"/><Relationship Id="rId4" Type="http://schemas.openxmlformats.org/officeDocument/2006/relationships/comments" Target="../comments56.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66.xml"/><Relationship Id="rId1" Type="http://schemas.openxmlformats.org/officeDocument/2006/relationships/printerSettings" Target="../printerSettings/printerSettings68.bin"/><Relationship Id="rId4" Type="http://schemas.openxmlformats.org/officeDocument/2006/relationships/comments" Target="../comments57.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7.xml"/><Relationship Id="rId1" Type="http://schemas.openxmlformats.org/officeDocument/2006/relationships/printerSettings" Target="../printerSettings/printerSettings69.bin"/><Relationship Id="rId4" Type="http://schemas.openxmlformats.org/officeDocument/2006/relationships/comments" Target="../comments58.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8.xml"/><Relationship Id="rId1" Type="http://schemas.openxmlformats.org/officeDocument/2006/relationships/printerSettings" Target="../printerSettings/printerSettings70.bin"/><Relationship Id="rId4" Type="http://schemas.openxmlformats.org/officeDocument/2006/relationships/comments" Target="../comments59.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9.xml"/><Relationship Id="rId1" Type="http://schemas.openxmlformats.org/officeDocument/2006/relationships/printerSettings" Target="../printerSettings/printerSettings71.bin"/><Relationship Id="rId4" Type="http://schemas.openxmlformats.org/officeDocument/2006/relationships/comments" Target="../comments60.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70.xml"/><Relationship Id="rId1" Type="http://schemas.openxmlformats.org/officeDocument/2006/relationships/printerSettings" Target="../printerSettings/printerSettings72.bin"/><Relationship Id="rId4" Type="http://schemas.openxmlformats.org/officeDocument/2006/relationships/comments" Target="../comments61.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71.xml"/><Relationship Id="rId1" Type="http://schemas.openxmlformats.org/officeDocument/2006/relationships/printerSettings" Target="../printerSettings/printerSettings73.bin"/><Relationship Id="rId4" Type="http://schemas.openxmlformats.org/officeDocument/2006/relationships/comments" Target="../comments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786" t="s">
        <v>565</v>
      </c>
      <c r="N1" s="1786"/>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90"/>
  <sheetViews>
    <sheetView zoomScale="75" zoomScaleNormal="75" workbookViewId="0">
      <selection activeCell="A2" sqref="A2"/>
    </sheetView>
  </sheetViews>
  <sheetFormatPr defaultRowHeight="12.75" x14ac:dyDescent="0.2"/>
  <cols>
    <col min="1" max="20" width="9.140625" style="1368"/>
    <col min="21" max="22" width="9.140625" style="1380"/>
    <col min="23" max="54" width="9.140625" style="1368"/>
    <col min="55" max="16384" width="9.140625" style="1375"/>
  </cols>
  <sheetData>
    <row r="1" spans="1:64" ht="30" customHeight="1" x14ac:dyDescent="0.2">
      <c r="A1" s="1372" t="s">
        <v>632</v>
      </c>
      <c r="B1" s="1372" t="s">
        <v>1134</v>
      </c>
      <c r="C1" s="1372" t="s">
        <v>1159</v>
      </c>
      <c r="D1" s="1787" t="str">
        <f>IF($BL$1,"Bay Length","Overall Length")</f>
        <v>Bay Length</v>
      </c>
      <c r="E1" s="1788"/>
      <c r="F1" s="1372" t="str">
        <f>IF($BL$1,"L Sect #","TC Width")</f>
        <v>L Sect #</v>
      </c>
      <c r="G1" s="1372" t="str">
        <f>IF($BL$1,"L Min Sup Wid","TCXL Feet")</f>
        <v>L Min Sup Wid</v>
      </c>
      <c r="H1" s="1372" t="str">
        <f>IF($BL$1,"L Max Sup Wid","TCXL Inch")</f>
        <v>L Max Sup Wid</v>
      </c>
      <c r="I1" s="1372" t="str">
        <f>IF($BL$1,"L Min Flg Ga","TCXL Type")</f>
        <v>L Min Flg Ga</v>
      </c>
      <c r="J1" s="1372" t="str">
        <f>IF($BL$1,"L Max Flg Ga","TCXR Feet")</f>
        <v>L Max Flg Ga</v>
      </c>
      <c r="K1" s="1372" t="str">
        <f>IF($BL$1,"L Skew","TCXR Inch")</f>
        <v>L Skew</v>
      </c>
      <c r="L1" s="1372" t="str">
        <f>IF($BL$1,"L Brg Slp","TCXR Type")</f>
        <v>L Brg Slp</v>
      </c>
      <c r="M1" s="1372" t="str">
        <f>IF($BL$1,"R Sect #","BDL")</f>
        <v>R Sect #</v>
      </c>
      <c r="N1" s="1372" t="str">
        <f>IF($BL$1,"R Min Sup Wid","BDR")</f>
        <v>R Min Sup Wid</v>
      </c>
      <c r="O1" s="1372" t="str">
        <f>IF($BL$1,"R Max Sup Wid","BCXL Feet")</f>
        <v>R Max Sup Wid</v>
      </c>
      <c r="P1" s="1372" t="str">
        <f>IF($BL$1,"R Min Flg Ga","BCXL Inch")</f>
        <v>R Min Flg Ga</v>
      </c>
      <c r="Q1" s="1372" t="str">
        <f>IF($BL$1,"R Max Flg Ga","BCXR Feet")</f>
        <v>R Max Flg Ga</v>
      </c>
      <c r="R1" s="1372" t="str">
        <f>IF($BL$1,"R Skew","BCXR Inch")</f>
        <v>R Skew</v>
      </c>
      <c r="S1" s="1372" t="str">
        <f>IF($BL$1,"R Brg Slp","HL Feet")</f>
        <v>R Brg Slp</v>
      </c>
      <c r="T1" s="1372" t="str">
        <f>IF($BL$1,"TC Slope","HL Inch")</f>
        <v>TC Slope</v>
      </c>
      <c r="U1" s="1372" t="str">
        <f>IF($BL$1,"Load Notes","HR Feet")</f>
        <v>Load Notes</v>
      </c>
      <c r="V1" s="1372" t="str">
        <f>IF($BL$1,"Spcl Notes","HR Inch")</f>
        <v>Spcl Notes</v>
      </c>
      <c r="W1" s="1372" t="str">
        <f>IF($BL$1,"# KB","Slot Ga")</f>
        <v># KB</v>
      </c>
      <c r="X1" s="1372" t="str">
        <f>IF($BL$1,"TC Width","L Seat Slp")</f>
        <v>TC Width</v>
      </c>
      <c r="Y1" s="1372" t="str">
        <f>IF($BL$1,"TCL Override","R Seat Slp")</f>
        <v>TCL Override</v>
      </c>
      <c r="Z1" s="1372" t="str">
        <f>IF($BL$1,"TCR Override","Load Notes")</f>
        <v>TCR Override</v>
      </c>
      <c r="AA1" s="1372" t="str">
        <f>IF($BL$1,"L-BL Override","Spcl Notes")</f>
        <v>L-BL Override</v>
      </c>
      <c r="AB1" s="1372" t="str">
        <f>IF($BL$1,"R-BL Override","# KB")</f>
        <v>R-BL Override</v>
      </c>
      <c r="AC1" s="1372" t="str">
        <f>IF($BL$1,"BDL Override","-")</f>
        <v>BDL Override</v>
      </c>
      <c r="AD1" s="1372" t="str">
        <f>IF($BL$1,"BDR Override","-")</f>
        <v>BDR Override</v>
      </c>
      <c r="AE1" s="1373" t="s">
        <v>1161</v>
      </c>
      <c r="AF1" s="1373" t="s">
        <v>1162</v>
      </c>
      <c r="AG1" s="1373" t="s">
        <v>1163</v>
      </c>
      <c r="AH1" s="1373" t="s">
        <v>1164</v>
      </c>
      <c r="AI1" s="1373" t="s">
        <v>1166</v>
      </c>
      <c r="AJ1" s="1373" t="s">
        <v>1165</v>
      </c>
      <c r="AK1" s="1373" t="str">
        <f>IF($BL$1,"Load (Kip)","Panel ""B"" Feet")</f>
        <v>Load (Kip)</v>
      </c>
      <c r="AL1" s="1373" t="str">
        <f>IF($BL$1,"OSHA N/F/B","Panel ""B"" Inch")</f>
        <v>OSHA N/F/B</v>
      </c>
      <c r="AM1" s="1373" t="str">
        <f>IF($BL$1,"Girder TC Ga","Load (Kip)")</f>
        <v>Girder TC Ga</v>
      </c>
      <c r="AN1" s="1373" t="str">
        <f>IF($BL$1,"Jst Hole (x/16)","OSHA N/F/B")</f>
        <v>Jst Hole (x/16)</v>
      </c>
      <c r="AO1" s="1373" t="str">
        <f>IF($BL$1,"Joist Gage","Girder TC Gage")</f>
        <v>Joist Gage</v>
      </c>
      <c r="AP1" s="1373" t="str">
        <f>IF($BL$1,"TC Hole L","Girder TC Hole (x/16)")</f>
        <v>TC Hole L</v>
      </c>
      <c r="AQ1" s="1373" t="str">
        <f>IF($BL$1,"TC Hole R","Joist Gage")</f>
        <v>TC Hole R</v>
      </c>
      <c r="AR1" s="1373" t="str">
        <f>IF($BL$1,"Add Jst#1 Feet","TCHoleL")</f>
        <v>Add Jst#1 Feet</v>
      </c>
      <c r="AS1" s="1373" t="str">
        <f>IF($BL$1,"Add Jst#1 Inch","TC Hole R")</f>
        <v>Add Jst#1 Inch</v>
      </c>
      <c r="AT1" s="1373" t="str">
        <f>IF($BL$1,"Add Jst#1 Load","Add Jst#1 Feet")</f>
        <v>Add Jst#1 Load</v>
      </c>
      <c r="AU1" s="1373" t="str">
        <f>IF($BL$1,"Add Jst#1 Bolt N/F/B","Add Jst#1 inch")</f>
        <v>Add Jst#1 Bolt N/F/B</v>
      </c>
      <c r="AV1" s="1373" t="str">
        <f>IF($BL$1,"Add Jst#2 Feet","Add Jst#1 Load")</f>
        <v>Add Jst#2 Feet</v>
      </c>
      <c r="AW1" s="1373" t="str">
        <f>IF($BL$1,"Add Jst#2 Inch","Add Jst#1 Bolt N/F/B")</f>
        <v>Add Jst#2 Inch</v>
      </c>
      <c r="AX1" s="1373" t="str">
        <f>IF($BL$1,"Add Jst#2 Load","Add Jst#2 Feet")</f>
        <v>Add Jst#2 Load</v>
      </c>
      <c r="AY1" s="1373" t="str">
        <f>IF($BL$1,"Add Jst#2 Bolt N/F/B","Add Jst#2 inch")</f>
        <v>Add Jst#2 Bolt N/F/B</v>
      </c>
      <c r="AZ1" s="1373" t="str">
        <f>IF($BL$1,"Add Jst#3 Feet","Add Jst#2 Load")</f>
        <v>Add Jst#3 Feet</v>
      </c>
      <c r="BA1" s="1373" t="str">
        <f>IF($BL$1,"Add Jst#3 Inch","Add Jst#2 Bolt N/F/B")</f>
        <v>Add Jst#3 Inch</v>
      </c>
      <c r="BB1" s="1373" t="str">
        <f>IF($BL$1,"Add Jst#3 Load","Add Jst#3 Feet")</f>
        <v>Add Jst#3 Load</v>
      </c>
      <c r="BC1" s="1373" t="str">
        <f>IF($BL$1,"Add Jst#3 Bolt N/F/B","Add Jst#3 inch")</f>
        <v>Add Jst#3 Bolt N/F/B</v>
      </c>
      <c r="BD1" s="1373" t="str">
        <f>IF($BL$1,"Add Jst#4 Feet","Add Jst#3 Load")</f>
        <v>Add Jst#4 Feet</v>
      </c>
      <c r="BE1" s="1373" t="str">
        <f>IF($BL$1,"Add Jst#4 Inch","Add Jst#3 Bolt N/F/B")</f>
        <v>Add Jst#4 Inch</v>
      </c>
      <c r="BF1" s="1373" t="str">
        <f>IF($BL$1,"Add Jst#4 Load","Add Jst#4 Feet")</f>
        <v>Add Jst#4 Load</v>
      </c>
      <c r="BG1" s="1373" t="str">
        <f>IF($BL$1,"Add Jst#4 Bolt N/F/B","Add Jst#4 inch")</f>
        <v>Add Jst#4 Bolt N/F/B</v>
      </c>
      <c r="BH1" s="1373" t="str">
        <f>IF($BL$1,"-","Add Jst#4 Load")</f>
        <v>-</v>
      </c>
      <c r="BI1" s="1373" t="str">
        <f>IF($BL$1,"-","Add Jst#4 Bolt N/F/B")</f>
        <v>-</v>
      </c>
      <c r="BJ1" s="1373" t="str">
        <f>IF($BL$1,"# Rows Req'd","# Rows Req'd")</f>
        <v># Rows Req'd</v>
      </c>
      <c r="BK1" s="1374" t="s">
        <v>1191</v>
      </c>
      <c r="BL1" s="1375" t="b">
        <f>'Job Info.'!U4</f>
        <v>1</v>
      </c>
    </row>
    <row r="2" spans="1:64" x14ac:dyDescent="0.2">
      <c r="A2" s="1376" t="s">
        <v>1396</v>
      </c>
      <c r="B2" s="1376">
        <v>1</v>
      </c>
      <c r="C2" s="1376" t="s">
        <v>1702</v>
      </c>
      <c r="D2" s="1377">
        <v>50</v>
      </c>
      <c r="E2" s="1378">
        <v>11</v>
      </c>
      <c r="F2" s="1376">
        <v>6</v>
      </c>
      <c r="G2" s="1379"/>
      <c r="H2" s="1379"/>
      <c r="I2" s="1379"/>
      <c r="J2" s="1379"/>
      <c r="K2" s="1376"/>
      <c r="L2" s="1376"/>
      <c r="M2" s="1376"/>
      <c r="N2" s="1379"/>
      <c r="O2" s="1379"/>
      <c r="P2" s="1379">
        <v>3</v>
      </c>
      <c r="Q2" s="1379"/>
      <c r="R2" s="1376"/>
      <c r="S2" s="1376"/>
      <c r="T2" s="1376"/>
      <c r="U2" s="1380">
        <v>-46</v>
      </c>
      <c r="W2" s="1376"/>
      <c r="X2" s="1376"/>
      <c r="Y2" s="1376"/>
      <c r="Z2" s="1381"/>
      <c r="AA2" s="1379" t="s">
        <v>1703</v>
      </c>
      <c r="AB2" s="1376" t="s">
        <v>1704</v>
      </c>
      <c r="AC2" s="1377"/>
      <c r="AD2" s="1378">
        <v>11.125</v>
      </c>
      <c r="AE2" s="1376" t="s">
        <v>35</v>
      </c>
      <c r="AF2" s="1376">
        <v>4</v>
      </c>
      <c r="AG2" s="1379">
        <v>0</v>
      </c>
      <c r="AH2" s="1376">
        <v>5</v>
      </c>
      <c r="AI2" s="1379">
        <v>8</v>
      </c>
      <c r="AJ2" s="1379">
        <v>0</v>
      </c>
      <c r="AK2" s="1379"/>
      <c r="AL2" s="1382"/>
      <c r="AM2" s="1378">
        <v>5</v>
      </c>
      <c r="AN2" s="1376">
        <v>13</v>
      </c>
      <c r="AO2" s="1376">
        <v>4</v>
      </c>
      <c r="AP2" s="1382"/>
      <c r="AQ2" s="1378"/>
      <c r="AR2" s="1376" t="s">
        <v>1018</v>
      </c>
      <c r="AS2" s="1376" t="s">
        <v>1705</v>
      </c>
      <c r="AT2" s="1382"/>
      <c r="AU2" s="1378" t="s">
        <v>35</v>
      </c>
      <c r="AV2" s="1376" t="s">
        <v>1018</v>
      </c>
      <c r="AW2" s="1376" t="s">
        <v>1706</v>
      </c>
      <c r="AX2" s="1382"/>
      <c r="AY2" s="1378" t="s">
        <v>1707</v>
      </c>
      <c r="AZ2" s="1376"/>
      <c r="BA2" s="1376"/>
      <c r="BB2" s="1383"/>
      <c r="BC2" s="1383"/>
      <c r="BD2" s="1383"/>
      <c r="BE2" s="1383"/>
      <c r="BF2" s="1383"/>
      <c r="BG2" s="1383"/>
      <c r="BH2" s="1383"/>
      <c r="BI2" s="1383"/>
      <c r="BJ2" s="1383">
        <v>1</v>
      </c>
      <c r="BK2" s="1384" t="s">
        <v>1190</v>
      </c>
      <c r="BL2" s="1385">
        <f>SUM(BJ:BJ)</f>
        <v>89</v>
      </c>
    </row>
    <row r="3" spans="1:64" x14ac:dyDescent="0.2">
      <c r="A3" s="1376" t="s">
        <v>1398</v>
      </c>
      <c r="B3" s="1376">
        <v>1</v>
      </c>
      <c r="C3" s="1376" t="s">
        <v>1702</v>
      </c>
      <c r="D3" s="1377">
        <v>51</v>
      </c>
      <c r="E3" s="1378">
        <v>7.5</v>
      </c>
      <c r="F3" s="1376">
        <v>17</v>
      </c>
      <c r="G3" s="1379"/>
      <c r="H3" s="1379"/>
      <c r="I3" s="1379"/>
      <c r="J3" s="1379"/>
      <c r="K3" s="1376"/>
      <c r="L3" s="1376"/>
      <c r="M3" s="1376"/>
      <c r="N3" s="1379"/>
      <c r="O3" s="1379"/>
      <c r="P3" s="1379">
        <v>6</v>
      </c>
      <c r="Q3" s="1379"/>
      <c r="R3" s="1376"/>
      <c r="S3" s="1376"/>
      <c r="T3" s="1376"/>
      <c r="W3" s="1376"/>
      <c r="X3" s="1376"/>
      <c r="Y3" s="1376"/>
      <c r="Z3" s="1381"/>
      <c r="AA3" s="1379">
        <v>8</v>
      </c>
      <c r="AB3" s="1376" t="s">
        <v>113</v>
      </c>
      <c r="AC3" s="1377"/>
      <c r="AD3" s="1378">
        <v>11.125</v>
      </c>
      <c r="AE3" s="1376" t="s">
        <v>35</v>
      </c>
      <c r="AF3" s="1376">
        <v>7</v>
      </c>
      <c r="AG3" s="1379">
        <v>7.5</v>
      </c>
      <c r="AH3" s="1376">
        <v>5</v>
      </c>
      <c r="AI3" s="1379">
        <v>8</v>
      </c>
      <c r="AJ3" s="1379">
        <v>0</v>
      </c>
      <c r="AK3" s="1379"/>
      <c r="AL3" s="1382"/>
      <c r="AM3" s="1378">
        <v>5</v>
      </c>
      <c r="AN3" s="1376">
        <v>13</v>
      </c>
      <c r="AO3" s="1376">
        <v>4</v>
      </c>
      <c r="AP3" s="1382"/>
      <c r="AQ3" s="1378"/>
      <c r="AR3" s="1376" t="s">
        <v>1018</v>
      </c>
      <c r="AS3" s="1376" t="s">
        <v>1706</v>
      </c>
      <c r="AT3" s="1382"/>
      <c r="AU3" s="1378" t="s">
        <v>35</v>
      </c>
      <c r="AV3" s="1376"/>
      <c r="AW3" s="1376"/>
      <c r="AX3" s="1382"/>
      <c r="AY3" s="1378"/>
      <c r="AZ3" s="1376"/>
      <c r="BA3" s="1376"/>
      <c r="BB3" s="1383"/>
      <c r="BC3" s="1383"/>
      <c r="BD3" s="1383"/>
      <c r="BE3" s="1383"/>
      <c r="BF3" s="1383"/>
      <c r="BG3" s="1383"/>
      <c r="BH3" s="1383"/>
      <c r="BI3" s="1383"/>
      <c r="BJ3" s="1383">
        <v>1</v>
      </c>
      <c r="BL3" s="1385"/>
    </row>
    <row r="4" spans="1:64" x14ac:dyDescent="0.2">
      <c r="A4" s="1376" t="s">
        <v>1399</v>
      </c>
      <c r="B4" s="1376">
        <v>1</v>
      </c>
      <c r="C4" s="1376" t="s">
        <v>1702</v>
      </c>
      <c r="D4" s="1377">
        <v>52</v>
      </c>
      <c r="E4" s="1378">
        <v>4.5</v>
      </c>
      <c r="F4" s="1376">
        <v>6</v>
      </c>
      <c r="G4" s="1379"/>
      <c r="H4" s="1379"/>
      <c r="I4" s="1379"/>
      <c r="J4" s="1379"/>
      <c r="K4" s="1376"/>
      <c r="L4" s="1376"/>
      <c r="M4" s="1376"/>
      <c r="N4" s="1379"/>
      <c r="O4" s="1379"/>
      <c r="P4" s="1379">
        <v>17</v>
      </c>
      <c r="Q4" s="1379"/>
      <c r="R4" s="1376"/>
      <c r="S4" s="1376"/>
      <c r="T4" s="1376"/>
      <c r="W4" s="1376"/>
      <c r="X4" s="1376"/>
      <c r="Y4" s="1376"/>
      <c r="Z4" s="1381"/>
      <c r="AA4" s="1379" t="s">
        <v>1708</v>
      </c>
      <c r="AB4" s="1376" t="s">
        <v>158</v>
      </c>
      <c r="AC4" s="1377"/>
      <c r="AD4" s="1378">
        <v>11.125</v>
      </c>
      <c r="AE4" s="1376" t="s">
        <v>35</v>
      </c>
      <c r="AF4" s="1376">
        <v>4</v>
      </c>
      <c r="AG4" s="1379">
        <v>0</v>
      </c>
      <c r="AH4" s="1376">
        <v>5</v>
      </c>
      <c r="AI4" s="1379">
        <v>8</v>
      </c>
      <c r="AJ4" s="1379">
        <v>0</v>
      </c>
      <c r="AK4" s="1379"/>
      <c r="AL4" s="1382"/>
      <c r="AM4" s="1378">
        <v>5</v>
      </c>
      <c r="AN4" s="1376">
        <v>13</v>
      </c>
      <c r="AO4" s="1376">
        <v>4</v>
      </c>
      <c r="AP4" s="1382"/>
      <c r="AQ4" s="1378"/>
      <c r="AR4" s="1376" t="s">
        <v>1018</v>
      </c>
      <c r="AS4" s="1376" t="s">
        <v>1705</v>
      </c>
      <c r="AT4" s="1382"/>
      <c r="AU4" s="1378" t="s">
        <v>35</v>
      </c>
      <c r="AV4" s="1376"/>
      <c r="AW4" s="1376"/>
      <c r="AX4" s="1382"/>
      <c r="AY4" s="1378"/>
      <c r="AZ4" s="1376"/>
      <c r="BA4" s="1376"/>
      <c r="BB4" s="1383"/>
      <c r="BC4" s="1383"/>
      <c r="BD4" s="1383"/>
      <c r="BE4" s="1383"/>
      <c r="BF4" s="1383"/>
      <c r="BG4" s="1383"/>
      <c r="BH4" s="1383"/>
      <c r="BI4" s="1383"/>
      <c r="BJ4" s="1383">
        <v>1</v>
      </c>
    </row>
    <row r="5" spans="1:64" x14ac:dyDescent="0.2">
      <c r="A5" s="1376" t="s">
        <v>1400</v>
      </c>
      <c r="B5" s="1376">
        <v>2</v>
      </c>
      <c r="C5" s="1376" t="s">
        <v>1702</v>
      </c>
      <c r="D5" s="1377">
        <v>52</v>
      </c>
      <c r="E5" s="1378">
        <v>0</v>
      </c>
      <c r="F5" s="1376">
        <v>6</v>
      </c>
      <c r="G5" s="1379"/>
      <c r="H5" s="1379"/>
      <c r="I5" s="1379"/>
      <c r="J5" s="1379"/>
      <c r="K5" s="1376"/>
      <c r="L5" s="1376"/>
      <c r="M5" s="1376"/>
      <c r="N5" s="1379"/>
      <c r="O5" s="1379"/>
      <c r="P5" s="1379">
        <v>6</v>
      </c>
      <c r="Q5" s="1379"/>
      <c r="R5" s="1376"/>
      <c r="S5" s="1376"/>
      <c r="T5" s="1376"/>
      <c r="W5" s="1376"/>
      <c r="X5" s="1376"/>
      <c r="Y5" s="1376"/>
      <c r="Z5" s="1381"/>
      <c r="AA5" s="1379" t="s">
        <v>1709</v>
      </c>
      <c r="AB5" s="1376"/>
      <c r="AC5" s="1377"/>
      <c r="AD5" s="1378">
        <v>11.125</v>
      </c>
      <c r="AE5" s="1376" t="s">
        <v>35</v>
      </c>
      <c r="AF5" s="1376">
        <v>4</v>
      </c>
      <c r="AG5" s="1379">
        <v>0</v>
      </c>
      <c r="AH5" s="1376">
        <v>5</v>
      </c>
      <c r="AI5" s="1379">
        <v>8</v>
      </c>
      <c r="AJ5" s="1379">
        <v>0</v>
      </c>
      <c r="AK5" s="1379"/>
      <c r="AL5" s="1382"/>
      <c r="AM5" s="1378">
        <v>5</v>
      </c>
      <c r="AN5" s="1376">
        <v>13</v>
      </c>
      <c r="AO5" s="1376">
        <v>4</v>
      </c>
      <c r="AP5" s="1382"/>
      <c r="AQ5" s="1378">
        <v>2</v>
      </c>
      <c r="AR5" s="1376" t="s">
        <v>1018</v>
      </c>
      <c r="AS5" s="1376" t="s">
        <v>1705</v>
      </c>
      <c r="AT5" s="1382"/>
      <c r="AU5" s="1378" t="s">
        <v>35</v>
      </c>
      <c r="AV5" s="1376"/>
      <c r="AW5" s="1376"/>
      <c r="AX5" s="1382"/>
      <c r="AY5" s="1378"/>
      <c r="AZ5" s="1376"/>
      <c r="BA5" s="1376"/>
      <c r="BB5" s="1383"/>
      <c r="BC5" s="1383"/>
      <c r="BD5" s="1383"/>
      <c r="BE5" s="1383"/>
      <c r="BF5" s="1383"/>
      <c r="BG5" s="1383"/>
      <c r="BH5" s="1383"/>
      <c r="BI5" s="1383"/>
      <c r="BJ5" s="1383">
        <v>1</v>
      </c>
    </row>
    <row r="6" spans="1:64" x14ac:dyDescent="0.2">
      <c r="A6" s="1376" t="s">
        <v>1401</v>
      </c>
      <c r="B6" s="1376">
        <v>2</v>
      </c>
      <c r="C6" s="1376" t="s">
        <v>1702</v>
      </c>
      <c r="D6" s="1377">
        <v>52</v>
      </c>
      <c r="E6" s="1378">
        <v>0</v>
      </c>
      <c r="F6" s="1376">
        <v>6</v>
      </c>
      <c r="G6" s="1379"/>
      <c r="H6" s="1379"/>
      <c r="I6" s="1379"/>
      <c r="J6" s="1379"/>
      <c r="K6" s="1376"/>
      <c r="L6" s="1376"/>
      <c r="M6" s="1376"/>
      <c r="N6" s="1379"/>
      <c r="O6" s="1379"/>
      <c r="P6" s="1379">
        <v>6</v>
      </c>
      <c r="Q6" s="1379"/>
      <c r="R6" s="1376"/>
      <c r="S6" s="1376"/>
      <c r="T6" s="1376"/>
      <c r="W6" s="1376"/>
      <c r="X6" s="1376"/>
      <c r="Y6" s="1376"/>
      <c r="Z6" s="1381"/>
      <c r="AA6" s="1379" t="s">
        <v>1710</v>
      </c>
      <c r="AB6" s="1376"/>
      <c r="AC6" s="1377"/>
      <c r="AD6" s="1378">
        <v>11.125</v>
      </c>
      <c r="AE6" s="1376" t="s">
        <v>35</v>
      </c>
      <c r="AF6" s="1376">
        <v>8</v>
      </c>
      <c r="AG6" s="1379">
        <v>0</v>
      </c>
      <c r="AH6" s="1376">
        <v>5</v>
      </c>
      <c r="AI6" s="1379">
        <v>8</v>
      </c>
      <c r="AJ6" s="1379">
        <v>0</v>
      </c>
      <c r="AK6" s="1379"/>
      <c r="AL6" s="1382"/>
      <c r="AM6" s="1378">
        <v>5</v>
      </c>
      <c r="AN6" s="1376">
        <v>13</v>
      </c>
      <c r="AO6" s="1376">
        <v>4</v>
      </c>
      <c r="AP6" s="1382">
        <v>2</v>
      </c>
      <c r="AQ6" s="1378"/>
      <c r="AR6" s="1376" t="s">
        <v>1018</v>
      </c>
      <c r="AS6" s="1376" t="s">
        <v>1706</v>
      </c>
      <c r="AT6" s="1382"/>
      <c r="AU6" s="1378" t="s">
        <v>35</v>
      </c>
      <c r="AV6" s="1376"/>
      <c r="AW6" s="1376"/>
      <c r="AX6" s="1382"/>
      <c r="AY6" s="1378"/>
      <c r="AZ6" s="1376"/>
      <c r="BA6" s="1376"/>
      <c r="BB6" s="1383"/>
      <c r="BC6" s="1383"/>
      <c r="BD6" s="1383"/>
      <c r="BE6" s="1383"/>
      <c r="BF6" s="1383"/>
      <c r="BG6" s="1383"/>
      <c r="BH6" s="1383"/>
      <c r="BI6" s="1383"/>
      <c r="BJ6" s="1383">
        <v>1</v>
      </c>
    </row>
    <row r="7" spans="1:64" x14ac:dyDescent="0.2">
      <c r="A7" s="1376" t="s">
        <v>1402</v>
      </c>
      <c r="B7" s="1376">
        <v>2</v>
      </c>
      <c r="C7" s="1376" t="s">
        <v>1702</v>
      </c>
      <c r="D7" s="1377">
        <v>52</v>
      </c>
      <c r="E7" s="1378">
        <v>0</v>
      </c>
      <c r="F7" s="1376">
        <v>6</v>
      </c>
      <c r="G7" s="1379"/>
      <c r="H7" s="1379"/>
      <c r="I7" s="1379"/>
      <c r="J7" s="1379"/>
      <c r="K7" s="1376"/>
      <c r="L7" s="1376"/>
      <c r="M7" s="1376"/>
      <c r="N7" s="1379"/>
      <c r="O7" s="1379"/>
      <c r="P7" s="1379">
        <v>6</v>
      </c>
      <c r="Q7" s="1379"/>
      <c r="R7" s="1376"/>
      <c r="S7" s="1376"/>
      <c r="T7" s="1376"/>
      <c r="W7" s="1376"/>
      <c r="X7" s="1376"/>
      <c r="Y7" s="1376"/>
      <c r="Z7" s="1381"/>
      <c r="AA7" s="1379">
        <v>8</v>
      </c>
      <c r="AB7" s="1376"/>
      <c r="AC7" s="1377"/>
      <c r="AD7" s="1378">
        <v>11.125</v>
      </c>
      <c r="AE7" s="1376" t="s">
        <v>35</v>
      </c>
      <c r="AF7" s="1376">
        <v>4</v>
      </c>
      <c r="AG7" s="1379">
        <v>0</v>
      </c>
      <c r="AH7" s="1376">
        <v>5</v>
      </c>
      <c r="AI7" s="1379">
        <v>8</v>
      </c>
      <c r="AJ7" s="1379">
        <v>0</v>
      </c>
      <c r="AK7" s="1379"/>
      <c r="AL7" s="1382"/>
      <c r="AM7" s="1378">
        <v>5</v>
      </c>
      <c r="AN7" s="1376">
        <v>13</v>
      </c>
      <c r="AO7" s="1376">
        <v>4</v>
      </c>
      <c r="AP7" s="1382"/>
      <c r="AQ7" s="1378">
        <v>2</v>
      </c>
      <c r="AR7" s="1376" t="s">
        <v>1018</v>
      </c>
      <c r="AS7" s="1376" t="s">
        <v>1705</v>
      </c>
      <c r="AT7" s="1382"/>
      <c r="AU7" s="1378" t="s">
        <v>35</v>
      </c>
      <c r="AV7" s="1376"/>
      <c r="AW7" s="1376"/>
      <c r="AX7" s="1382"/>
      <c r="AY7" s="1378"/>
      <c r="AZ7" s="1376"/>
      <c r="BA7" s="1376"/>
      <c r="BB7" s="1383"/>
      <c r="BC7" s="1383"/>
      <c r="BD7" s="1383"/>
      <c r="BE7" s="1383"/>
      <c r="BF7" s="1383"/>
      <c r="BG7" s="1383"/>
      <c r="BH7" s="1383"/>
      <c r="BI7" s="1383"/>
      <c r="BJ7" s="1383">
        <v>1</v>
      </c>
    </row>
    <row r="8" spans="1:64" x14ac:dyDescent="0.2">
      <c r="A8" s="1376" t="s">
        <v>1403</v>
      </c>
      <c r="B8" s="1376">
        <v>2</v>
      </c>
      <c r="C8" s="1376" t="s">
        <v>1702</v>
      </c>
      <c r="D8" s="1377">
        <v>52</v>
      </c>
      <c r="E8" s="1378">
        <v>0</v>
      </c>
      <c r="F8" s="1376">
        <v>6</v>
      </c>
      <c r="G8" s="1379"/>
      <c r="H8" s="1379"/>
      <c r="I8" s="1379"/>
      <c r="J8" s="1379"/>
      <c r="K8" s="1376"/>
      <c r="L8" s="1376"/>
      <c r="M8" s="1376"/>
      <c r="N8" s="1379"/>
      <c r="O8" s="1379"/>
      <c r="P8" s="1379">
        <v>6</v>
      </c>
      <c r="Q8" s="1379"/>
      <c r="R8" s="1376"/>
      <c r="S8" s="1376"/>
      <c r="T8" s="1376"/>
      <c r="W8" s="1376"/>
      <c r="X8" s="1376"/>
      <c r="Y8" s="1376"/>
      <c r="Z8" s="1381"/>
      <c r="AA8" s="1379">
        <v>8</v>
      </c>
      <c r="AB8" s="1376"/>
      <c r="AC8" s="1377"/>
      <c r="AD8" s="1378">
        <v>11.125</v>
      </c>
      <c r="AE8" s="1376" t="s">
        <v>35</v>
      </c>
      <c r="AF8" s="1376">
        <v>8</v>
      </c>
      <c r="AG8" s="1379">
        <v>0</v>
      </c>
      <c r="AH8" s="1376">
        <v>5</v>
      </c>
      <c r="AI8" s="1379">
        <v>8</v>
      </c>
      <c r="AJ8" s="1379">
        <v>0</v>
      </c>
      <c r="AK8" s="1379"/>
      <c r="AL8" s="1382"/>
      <c r="AM8" s="1378">
        <v>5</v>
      </c>
      <c r="AN8" s="1376">
        <v>13</v>
      </c>
      <c r="AO8" s="1376">
        <v>4</v>
      </c>
      <c r="AP8" s="1382">
        <v>2</v>
      </c>
      <c r="AQ8" s="1378"/>
      <c r="AR8" s="1376" t="s">
        <v>1018</v>
      </c>
      <c r="AS8" s="1376" t="s">
        <v>1706</v>
      </c>
      <c r="AT8" s="1382"/>
      <c r="AU8" s="1378" t="s">
        <v>35</v>
      </c>
      <c r="AV8" s="1376"/>
      <c r="AW8" s="1376"/>
      <c r="AX8" s="1382"/>
      <c r="AY8" s="1378"/>
      <c r="AZ8" s="1376"/>
      <c r="BA8" s="1376"/>
      <c r="BB8" s="1383"/>
      <c r="BC8" s="1383"/>
      <c r="BD8" s="1383"/>
      <c r="BE8" s="1383"/>
      <c r="BF8" s="1383"/>
      <c r="BG8" s="1383"/>
      <c r="BH8" s="1383"/>
      <c r="BI8" s="1383"/>
      <c r="BJ8" s="1383">
        <v>1</v>
      </c>
    </row>
    <row r="9" spans="1:64" x14ac:dyDescent="0.2">
      <c r="A9" s="1376" t="s">
        <v>1404</v>
      </c>
      <c r="B9" s="1376">
        <v>1</v>
      </c>
      <c r="C9" s="1376" t="s">
        <v>1702</v>
      </c>
      <c r="D9" s="1377">
        <v>52</v>
      </c>
      <c r="E9" s="1378">
        <v>0</v>
      </c>
      <c r="F9" s="1376">
        <v>6</v>
      </c>
      <c r="G9" s="1379"/>
      <c r="H9" s="1379"/>
      <c r="I9" s="1379"/>
      <c r="J9" s="1379"/>
      <c r="K9" s="1376"/>
      <c r="L9" s="1376"/>
      <c r="M9" s="1376"/>
      <c r="N9" s="1379"/>
      <c r="O9" s="1379"/>
      <c r="P9" s="1379">
        <v>11</v>
      </c>
      <c r="Q9" s="1379"/>
      <c r="R9" s="1376"/>
      <c r="S9" s="1376"/>
      <c r="T9" s="1376"/>
      <c r="W9" s="1376"/>
      <c r="X9" s="1376"/>
      <c r="Y9" s="1376"/>
      <c r="Z9" s="1381"/>
      <c r="AA9" s="1379" t="s">
        <v>1711</v>
      </c>
      <c r="AB9" s="1376" t="s">
        <v>34</v>
      </c>
      <c r="AC9" s="1377"/>
      <c r="AD9" s="1378">
        <v>11.125</v>
      </c>
      <c r="AE9" s="1376" t="s">
        <v>35</v>
      </c>
      <c r="AF9" s="1376">
        <v>8</v>
      </c>
      <c r="AG9" s="1379">
        <v>0</v>
      </c>
      <c r="AH9" s="1376">
        <v>5</v>
      </c>
      <c r="AI9" s="1379">
        <v>8</v>
      </c>
      <c r="AJ9" s="1379">
        <v>0</v>
      </c>
      <c r="AK9" s="1379"/>
      <c r="AL9" s="1382"/>
      <c r="AM9" s="1378">
        <v>5</v>
      </c>
      <c r="AN9" s="1376">
        <v>13</v>
      </c>
      <c r="AO9" s="1376">
        <v>4</v>
      </c>
      <c r="AP9" s="1382">
        <v>2</v>
      </c>
      <c r="AQ9" s="1378"/>
      <c r="AR9" s="1376"/>
      <c r="AS9" s="1376"/>
      <c r="AT9" s="1382"/>
      <c r="AU9" s="1378"/>
      <c r="AV9" s="1376"/>
      <c r="AW9" s="1376"/>
      <c r="AX9" s="1382"/>
      <c r="AY9" s="1378"/>
      <c r="AZ9" s="1376"/>
      <c r="BA9" s="1376"/>
      <c r="BB9" s="1383"/>
      <c r="BC9" s="1383"/>
      <c r="BD9" s="1383"/>
      <c r="BE9" s="1383"/>
      <c r="BF9" s="1383"/>
      <c r="BG9" s="1383"/>
      <c r="BH9" s="1383"/>
      <c r="BI9" s="1383"/>
      <c r="BJ9" s="1383">
        <v>1</v>
      </c>
    </row>
    <row r="10" spans="1:64" x14ac:dyDescent="0.2">
      <c r="A10" s="1376" t="s">
        <v>1405</v>
      </c>
      <c r="B10" s="1376">
        <v>1</v>
      </c>
      <c r="C10" s="1376" t="s">
        <v>1702</v>
      </c>
      <c r="D10" s="1377">
        <v>52</v>
      </c>
      <c r="E10" s="1378">
        <v>0</v>
      </c>
      <c r="F10" s="1376">
        <v>6</v>
      </c>
      <c r="G10" s="1379"/>
      <c r="H10" s="1379"/>
      <c r="I10" s="1379"/>
      <c r="J10" s="1379"/>
      <c r="K10" s="1376"/>
      <c r="L10" s="1376"/>
      <c r="M10" s="1376"/>
      <c r="N10" s="1379"/>
      <c r="O10" s="1379"/>
      <c r="P10" s="1379">
        <v>11</v>
      </c>
      <c r="Q10" s="1379"/>
      <c r="R10" s="1376"/>
      <c r="S10" s="1376"/>
      <c r="T10" s="1376"/>
      <c r="W10" s="1376"/>
      <c r="X10" s="1376"/>
      <c r="Y10" s="1376"/>
      <c r="Z10" s="1381"/>
      <c r="AA10" s="1379" t="s">
        <v>1712</v>
      </c>
      <c r="AB10" s="1376"/>
      <c r="AC10" s="1377"/>
      <c r="AD10" s="1378">
        <v>11.125</v>
      </c>
      <c r="AE10" s="1376" t="s">
        <v>35</v>
      </c>
      <c r="AF10" s="1376">
        <v>8</v>
      </c>
      <c r="AG10" s="1379">
        <v>0</v>
      </c>
      <c r="AH10" s="1376">
        <v>5</v>
      </c>
      <c r="AI10" s="1379">
        <v>8</v>
      </c>
      <c r="AJ10" s="1379">
        <v>0</v>
      </c>
      <c r="AK10" s="1379"/>
      <c r="AL10" s="1382"/>
      <c r="AM10" s="1378">
        <v>5</v>
      </c>
      <c r="AN10" s="1376">
        <v>13</v>
      </c>
      <c r="AO10" s="1376">
        <v>4</v>
      </c>
      <c r="AP10" s="1382">
        <v>2</v>
      </c>
      <c r="AQ10" s="1378"/>
      <c r="AR10" s="1376"/>
      <c r="AS10" s="1376"/>
      <c r="AT10" s="1382"/>
      <c r="AU10" s="1378"/>
      <c r="AV10" s="1376"/>
      <c r="AW10" s="1376"/>
      <c r="AX10" s="1382"/>
      <c r="AY10" s="1378"/>
      <c r="AZ10" s="1376"/>
      <c r="BA10" s="1376"/>
      <c r="BB10" s="1383"/>
      <c r="BC10" s="1383"/>
      <c r="BD10" s="1383"/>
      <c r="BE10" s="1383"/>
      <c r="BF10" s="1383"/>
      <c r="BG10" s="1383"/>
      <c r="BH10" s="1383"/>
      <c r="BI10" s="1383"/>
      <c r="BJ10" s="1383">
        <v>1</v>
      </c>
    </row>
    <row r="11" spans="1:64" x14ac:dyDescent="0.2">
      <c r="A11" s="1376" t="s">
        <v>1406</v>
      </c>
      <c r="B11" s="1376">
        <v>1</v>
      </c>
      <c r="C11" s="1376" t="s">
        <v>1702</v>
      </c>
      <c r="D11" s="1377">
        <v>52</v>
      </c>
      <c r="E11" s="1378">
        <v>0</v>
      </c>
      <c r="F11" s="1376">
        <v>6</v>
      </c>
      <c r="G11" s="1379"/>
      <c r="H11" s="1379"/>
      <c r="I11" s="1379"/>
      <c r="J11" s="1379"/>
      <c r="K11" s="1376"/>
      <c r="L11" s="1376"/>
      <c r="M11" s="1376"/>
      <c r="N11" s="1379"/>
      <c r="O11" s="1379"/>
      <c r="P11" s="1379">
        <v>6</v>
      </c>
      <c r="Q11" s="1379"/>
      <c r="R11" s="1376"/>
      <c r="S11" s="1376"/>
      <c r="T11" s="1376"/>
      <c r="W11" s="1376"/>
      <c r="X11" s="1376"/>
      <c r="Y11" s="1376"/>
      <c r="Z11" s="1381"/>
      <c r="AA11" s="1379" t="s">
        <v>1710</v>
      </c>
      <c r="AB11" s="1376"/>
      <c r="AC11" s="1377"/>
      <c r="AD11" s="1378">
        <v>11.125</v>
      </c>
      <c r="AE11" s="1376" t="s">
        <v>35</v>
      </c>
      <c r="AF11" s="1376">
        <v>4</v>
      </c>
      <c r="AG11" s="1379">
        <v>0</v>
      </c>
      <c r="AH11" s="1376">
        <v>5</v>
      </c>
      <c r="AI11" s="1379">
        <v>8</v>
      </c>
      <c r="AJ11" s="1379">
        <v>0</v>
      </c>
      <c r="AK11" s="1379"/>
      <c r="AL11" s="1382"/>
      <c r="AM11" s="1378">
        <v>5</v>
      </c>
      <c r="AN11" s="1376">
        <v>13</v>
      </c>
      <c r="AO11" s="1376">
        <v>4</v>
      </c>
      <c r="AP11" s="1382"/>
      <c r="AQ11" s="1378">
        <v>2</v>
      </c>
      <c r="AR11" s="1376" t="s">
        <v>1018</v>
      </c>
      <c r="AS11" s="1376" t="s">
        <v>1705</v>
      </c>
      <c r="AT11" s="1382"/>
      <c r="AU11" s="1378" t="s">
        <v>35</v>
      </c>
      <c r="AV11" s="1376"/>
      <c r="AW11" s="1376"/>
      <c r="AX11" s="1382"/>
      <c r="AY11" s="1378"/>
      <c r="AZ11" s="1376"/>
      <c r="BA11" s="1376"/>
      <c r="BB11" s="1383"/>
      <c r="BC11" s="1383"/>
      <c r="BD11" s="1383"/>
      <c r="BE11" s="1383"/>
      <c r="BF11" s="1383"/>
      <c r="BG11" s="1383"/>
      <c r="BH11" s="1383"/>
      <c r="BI11" s="1383"/>
      <c r="BJ11" s="1383">
        <v>1</v>
      </c>
    </row>
    <row r="12" spans="1:64" x14ac:dyDescent="0.2">
      <c r="A12" s="1376" t="s">
        <v>1407</v>
      </c>
      <c r="B12" s="1376">
        <v>2</v>
      </c>
      <c r="C12" s="1376" t="s">
        <v>1702</v>
      </c>
      <c r="D12" s="1377">
        <v>52</v>
      </c>
      <c r="E12" s="1378">
        <v>0</v>
      </c>
      <c r="F12" s="1376">
        <v>6</v>
      </c>
      <c r="G12" s="1379"/>
      <c r="H12" s="1379"/>
      <c r="I12" s="1379"/>
      <c r="J12" s="1379"/>
      <c r="K12" s="1376"/>
      <c r="L12" s="1376"/>
      <c r="M12" s="1376"/>
      <c r="N12" s="1379"/>
      <c r="O12" s="1379"/>
      <c r="P12" s="1379">
        <v>6</v>
      </c>
      <c r="Q12" s="1379"/>
      <c r="R12" s="1376"/>
      <c r="S12" s="1376"/>
      <c r="T12" s="1376"/>
      <c r="W12" s="1376"/>
      <c r="X12" s="1376"/>
      <c r="Y12" s="1376"/>
      <c r="Z12" s="1381"/>
      <c r="AA12" s="1379">
        <v>9</v>
      </c>
      <c r="AB12" s="1376"/>
      <c r="AC12" s="1377"/>
      <c r="AD12" s="1378">
        <v>11.125</v>
      </c>
      <c r="AE12" s="1376" t="s">
        <v>35</v>
      </c>
      <c r="AF12" s="1376">
        <v>8</v>
      </c>
      <c r="AG12" s="1379">
        <v>0</v>
      </c>
      <c r="AH12" s="1376">
        <v>5</v>
      </c>
      <c r="AI12" s="1379">
        <v>8</v>
      </c>
      <c r="AJ12" s="1379">
        <v>0</v>
      </c>
      <c r="AK12" s="1379"/>
      <c r="AL12" s="1382"/>
      <c r="AM12" s="1378">
        <v>5</v>
      </c>
      <c r="AN12" s="1376">
        <v>13</v>
      </c>
      <c r="AO12" s="1376">
        <v>4</v>
      </c>
      <c r="AP12" s="1382">
        <v>2</v>
      </c>
      <c r="AQ12" s="1378"/>
      <c r="AR12" s="1376" t="s">
        <v>1018</v>
      </c>
      <c r="AS12" s="1376" t="s">
        <v>1706</v>
      </c>
      <c r="AT12" s="1382"/>
      <c r="AU12" s="1378" t="s">
        <v>35</v>
      </c>
      <c r="AV12" s="1376"/>
      <c r="AW12" s="1376"/>
      <c r="AX12" s="1382"/>
      <c r="AY12" s="1378"/>
      <c r="AZ12" s="1376"/>
      <c r="BA12" s="1376"/>
      <c r="BB12" s="1383"/>
      <c r="BC12" s="1383"/>
      <c r="BD12" s="1383"/>
      <c r="BE12" s="1383"/>
      <c r="BF12" s="1383"/>
      <c r="BG12" s="1383"/>
      <c r="BH12" s="1383"/>
      <c r="BI12" s="1383"/>
      <c r="BJ12" s="1383">
        <v>1</v>
      </c>
    </row>
    <row r="13" spans="1:64" x14ac:dyDescent="0.2">
      <c r="A13" s="1376" t="s">
        <v>1408</v>
      </c>
      <c r="B13" s="1376">
        <v>2</v>
      </c>
      <c r="C13" s="1376" t="s">
        <v>1702</v>
      </c>
      <c r="D13" s="1377">
        <v>52</v>
      </c>
      <c r="E13" s="1378">
        <v>0</v>
      </c>
      <c r="F13" s="1376">
        <v>6</v>
      </c>
      <c r="G13" s="1379"/>
      <c r="H13" s="1379"/>
      <c r="I13" s="1379"/>
      <c r="J13" s="1379"/>
      <c r="K13" s="1376"/>
      <c r="L13" s="1376"/>
      <c r="M13" s="1376"/>
      <c r="N13" s="1379"/>
      <c r="O13" s="1379"/>
      <c r="P13" s="1379">
        <v>6</v>
      </c>
      <c r="Q13" s="1379"/>
      <c r="R13" s="1376"/>
      <c r="S13" s="1376"/>
      <c r="T13" s="1376"/>
      <c r="W13" s="1376"/>
      <c r="X13" s="1376"/>
      <c r="Y13" s="1376"/>
      <c r="Z13" s="1381"/>
      <c r="AA13" s="1379">
        <v>9</v>
      </c>
      <c r="AB13" s="1376"/>
      <c r="AC13" s="1377"/>
      <c r="AD13" s="1378">
        <v>11.125</v>
      </c>
      <c r="AE13" s="1376" t="s">
        <v>35</v>
      </c>
      <c r="AF13" s="1376">
        <v>4</v>
      </c>
      <c r="AG13" s="1379">
        <v>0</v>
      </c>
      <c r="AH13" s="1376">
        <v>5</v>
      </c>
      <c r="AI13" s="1379">
        <v>8</v>
      </c>
      <c r="AJ13" s="1379">
        <v>0</v>
      </c>
      <c r="AK13" s="1379"/>
      <c r="AL13" s="1382"/>
      <c r="AM13" s="1378">
        <v>5</v>
      </c>
      <c r="AN13" s="1376">
        <v>13</v>
      </c>
      <c r="AO13" s="1376">
        <v>4</v>
      </c>
      <c r="AP13" s="1382"/>
      <c r="AQ13" s="1378">
        <v>2</v>
      </c>
      <c r="AR13" s="1376" t="s">
        <v>1018</v>
      </c>
      <c r="AS13" s="1376" t="s">
        <v>1705</v>
      </c>
      <c r="AT13" s="1382"/>
      <c r="AU13" s="1378" t="s">
        <v>35</v>
      </c>
      <c r="AV13" s="1376"/>
      <c r="AW13" s="1376"/>
      <c r="AX13" s="1382"/>
      <c r="AY13" s="1378"/>
      <c r="AZ13" s="1376"/>
      <c r="BA13" s="1376"/>
      <c r="BB13" s="1383"/>
      <c r="BC13" s="1383"/>
      <c r="BD13" s="1383"/>
      <c r="BE13" s="1383"/>
      <c r="BF13" s="1383"/>
      <c r="BG13" s="1383"/>
      <c r="BH13" s="1383"/>
      <c r="BI13" s="1383"/>
      <c r="BJ13" s="1383">
        <v>1</v>
      </c>
    </row>
    <row r="14" spans="1:64" x14ac:dyDescent="0.2">
      <c r="A14" s="1376" t="s">
        <v>1409</v>
      </c>
      <c r="B14" s="1376">
        <v>2</v>
      </c>
      <c r="C14" s="1376" t="s">
        <v>1702</v>
      </c>
      <c r="D14" s="1377">
        <v>52</v>
      </c>
      <c r="E14" s="1378">
        <v>0</v>
      </c>
      <c r="F14" s="1376">
        <v>6</v>
      </c>
      <c r="G14" s="1379"/>
      <c r="H14" s="1379"/>
      <c r="I14" s="1379"/>
      <c r="J14" s="1379"/>
      <c r="K14" s="1376"/>
      <c r="L14" s="1376"/>
      <c r="M14" s="1376"/>
      <c r="N14" s="1379"/>
      <c r="O14" s="1379"/>
      <c r="P14" s="1379">
        <v>6</v>
      </c>
      <c r="Q14" s="1379"/>
      <c r="R14" s="1376"/>
      <c r="S14" s="1376"/>
      <c r="T14" s="1376"/>
      <c r="W14" s="1376"/>
      <c r="X14" s="1376"/>
      <c r="Y14" s="1376"/>
      <c r="Z14" s="1381"/>
      <c r="AA14" s="1379" t="s">
        <v>1713</v>
      </c>
      <c r="AB14" s="1376"/>
      <c r="AC14" s="1377"/>
      <c r="AD14" s="1378">
        <v>11.125</v>
      </c>
      <c r="AE14" s="1376" t="s">
        <v>35</v>
      </c>
      <c r="AF14" s="1376">
        <v>8</v>
      </c>
      <c r="AG14" s="1379">
        <v>0</v>
      </c>
      <c r="AH14" s="1376">
        <v>5</v>
      </c>
      <c r="AI14" s="1379">
        <v>8</v>
      </c>
      <c r="AJ14" s="1379">
        <v>0</v>
      </c>
      <c r="AK14" s="1379"/>
      <c r="AL14" s="1382"/>
      <c r="AM14" s="1378">
        <v>5</v>
      </c>
      <c r="AN14" s="1376">
        <v>13</v>
      </c>
      <c r="AO14" s="1376">
        <v>4</v>
      </c>
      <c r="AP14" s="1382">
        <v>2</v>
      </c>
      <c r="AQ14" s="1378"/>
      <c r="AR14" s="1376" t="s">
        <v>1018</v>
      </c>
      <c r="AS14" s="1376" t="s">
        <v>1706</v>
      </c>
      <c r="AT14" s="1382"/>
      <c r="AU14" s="1378" t="s">
        <v>35</v>
      </c>
      <c r="AV14" s="1376"/>
      <c r="AW14" s="1376"/>
      <c r="AX14" s="1382"/>
      <c r="AY14" s="1378"/>
      <c r="AZ14" s="1376"/>
      <c r="BA14" s="1376"/>
      <c r="BB14" s="1383"/>
      <c r="BC14" s="1383"/>
      <c r="BD14" s="1383"/>
      <c r="BE14" s="1383"/>
      <c r="BF14" s="1383"/>
      <c r="BG14" s="1383"/>
      <c r="BH14" s="1383"/>
      <c r="BI14" s="1383"/>
      <c r="BJ14" s="1383">
        <v>1</v>
      </c>
    </row>
    <row r="15" spans="1:64" x14ac:dyDescent="0.2">
      <c r="A15" s="1376" t="s">
        <v>1410</v>
      </c>
      <c r="B15" s="1376">
        <v>1</v>
      </c>
      <c r="C15" s="1376" t="s">
        <v>1702</v>
      </c>
      <c r="D15" s="1377">
        <v>52</v>
      </c>
      <c r="E15" s="1378">
        <v>0</v>
      </c>
      <c r="F15" s="1376">
        <v>6</v>
      </c>
      <c r="G15" s="1379"/>
      <c r="H15" s="1379"/>
      <c r="I15" s="1379"/>
      <c r="J15" s="1379"/>
      <c r="K15" s="1376"/>
      <c r="L15" s="1376"/>
      <c r="M15" s="1376"/>
      <c r="N15" s="1379"/>
      <c r="O15" s="1379"/>
      <c r="P15" s="1379">
        <v>6</v>
      </c>
      <c r="Q15" s="1379"/>
      <c r="R15" s="1376"/>
      <c r="S15" s="1376"/>
      <c r="T15" s="1376"/>
      <c r="W15" s="1376"/>
      <c r="X15" s="1376"/>
      <c r="Y15" s="1376"/>
      <c r="Z15" s="1381"/>
      <c r="AA15" s="1379" t="s">
        <v>1713</v>
      </c>
      <c r="AB15" s="1376" t="s">
        <v>34</v>
      </c>
      <c r="AC15" s="1377"/>
      <c r="AD15" s="1378">
        <v>11.125</v>
      </c>
      <c r="AE15" s="1376" t="s">
        <v>35</v>
      </c>
      <c r="AF15" s="1376">
        <v>4</v>
      </c>
      <c r="AG15" s="1379">
        <v>0</v>
      </c>
      <c r="AH15" s="1376">
        <v>5</v>
      </c>
      <c r="AI15" s="1379">
        <v>8</v>
      </c>
      <c r="AJ15" s="1379">
        <v>0</v>
      </c>
      <c r="AK15" s="1379"/>
      <c r="AL15" s="1382"/>
      <c r="AM15" s="1378">
        <v>5</v>
      </c>
      <c r="AN15" s="1376">
        <v>13</v>
      </c>
      <c r="AO15" s="1376">
        <v>4</v>
      </c>
      <c r="AP15" s="1382"/>
      <c r="AQ15" s="1378">
        <v>2</v>
      </c>
      <c r="AR15" s="1376" t="s">
        <v>1018</v>
      </c>
      <c r="AS15" s="1376" t="s">
        <v>1705</v>
      </c>
      <c r="AT15" s="1382"/>
      <c r="AU15" s="1378" t="s">
        <v>35</v>
      </c>
      <c r="AV15" s="1376"/>
      <c r="AW15" s="1376"/>
      <c r="AX15" s="1382"/>
      <c r="AY15" s="1378"/>
      <c r="AZ15" s="1376"/>
      <c r="BA15" s="1376"/>
      <c r="BB15" s="1383"/>
      <c r="BC15" s="1383"/>
      <c r="BD15" s="1383"/>
      <c r="BE15" s="1383"/>
      <c r="BF15" s="1383"/>
      <c r="BG15" s="1383"/>
      <c r="BH15" s="1383"/>
      <c r="BI15" s="1383"/>
      <c r="BJ15" s="1383">
        <v>1</v>
      </c>
    </row>
    <row r="16" spans="1:64" x14ac:dyDescent="0.2">
      <c r="A16" s="1376" t="s">
        <v>1411</v>
      </c>
      <c r="B16" s="1376">
        <v>1</v>
      </c>
      <c r="C16" s="1376" t="s">
        <v>1702</v>
      </c>
      <c r="D16" s="1377">
        <v>51</v>
      </c>
      <c r="E16" s="1378">
        <v>3</v>
      </c>
      <c r="F16" s="1376">
        <v>6</v>
      </c>
      <c r="G16" s="1379"/>
      <c r="H16" s="1379"/>
      <c r="I16" s="1379"/>
      <c r="J16" s="1379"/>
      <c r="K16" s="1376"/>
      <c r="L16" s="1376"/>
      <c r="M16" s="1376"/>
      <c r="N16" s="1379"/>
      <c r="O16" s="1379"/>
      <c r="P16" s="1379">
        <v>2</v>
      </c>
      <c r="Q16" s="1379"/>
      <c r="R16" s="1376"/>
      <c r="S16" s="1376"/>
      <c r="T16" s="1376"/>
      <c r="W16" s="1376"/>
      <c r="X16" s="1376"/>
      <c r="Y16" s="1376"/>
      <c r="Z16" s="1381"/>
      <c r="AA16" s="1379" t="s">
        <v>1710</v>
      </c>
      <c r="AB16" s="1376" t="s">
        <v>1679</v>
      </c>
      <c r="AC16" s="1377"/>
      <c r="AD16" s="1378">
        <v>11.125</v>
      </c>
      <c r="AE16" s="1376" t="s">
        <v>35</v>
      </c>
      <c r="AF16" s="1376">
        <v>4</v>
      </c>
      <c r="AG16" s="1379">
        <v>0</v>
      </c>
      <c r="AH16" s="1376">
        <v>5</v>
      </c>
      <c r="AI16" s="1379">
        <v>8</v>
      </c>
      <c r="AJ16" s="1379">
        <v>0</v>
      </c>
      <c r="AK16" s="1379"/>
      <c r="AL16" s="1382"/>
      <c r="AM16" s="1378">
        <v>5</v>
      </c>
      <c r="AN16" s="1376">
        <v>13</v>
      </c>
      <c r="AO16" s="1376">
        <v>4</v>
      </c>
      <c r="AP16" s="1382"/>
      <c r="AQ16" s="1378"/>
      <c r="AR16" s="1376" t="s">
        <v>1018</v>
      </c>
      <c r="AS16" s="1376" t="s">
        <v>1705</v>
      </c>
      <c r="AT16" s="1382"/>
      <c r="AU16" s="1378" t="s">
        <v>35</v>
      </c>
      <c r="AV16" s="1376"/>
      <c r="AW16" s="1376"/>
      <c r="AX16" s="1382"/>
      <c r="AY16" s="1378"/>
      <c r="AZ16" s="1376"/>
      <c r="BA16" s="1376"/>
      <c r="BB16" s="1383"/>
      <c r="BC16" s="1383"/>
      <c r="BD16" s="1383"/>
      <c r="BE16" s="1383"/>
      <c r="BF16" s="1383"/>
      <c r="BG16" s="1383"/>
      <c r="BH16" s="1383"/>
      <c r="BI16" s="1383"/>
      <c r="BJ16" s="1383">
        <v>1</v>
      </c>
    </row>
    <row r="17" spans="1:62" x14ac:dyDescent="0.2">
      <c r="A17" s="1376" t="s">
        <v>1412</v>
      </c>
      <c r="B17" s="1376">
        <v>1</v>
      </c>
      <c r="C17" s="1376" t="s">
        <v>1714</v>
      </c>
      <c r="D17" s="1377">
        <v>50</v>
      </c>
      <c r="E17" s="1378">
        <v>6.5</v>
      </c>
      <c r="F17" s="1376">
        <v>17</v>
      </c>
      <c r="G17" s="1379"/>
      <c r="H17" s="1379"/>
      <c r="I17" s="1379"/>
      <c r="J17" s="1379"/>
      <c r="K17" s="1376"/>
      <c r="L17" s="1376"/>
      <c r="M17" s="1376"/>
      <c r="N17" s="1379"/>
      <c r="O17" s="1379"/>
      <c r="P17" s="1379">
        <v>3</v>
      </c>
      <c r="Q17" s="1379"/>
      <c r="R17" s="1376"/>
      <c r="S17" s="1376"/>
      <c r="T17" s="1376"/>
      <c r="U17" s="1380">
        <v>-46</v>
      </c>
      <c r="W17" s="1376"/>
      <c r="X17" s="1376"/>
      <c r="Y17" s="1376"/>
      <c r="Z17" s="1381"/>
      <c r="AA17" s="1379" t="s">
        <v>1715</v>
      </c>
      <c r="AB17" s="1376" t="s">
        <v>1716</v>
      </c>
      <c r="AC17" s="1377"/>
      <c r="AD17" s="1378">
        <v>11.125</v>
      </c>
      <c r="AE17" s="1376" t="s">
        <v>35</v>
      </c>
      <c r="AF17" s="1376">
        <v>7</v>
      </c>
      <c r="AG17" s="1379">
        <v>7.5</v>
      </c>
      <c r="AH17" s="1376">
        <v>5</v>
      </c>
      <c r="AI17" s="1379">
        <v>8</v>
      </c>
      <c r="AJ17" s="1379">
        <v>0</v>
      </c>
      <c r="AK17" s="1379"/>
      <c r="AL17" s="1382"/>
      <c r="AM17" s="1378">
        <v>5</v>
      </c>
      <c r="AN17" s="1376">
        <v>13</v>
      </c>
      <c r="AO17" s="1376">
        <v>4</v>
      </c>
      <c r="AP17" s="1382"/>
      <c r="AQ17" s="1378"/>
      <c r="AR17" s="1376" t="s">
        <v>1018</v>
      </c>
      <c r="AS17" s="1376" t="s">
        <v>1706</v>
      </c>
      <c r="AT17" s="1382"/>
      <c r="AU17" s="1378" t="s">
        <v>1707</v>
      </c>
      <c r="AV17" s="1376"/>
      <c r="AW17" s="1376"/>
      <c r="AX17" s="1382"/>
      <c r="AY17" s="1378"/>
      <c r="AZ17" s="1376"/>
      <c r="BA17" s="1376"/>
      <c r="BB17" s="1383"/>
      <c r="BC17" s="1383"/>
      <c r="BD17" s="1383"/>
      <c r="BE17" s="1383"/>
      <c r="BF17" s="1383"/>
      <c r="BG17" s="1383"/>
      <c r="BH17" s="1383"/>
      <c r="BI17" s="1383"/>
      <c r="BJ17" s="1383">
        <v>1</v>
      </c>
    </row>
    <row r="18" spans="1:62" x14ac:dyDescent="0.2">
      <c r="A18" s="1376" t="s">
        <v>1413</v>
      </c>
      <c r="B18" s="1376">
        <v>1</v>
      </c>
      <c r="C18" s="1376" t="s">
        <v>1714</v>
      </c>
      <c r="D18" s="1377">
        <v>52</v>
      </c>
      <c r="E18" s="1378">
        <v>4.5</v>
      </c>
      <c r="F18" s="1376">
        <v>6</v>
      </c>
      <c r="G18" s="1379"/>
      <c r="H18" s="1379"/>
      <c r="I18" s="1379"/>
      <c r="J18" s="1379"/>
      <c r="K18" s="1376"/>
      <c r="L18" s="1376"/>
      <c r="M18" s="1376"/>
      <c r="N18" s="1379"/>
      <c r="O18" s="1379"/>
      <c r="P18" s="1379">
        <v>17</v>
      </c>
      <c r="Q18" s="1379"/>
      <c r="R18" s="1376"/>
      <c r="S18" s="1376"/>
      <c r="T18" s="1376"/>
      <c r="W18" s="1376"/>
      <c r="X18" s="1376"/>
      <c r="Y18" s="1376"/>
      <c r="Z18" s="1381"/>
      <c r="AA18" s="1379" t="s">
        <v>1717</v>
      </c>
      <c r="AB18" s="1376" t="s">
        <v>158</v>
      </c>
      <c r="AC18" s="1377"/>
      <c r="AD18" s="1378">
        <v>11.125</v>
      </c>
      <c r="AE18" s="1376" t="s">
        <v>35</v>
      </c>
      <c r="AF18" s="1376">
        <v>4</v>
      </c>
      <c r="AG18" s="1379">
        <v>0</v>
      </c>
      <c r="AH18" s="1376">
        <v>5</v>
      </c>
      <c r="AI18" s="1379">
        <v>8</v>
      </c>
      <c r="AJ18" s="1379">
        <v>0</v>
      </c>
      <c r="AK18" s="1379"/>
      <c r="AL18" s="1382"/>
      <c r="AM18" s="1378">
        <v>5</v>
      </c>
      <c r="AN18" s="1376">
        <v>13</v>
      </c>
      <c r="AO18" s="1376">
        <v>4</v>
      </c>
      <c r="AP18" s="1382"/>
      <c r="AQ18" s="1378"/>
      <c r="AR18" s="1376" t="s">
        <v>1018</v>
      </c>
      <c r="AS18" s="1376" t="s">
        <v>1705</v>
      </c>
      <c r="AT18" s="1382"/>
      <c r="AU18" s="1378" t="s">
        <v>35</v>
      </c>
      <c r="AV18" s="1376"/>
      <c r="AW18" s="1376"/>
      <c r="AX18" s="1382"/>
      <c r="AY18" s="1378"/>
      <c r="AZ18" s="1376"/>
      <c r="BA18" s="1376"/>
      <c r="BB18" s="1383"/>
      <c r="BC18" s="1383"/>
      <c r="BD18" s="1383"/>
      <c r="BE18" s="1383"/>
      <c r="BF18" s="1383"/>
      <c r="BG18" s="1383"/>
      <c r="BH18" s="1383"/>
      <c r="BI18" s="1383"/>
      <c r="BJ18" s="1383">
        <v>1</v>
      </c>
    </row>
    <row r="19" spans="1:62" x14ac:dyDescent="0.2">
      <c r="A19" s="1376" t="s">
        <v>1414</v>
      </c>
      <c r="B19" s="1376">
        <v>2</v>
      </c>
      <c r="C19" s="1376" t="s">
        <v>1714</v>
      </c>
      <c r="D19" s="1377">
        <v>52</v>
      </c>
      <c r="E19" s="1378">
        <v>0</v>
      </c>
      <c r="F19" s="1376">
        <v>6</v>
      </c>
      <c r="G19" s="1379"/>
      <c r="H19" s="1379"/>
      <c r="I19" s="1379"/>
      <c r="J19" s="1379"/>
      <c r="K19" s="1376"/>
      <c r="L19" s="1376"/>
      <c r="M19" s="1376"/>
      <c r="N19" s="1379"/>
      <c r="O19" s="1379"/>
      <c r="P19" s="1379">
        <v>6</v>
      </c>
      <c r="Q19" s="1379"/>
      <c r="R19" s="1376"/>
      <c r="S19" s="1376"/>
      <c r="T19" s="1376"/>
      <c r="W19" s="1376"/>
      <c r="X19" s="1376"/>
      <c r="Y19" s="1376"/>
      <c r="Z19" s="1381"/>
      <c r="AA19" s="1379" t="s">
        <v>1718</v>
      </c>
      <c r="AB19" s="1376"/>
      <c r="AC19" s="1377"/>
      <c r="AD19" s="1378">
        <v>11.125</v>
      </c>
      <c r="AE19" s="1376" t="s">
        <v>35</v>
      </c>
      <c r="AF19" s="1376">
        <v>4</v>
      </c>
      <c r="AG19" s="1379">
        <v>0</v>
      </c>
      <c r="AH19" s="1376">
        <v>5</v>
      </c>
      <c r="AI19" s="1379">
        <v>8</v>
      </c>
      <c r="AJ19" s="1379">
        <v>0</v>
      </c>
      <c r="AK19" s="1379"/>
      <c r="AL19" s="1382"/>
      <c r="AM19" s="1378">
        <v>5</v>
      </c>
      <c r="AN19" s="1376">
        <v>13</v>
      </c>
      <c r="AO19" s="1376">
        <v>4</v>
      </c>
      <c r="AP19" s="1382"/>
      <c r="AQ19" s="1378">
        <v>2</v>
      </c>
      <c r="AR19" s="1376" t="s">
        <v>1018</v>
      </c>
      <c r="AS19" s="1376" t="s">
        <v>1705</v>
      </c>
      <c r="AT19" s="1382"/>
      <c r="AU19" s="1378" t="s">
        <v>35</v>
      </c>
      <c r="AV19" s="1376"/>
      <c r="AW19" s="1376"/>
      <c r="AX19" s="1382"/>
      <c r="AY19" s="1378"/>
      <c r="AZ19" s="1376"/>
      <c r="BA19" s="1376"/>
      <c r="BB19" s="1383"/>
      <c r="BC19" s="1383"/>
      <c r="BD19" s="1383"/>
      <c r="BE19" s="1383"/>
      <c r="BF19" s="1383"/>
      <c r="BG19" s="1383"/>
      <c r="BH19" s="1383"/>
      <c r="BI19" s="1383"/>
      <c r="BJ19" s="1383">
        <v>1</v>
      </c>
    </row>
    <row r="20" spans="1:62" x14ac:dyDescent="0.2">
      <c r="A20" s="1376" t="s">
        <v>1415</v>
      </c>
      <c r="B20" s="1376">
        <v>2</v>
      </c>
      <c r="C20" s="1376" t="s">
        <v>1714</v>
      </c>
      <c r="D20" s="1377">
        <v>52</v>
      </c>
      <c r="E20" s="1378">
        <v>0</v>
      </c>
      <c r="F20" s="1376">
        <v>6</v>
      </c>
      <c r="G20" s="1379"/>
      <c r="H20" s="1379"/>
      <c r="I20" s="1379"/>
      <c r="J20" s="1379"/>
      <c r="K20" s="1376"/>
      <c r="L20" s="1376"/>
      <c r="M20" s="1376"/>
      <c r="N20" s="1379"/>
      <c r="O20" s="1379"/>
      <c r="P20" s="1379">
        <v>6</v>
      </c>
      <c r="Q20" s="1379"/>
      <c r="R20" s="1376"/>
      <c r="S20" s="1376"/>
      <c r="T20" s="1376"/>
      <c r="W20" s="1376"/>
      <c r="X20" s="1376"/>
      <c r="Y20" s="1376"/>
      <c r="Z20" s="1381"/>
      <c r="AA20" s="1379" t="s">
        <v>1719</v>
      </c>
      <c r="AB20" s="1376"/>
      <c r="AC20" s="1377"/>
      <c r="AD20" s="1378">
        <v>11.125</v>
      </c>
      <c r="AE20" s="1376" t="s">
        <v>35</v>
      </c>
      <c r="AF20" s="1376">
        <v>8</v>
      </c>
      <c r="AG20" s="1379">
        <v>0</v>
      </c>
      <c r="AH20" s="1376">
        <v>5</v>
      </c>
      <c r="AI20" s="1379">
        <v>8</v>
      </c>
      <c r="AJ20" s="1379">
        <v>0</v>
      </c>
      <c r="AK20" s="1379"/>
      <c r="AL20" s="1382"/>
      <c r="AM20" s="1378">
        <v>5</v>
      </c>
      <c r="AN20" s="1376">
        <v>13</v>
      </c>
      <c r="AO20" s="1376">
        <v>4</v>
      </c>
      <c r="AP20" s="1382">
        <v>2</v>
      </c>
      <c r="AQ20" s="1378"/>
      <c r="AR20" s="1376" t="s">
        <v>1018</v>
      </c>
      <c r="AS20" s="1376" t="s">
        <v>1706</v>
      </c>
      <c r="AT20" s="1382"/>
      <c r="AU20" s="1378" t="s">
        <v>35</v>
      </c>
      <c r="AV20" s="1376"/>
      <c r="AW20" s="1376"/>
      <c r="AX20" s="1382"/>
      <c r="AY20" s="1378"/>
      <c r="AZ20" s="1376"/>
      <c r="BA20" s="1376"/>
      <c r="BB20" s="1383"/>
      <c r="BC20" s="1383"/>
      <c r="BD20" s="1383"/>
      <c r="BE20" s="1383"/>
      <c r="BF20" s="1383"/>
      <c r="BG20" s="1383"/>
      <c r="BH20" s="1383"/>
      <c r="BI20" s="1383"/>
      <c r="BJ20" s="1383">
        <v>1</v>
      </c>
    </row>
    <row r="21" spans="1:62" x14ac:dyDescent="0.2">
      <c r="A21" s="1376" t="s">
        <v>1416</v>
      </c>
      <c r="B21" s="1376">
        <v>4</v>
      </c>
      <c r="C21" s="1376" t="s">
        <v>1714</v>
      </c>
      <c r="D21" s="1377">
        <v>52</v>
      </c>
      <c r="E21" s="1378">
        <v>0</v>
      </c>
      <c r="F21" s="1376">
        <v>6</v>
      </c>
      <c r="G21" s="1379"/>
      <c r="H21" s="1379"/>
      <c r="I21" s="1379"/>
      <c r="J21" s="1379"/>
      <c r="K21" s="1376"/>
      <c r="L21" s="1376"/>
      <c r="M21" s="1376"/>
      <c r="N21" s="1379"/>
      <c r="O21" s="1379"/>
      <c r="P21" s="1379">
        <v>6</v>
      </c>
      <c r="Q21" s="1379"/>
      <c r="R21" s="1376"/>
      <c r="S21" s="1376"/>
      <c r="T21" s="1376"/>
      <c r="W21" s="1376"/>
      <c r="X21" s="1376"/>
      <c r="Y21" s="1376"/>
      <c r="Z21" s="1381"/>
      <c r="AA21" s="1379">
        <v>2</v>
      </c>
      <c r="AB21" s="1376"/>
      <c r="AC21" s="1377"/>
      <c r="AD21" s="1378">
        <v>11.125</v>
      </c>
      <c r="AE21" s="1376" t="s">
        <v>35</v>
      </c>
      <c r="AF21" s="1376">
        <v>4</v>
      </c>
      <c r="AG21" s="1379">
        <v>0</v>
      </c>
      <c r="AH21" s="1376">
        <v>5</v>
      </c>
      <c r="AI21" s="1379">
        <v>8</v>
      </c>
      <c r="AJ21" s="1379">
        <v>0</v>
      </c>
      <c r="AK21" s="1379"/>
      <c r="AL21" s="1382"/>
      <c r="AM21" s="1378">
        <v>5</v>
      </c>
      <c r="AN21" s="1376">
        <v>13</v>
      </c>
      <c r="AO21" s="1376">
        <v>4</v>
      </c>
      <c r="AP21" s="1382"/>
      <c r="AQ21" s="1378">
        <v>2</v>
      </c>
      <c r="AR21" s="1376" t="s">
        <v>1018</v>
      </c>
      <c r="AS21" s="1376" t="s">
        <v>1705</v>
      </c>
      <c r="AT21" s="1382"/>
      <c r="AU21" s="1378" t="s">
        <v>35</v>
      </c>
      <c r="AV21" s="1376"/>
      <c r="AW21" s="1376"/>
      <c r="AX21" s="1382"/>
      <c r="AY21" s="1378"/>
      <c r="AZ21" s="1376"/>
      <c r="BA21" s="1376"/>
      <c r="BB21" s="1383"/>
      <c r="BC21" s="1383"/>
      <c r="BD21" s="1383"/>
      <c r="BE21" s="1383"/>
      <c r="BF21" s="1383"/>
      <c r="BG21" s="1383"/>
      <c r="BH21" s="1383"/>
      <c r="BI21" s="1383"/>
      <c r="BJ21" s="1383">
        <v>1</v>
      </c>
    </row>
    <row r="22" spans="1:62" x14ac:dyDescent="0.2">
      <c r="A22" s="1376" t="s">
        <v>1417</v>
      </c>
      <c r="B22" s="1376">
        <v>4</v>
      </c>
      <c r="C22" s="1376" t="s">
        <v>1714</v>
      </c>
      <c r="D22" s="1377">
        <v>52</v>
      </c>
      <c r="E22" s="1378">
        <v>0</v>
      </c>
      <c r="F22" s="1376">
        <v>6</v>
      </c>
      <c r="G22" s="1379"/>
      <c r="H22" s="1379"/>
      <c r="I22" s="1379"/>
      <c r="J22" s="1379"/>
      <c r="K22" s="1376"/>
      <c r="L22" s="1376"/>
      <c r="M22" s="1376"/>
      <c r="N22" s="1379"/>
      <c r="O22" s="1379"/>
      <c r="P22" s="1379">
        <v>6</v>
      </c>
      <c r="Q22" s="1379"/>
      <c r="R22" s="1376"/>
      <c r="S22" s="1376"/>
      <c r="T22" s="1376"/>
      <c r="W22" s="1376"/>
      <c r="X22" s="1376"/>
      <c r="Y22" s="1376"/>
      <c r="Z22" s="1381"/>
      <c r="AA22" s="1379">
        <v>2</v>
      </c>
      <c r="AB22" s="1376"/>
      <c r="AC22" s="1377"/>
      <c r="AD22" s="1378">
        <v>11.125</v>
      </c>
      <c r="AE22" s="1376" t="s">
        <v>35</v>
      </c>
      <c r="AF22" s="1376">
        <v>8</v>
      </c>
      <c r="AG22" s="1379">
        <v>0</v>
      </c>
      <c r="AH22" s="1376">
        <v>5</v>
      </c>
      <c r="AI22" s="1379">
        <v>8</v>
      </c>
      <c r="AJ22" s="1379">
        <v>0</v>
      </c>
      <c r="AK22" s="1379"/>
      <c r="AL22" s="1382"/>
      <c r="AM22" s="1378">
        <v>5</v>
      </c>
      <c r="AN22" s="1376">
        <v>13</v>
      </c>
      <c r="AO22" s="1376">
        <v>4</v>
      </c>
      <c r="AP22" s="1382">
        <v>2</v>
      </c>
      <c r="AQ22" s="1378"/>
      <c r="AR22" s="1376" t="s">
        <v>1018</v>
      </c>
      <c r="AS22" s="1376" t="s">
        <v>1706</v>
      </c>
      <c r="AT22" s="1382"/>
      <c r="AU22" s="1378" t="s">
        <v>35</v>
      </c>
      <c r="AV22" s="1376"/>
      <c r="AW22" s="1376"/>
      <c r="AX22" s="1382"/>
      <c r="AY22" s="1378"/>
      <c r="AZ22" s="1376"/>
      <c r="BA22" s="1376"/>
      <c r="BB22" s="1383"/>
      <c r="BC22" s="1383"/>
      <c r="BD22" s="1383"/>
      <c r="BE22" s="1383"/>
      <c r="BF22" s="1383"/>
      <c r="BG22" s="1383"/>
      <c r="BH22" s="1383"/>
      <c r="BI22" s="1383"/>
      <c r="BJ22" s="1383">
        <v>1</v>
      </c>
    </row>
    <row r="23" spans="1:62" x14ac:dyDescent="0.2">
      <c r="A23" s="1376" t="s">
        <v>1418</v>
      </c>
      <c r="B23" s="1376">
        <v>1</v>
      </c>
      <c r="C23" s="1376" t="s">
        <v>1714</v>
      </c>
      <c r="D23" s="1377">
        <v>52</v>
      </c>
      <c r="E23" s="1378">
        <v>0</v>
      </c>
      <c r="F23" s="1376">
        <v>6</v>
      </c>
      <c r="G23" s="1379"/>
      <c r="H23" s="1379"/>
      <c r="I23" s="1379"/>
      <c r="J23" s="1379"/>
      <c r="K23" s="1376"/>
      <c r="L23" s="1376"/>
      <c r="M23" s="1376"/>
      <c r="N23" s="1379"/>
      <c r="O23" s="1379"/>
      <c r="P23" s="1379">
        <v>11</v>
      </c>
      <c r="Q23" s="1379"/>
      <c r="R23" s="1376"/>
      <c r="S23" s="1376"/>
      <c r="T23" s="1376"/>
      <c r="W23" s="1376"/>
      <c r="X23" s="1376"/>
      <c r="Y23" s="1376"/>
      <c r="Z23" s="1381"/>
      <c r="AA23" s="1379" t="s">
        <v>1720</v>
      </c>
      <c r="AB23" s="1376" t="s">
        <v>34</v>
      </c>
      <c r="AC23" s="1377"/>
      <c r="AD23" s="1378">
        <v>11.125</v>
      </c>
      <c r="AE23" s="1376" t="s">
        <v>35</v>
      </c>
      <c r="AF23" s="1376">
        <v>8</v>
      </c>
      <c r="AG23" s="1379">
        <v>0</v>
      </c>
      <c r="AH23" s="1376">
        <v>5</v>
      </c>
      <c r="AI23" s="1379">
        <v>8</v>
      </c>
      <c r="AJ23" s="1379">
        <v>0</v>
      </c>
      <c r="AK23" s="1379"/>
      <c r="AL23" s="1382"/>
      <c r="AM23" s="1378">
        <v>5</v>
      </c>
      <c r="AN23" s="1376">
        <v>13</v>
      </c>
      <c r="AO23" s="1376">
        <v>4</v>
      </c>
      <c r="AP23" s="1382">
        <v>2</v>
      </c>
      <c r="AQ23" s="1378"/>
      <c r="AR23" s="1376"/>
      <c r="AS23" s="1376"/>
      <c r="AT23" s="1382"/>
      <c r="AU23" s="1378"/>
      <c r="AV23" s="1376"/>
      <c r="AW23" s="1376"/>
      <c r="AX23" s="1382"/>
      <c r="AY23" s="1378"/>
      <c r="AZ23" s="1376"/>
      <c r="BA23" s="1376"/>
      <c r="BB23" s="1383"/>
      <c r="BC23" s="1383"/>
      <c r="BD23" s="1383"/>
      <c r="BE23" s="1383"/>
      <c r="BF23" s="1383"/>
      <c r="BG23" s="1383"/>
      <c r="BH23" s="1383"/>
      <c r="BI23" s="1383"/>
      <c r="BJ23" s="1383">
        <v>1</v>
      </c>
    </row>
    <row r="24" spans="1:62" x14ac:dyDescent="0.2">
      <c r="A24" s="1376" t="s">
        <v>1419</v>
      </c>
      <c r="B24" s="1376">
        <v>1</v>
      </c>
      <c r="C24" s="1376" t="s">
        <v>1714</v>
      </c>
      <c r="D24" s="1377">
        <v>52</v>
      </c>
      <c r="E24" s="1378">
        <v>0</v>
      </c>
      <c r="F24" s="1376">
        <v>6</v>
      </c>
      <c r="G24" s="1379"/>
      <c r="H24" s="1379"/>
      <c r="I24" s="1379"/>
      <c r="J24" s="1379"/>
      <c r="K24" s="1376"/>
      <c r="L24" s="1376"/>
      <c r="M24" s="1376"/>
      <c r="N24" s="1379"/>
      <c r="O24" s="1379"/>
      <c r="P24" s="1379">
        <v>11</v>
      </c>
      <c r="Q24" s="1379"/>
      <c r="R24" s="1376"/>
      <c r="S24" s="1376"/>
      <c r="T24" s="1376"/>
      <c r="W24" s="1376"/>
      <c r="X24" s="1376"/>
      <c r="Y24" s="1376"/>
      <c r="Z24" s="1381"/>
      <c r="AA24" s="1379" t="s">
        <v>1721</v>
      </c>
      <c r="AB24" s="1376"/>
      <c r="AC24" s="1377"/>
      <c r="AD24" s="1378">
        <v>11.125</v>
      </c>
      <c r="AE24" s="1376" t="s">
        <v>35</v>
      </c>
      <c r="AF24" s="1376">
        <v>8</v>
      </c>
      <c r="AG24" s="1379">
        <v>0</v>
      </c>
      <c r="AH24" s="1376">
        <v>5</v>
      </c>
      <c r="AI24" s="1379">
        <v>8</v>
      </c>
      <c r="AJ24" s="1379">
        <v>0</v>
      </c>
      <c r="AK24" s="1379"/>
      <c r="AL24" s="1382"/>
      <c r="AM24" s="1378">
        <v>5</v>
      </c>
      <c r="AN24" s="1376">
        <v>13</v>
      </c>
      <c r="AO24" s="1376">
        <v>4</v>
      </c>
      <c r="AP24" s="1382">
        <v>2</v>
      </c>
      <c r="AQ24" s="1378"/>
      <c r="AR24" s="1376"/>
      <c r="AS24" s="1376"/>
      <c r="AT24" s="1382"/>
      <c r="AU24" s="1378"/>
      <c r="AV24" s="1376"/>
      <c r="AW24" s="1376"/>
      <c r="AX24" s="1382"/>
      <c r="AY24" s="1378"/>
      <c r="AZ24" s="1376"/>
      <c r="BA24" s="1376"/>
      <c r="BB24" s="1383"/>
      <c r="BC24" s="1383"/>
      <c r="BD24" s="1383"/>
      <c r="BE24" s="1383"/>
      <c r="BF24" s="1383"/>
      <c r="BG24" s="1383"/>
      <c r="BH24" s="1383"/>
      <c r="BI24" s="1383"/>
      <c r="BJ24" s="1383">
        <v>1</v>
      </c>
    </row>
    <row r="25" spans="1:62" x14ac:dyDescent="0.2">
      <c r="A25" s="1376" t="s">
        <v>1420</v>
      </c>
      <c r="B25" s="1376">
        <v>1</v>
      </c>
      <c r="C25" s="1376" t="s">
        <v>1714</v>
      </c>
      <c r="D25" s="1377">
        <v>52</v>
      </c>
      <c r="E25" s="1378">
        <v>0</v>
      </c>
      <c r="F25" s="1376">
        <v>6</v>
      </c>
      <c r="G25" s="1379"/>
      <c r="H25" s="1379"/>
      <c r="I25" s="1379"/>
      <c r="J25" s="1379"/>
      <c r="K25" s="1376"/>
      <c r="L25" s="1376"/>
      <c r="M25" s="1376"/>
      <c r="N25" s="1379"/>
      <c r="O25" s="1379"/>
      <c r="P25" s="1379">
        <v>6</v>
      </c>
      <c r="Q25" s="1379"/>
      <c r="R25" s="1376"/>
      <c r="S25" s="1376"/>
      <c r="T25" s="1376"/>
      <c r="W25" s="1376"/>
      <c r="X25" s="1376"/>
      <c r="Y25" s="1376"/>
      <c r="Z25" s="1381"/>
      <c r="AA25" s="1379" t="s">
        <v>1719</v>
      </c>
      <c r="AB25" s="1376"/>
      <c r="AC25" s="1377"/>
      <c r="AD25" s="1378">
        <v>11.125</v>
      </c>
      <c r="AE25" s="1376" t="s">
        <v>35</v>
      </c>
      <c r="AF25" s="1376">
        <v>4</v>
      </c>
      <c r="AG25" s="1379">
        <v>0</v>
      </c>
      <c r="AH25" s="1376">
        <v>5</v>
      </c>
      <c r="AI25" s="1379">
        <v>8</v>
      </c>
      <c r="AJ25" s="1379">
        <v>0</v>
      </c>
      <c r="AK25" s="1379"/>
      <c r="AL25" s="1382"/>
      <c r="AM25" s="1378">
        <v>5</v>
      </c>
      <c r="AN25" s="1376">
        <v>13</v>
      </c>
      <c r="AO25" s="1376">
        <v>4</v>
      </c>
      <c r="AP25" s="1382"/>
      <c r="AQ25" s="1378">
        <v>2</v>
      </c>
      <c r="AR25" s="1376" t="s">
        <v>1018</v>
      </c>
      <c r="AS25" s="1376" t="s">
        <v>1705</v>
      </c>
      <c r="AT25" s="1382"/>
      <c r="AU25" s="1378" t="s">
        <v>35</v>
      </c>
      <c r="AV25" s="1376"/>
      <c r="AW25" s="1376"/>
      <c r="AX25" s="1382"/>
      <c r="AY25" s="1378"/>
      <c r="AZ25" s="1376"/>
      <c r="BA25" s="1376"/>
      <c r="BB25" s="1383"/>
      <c r="BC25" s="1383"/>
      <c r="BD25" s="1383"/>
      <c r="BE25" s="1383"/>
      <c r="BF25" s="1383"/>
      <c r="BG25" s="1383"/>
      <c r="BH25" s="1383"/>
      <c r="BI25" s="1383"/>
      <c r="BJ25" s="1383">
        <v>1</v>
      </c>
    </row>
    <row r="26" spans="1:62" x14ac:dyDescent="0.2">
      <c r="A26" s="1376" t="s">
        <v>1421</v>
      </c>
      <c r="B26" s="1376">
        <v>2</v>
      </c>
      <c r="C26" s="1376" t="s">
        <v>1714</v>
      </c>
      <c r="D26" s="1377">
        <v>52</v>
      </c>
      <c r="E26" s="1378">
        <v>0</v>
      </c>
      <c r="F26" s="1376">
        <v>6</v>
      </c>
      <c r="G26" s="1379"/>
      <c r="H26" s="1379"/>
      <c r="I26" s="1379"/>
      <c r="J26" s="1379"/>
      <c r="K26" s="1376"/>
      <c r="L26" s="1376"/>
      <c r="M26" s="1376"/>
      <c r="N26" s="1379"/>
      <c r="O26" s="1379"/>
      <c r="P26" s="1379">
        <v>6</v>
      </c>
      <c r="Q26" s="1379"/>
      <c r="R26" s="1376"/>
      <c r="S26" s="1376"/>
      <c r="T26" s="1376"/>
      <c r="W26" s="1376"/>
      <c r="X26" s="1376"/>
      <c r="Y26" s="1376"/>
      <c r="Z26" s="1381"/>
      <c r="AA26" s="1379" t="s">
        <v>1718</v>
      </c>
      <c r="AB26" s="1376"/>
      <c r="AC26" s="1377"/>
      <c r="AD26" s="1378">
        <v>11.125</v>
      </c>
      <c r="AE26" s="1376" t="s">
        <v>35</v>
      </c>
      <c r="AF26" s="1376">
        <v>8</v>
      </c>
      <c r="AG26" s="1379">
        <v>0</v>
      </c>
      <c r="AH26" s="1376">
        <v>5</v>
      </c>
      <c r="AI26" s="1379">
        <v>8</v>
      </c>
      <c r="AJ26" s="1379">
        <v>0</v>
      </c>
      <c r="AK26" s="1379"/>
      <c r="AL26" s="1382"/>
      <c r="AM26" s="1378">
        <v>5</v>
      </c>
      <c r="AN26" s="1376">
        <v>13</v>
      </c>
      <c r="AO26" s="1376">
        <v>4</v>
      </c>
      <c r="AP26" s="1382">
        <v>2</v>
      </c>
      <c r="AQ26" s="1378"/>
      <c r="AR26" s="1376" t="s">
        <v>1018</v>
      </c>
      <c r="AS26" s="1376" t="s">
        <v>1706</v>
      </c>
      <c r="AT26" s="1382"/>
      <c r="AU26" s="1378" t="s">
        <v>35</v>
      </c>
      <c r="AV26" s="1376"/>
      <c r="AW26" s="1376"/>
      <c r="AX26" s="1382"/>
      <c r="AY26" s="1378"/>
      <c r="AZ26" s="1376"/>
      <c r="BA26" s="1376"/>
      <c r="BB26" s="1383"/>
      <c r="BC26" s="1383"/>
      <c r="BD26" s="1383"/>
      <c r="BE26" s="1383"/>
      <c r="BF26" s="1383"/>
      <c r="BG26" s="1383"/>
      <c r="BH26" s="1383"/>
      <c r="BI26" s="1383"/>
      <c r="BJ26" s="1383">
        <v>1</v>
      </c>
    </row>
    <row r="27" spans="1:62" x14ac:dyDescent="0.2">
      <c r="A27" s="1376" t="s">
        <v>1422</v>
      </c>
      <c r="B27" s="1376">
        <v>1</v>
      </c>
      <c r="C27" s="1376" t="s">
        <v>1714</v>
      </c>
      <c r="D27" s="1377">
        <v>52</v>
      </c>
      <c r="E27" s="1378">
        <v>0</v>
      </c>
      <c r="F27" s="1376">
        <v>6</v>
      </c>
      <c r="G27" s="1379"/>
      <c r="H27" s="1379"/>
      <c r="I27" s="1379"/>
      <c r="J27" s="1379"/>
      <c r="K27" s="1376"/>
      <c r="L27" s="1376"/>
      <c r="M27" s="1376"/>
      <c r="N27" s="1379"/>
      <c r="O27" s="1379"/>
      <c r="P27" s="1379">
        <v>6</v>
      </c>
      <c r="Q27" s="1379"/>
      <c r="R27" s="1376"/>
      <c r="S27" s="1376"/>
      <c r="T27" s="1376"/>
      <c r="W27" s="1376"/>
      <c r="X27" s="1376"/>
      <c r="Y27" s="1376"/>
      <c r="Z27" s="1381"/>
      <c r="AA27" s="1379" t="s">
        <v>1718</v>
      </c>
      <c r="AB27" s="1376" t="s">
        <v>34</v>
      </c>
      <c r="AC27" s="1377"/>
      <c r="AD27" s="1378">
        <v>11.125</v>
      </c>
      <c r="AE27" s="1376" t="s">
        <v>35</v>
      </c>
      <c r="AF27" s="1376">
        <v>4</v>
      </c>
      <c r="AG27" s="1379">
        <v>0</v>
      </c>
      <c r="AH27" s="1376">
        <v>5</v>
      </c>
      <c r="AI27" s="1379">
        <v>8</v>
      </c>
      <c r="AJ27" s="1379">
        <v>0</v>
      </c>
      <c r="AK27" s="1379"/>
      <c r="AL27" s="1382"/>
      <c r="AM27" s="1378">
        <v>5</v>
      </c>
      <c r="AN27" s="1376">
        <v>13</v>
      </c>
      <c r="AO27" s="1376">
        <v>4</v>
      </c>
      <c r="AP27" s="1382"/>
      <c r="AQ27" s="1378">
        <v>2</v>
      </c>
      <c r="AR27" s="1376" t="s">
        <v>1018</v>
      </c>
      <c r="AS27" s="1376" t="s">
        <v>1705</v>
      </c>
      <c r="AT27" s="1382"/>
      <c r="AU27" s="1378" t="s">
        <v>35</v>
      </c>
      <c r="AV27" s="1376"/>
      <c r="AW27" s="1376"/>
      <c r="AX27" s="1382"/>
      <c r="AY27" s="1378"/>
      <c r="AZ27" s="1376"/>
      <c r="BA27" s="1376"/>
      <c r="BB27" s="1383"/>
      <c r="BC27" s="1383"/>
      <c r="BD27" s="1383"/>
      <c r="BE27" s="1383"/>
      <c r="BF27" s="1383"/>
      <c r="BG27" s="1383"/>
      <c r="BH27" s="1383"/>
      <c r="BI27" s="1383"/>
      <c r="BJ27" s="1383">
        <v>1</v>
      </c>
    </row>
    <row r="28" spans="1:62" x14ac:dyDescent="0.2">
      <c r="A28" s="1376" t="s">
        <v>1423</v>
      </c>
      <c r="B28" s="1376">
        <v>1</v>
      </c>
      <c r="C28" s="1376" t="s">
        <v>1714</v>
      </c>
      <c r="D28" s="1377">
        <v>51</v>
      </c>
      <c r="E28" s="1378">
        <v>3</v>
      </c>
      <c r="F28" s="1376">
        <v>6</v>
      </c>
      <c r="G28" s="1379"/>
      <c r="H28" s="1379"/>
      <c r="I28" s="1379"/>
      <c r="J28" s="1379"/>
      <c r="K28" s="1376"/>
      <c r="L28" s="1376"/>
      <c r="M28" s="1376"/>
      <c r="N28" s="1379"/>
      <c r="O28" s="1379"/>
      <c r="P28" s="1379">
        <v>2</v>
      </c>
      <c r="Q28" s="1379"/>
      <c r="R28" s="1376"/>
      <c r="S28" s="1376"/>
      <c r="T28" s="1376"/>
      <c r="W28" s="1376"/>
      <c r="X28" s="1376"/>
      <c r="Y28" s="1376"/>
      <c r="Z28" s="1381"/>
      <c r="AA28" s="1379" t="s">
        <v>1719</v>
      </c>
      <c r="AB28" s="1376" t="s">
        <v>1679</v>
      </c>
      <c r="AC28" s="1377"/>
      <c r="AD28" s="1378">
        <v>11.125</v>
      </c>
      <c r="AE28" s="1376" t="s">
        <v>35</v>
      </c>
      <c r="AF28" s="1376">
        <v>4</v>
      </c>
      <c r="AG28" s="1379">
        <v>0</v>
      </c>
      <c r="AH28" s="1376">
        <v>5</v>
      </c>
      <c r="AI28" s="1379">
        <v>8</v>
      </c>
      <c r="AJ28" s="1379">
        <v>0</v>
      </c>
      <c r="AK28" s="1379"/>
      <c r="AL28" s="1382"/>
      <c r="AM28" s="1378">
        <v>5</v>
      </c>
      <c r="AN28" s="1376">
        <v>13</v>
      </c>
      <c r="AO28" s="1376">
        <v>4</v>
      </c>
      <c r="AP28" s="1382"/>
      <c r="AQ28" s="1378"/>
      <c r="AR28" s="1376" t="s">
        <v>1018</v>
      </c>
      <c r="AS28" s="1376" t="s">
        <v>1705</v>
      </c>
      <c r="AT28" s="1382"/>
      <c r="AU28" s="1378" t="s">
        <v>35</v>
      </c>
      <c r="AV28" s="1376"/>
      <c r="AW28" s="1376"/>
      <c r="AX28" s="1382"/>
      <c r="AY28" s="1378"/>
      <c r="AZ28" s="1376"/>
      <c r="BA28" s="1376"/>
      <c r="BB28" s="1383"/>
      <c r="BC28" s="1383"/>
      <c r="BD28" s="1383"/>
      <c r="BE28" s="1383"/>
      <c r="BF28" s="1383"/>
      <c r="BG28" s="1383"/>
      <c r="BH28" s="1383"/>
      <c r="BI28" s="1383"/>
      <c r="BJ28" s="1383">
        <v>1</v>
      </c>
    </row>
    <row r="29" spans="1:62" x14ac:dyDescent="0.2">
      <c r="A29" s="1376" t="s">
        <v>1424</v>
      </c>
      <c r="B29" s="1376">
        <v>1</v>
      </c>
      <c r="C29" s="1376" t="s">
        <v>1722</v>
      </c>
      <c r="D29" s="1377">
        <v>50</v>
      </c>
      <c r="E29" s="1378">
        <v>11</v>
      </c>
      <c r="F29" s="1376">
        <v>6</v>
      </c>
      <c r="G29" s="1379"/>
      <c r="H29" s="1379"/>
      <c r="I29" s="1379"/>
      <c r="J29" s="1379"/>
      <c r="K29" s="1376"/>
      <c r="L29" s="1376"/>
      <c r="M29" s="1376"/>
      <c r="N29" s="1379"/>
      <c r="O29" s="1379"/>
      <c r="P29" s="1379">
        <v>3</v>
      </c>
      <c r="Q29" s="1379"/>
      <c r="R29" s="1376"/>
      <c r="S29" s="1376"/>
      <c r="T29" s="1376"/>
      <c r="U29" s="1380">
        <v>-46</v>
      </c>
      <c r="W29" s="1376"/>
      <c r="X29" s="1376"/>
      <c r="Y29" s="1376"/>
      <c r="Z29" s="1381"/>
      <c r="AA29" s="1379" t="s">
        <v>1723</v>
      </c>
      <c r="AB29" s="1376" t="s">
        <v>1704</v>
      </c>
      <c r="AC29" s="1377"/>
      <c r="AD29" s="1378">
        <v>11.125</v>
      </c>
      <c r="AE29" s="1376" t="s">
        <v>35</v>
      </c>
      <c r="AF29" s="1376">
        <v>4</v>
      </c>
      <c r="AG29" s="1379">
        <v>0</v>
      </c>
      <c r="AH29" s="1376">
        <v>5</v>
      </c>
      <c r="AI29" s="1379">
        <v>8</v>
      </c>
      <c r="AJ29" s="1379">
        <v>0</v>
      </c>
      <c r="AK29" s="1379"/>
      <c r="AL29" s="1382"/>
      <c r="AM29" s="1378">
        <v>5</v>
      </c>
      <c r="AN29" s="1376">
        <v>13</v>
      </c>
      <c r="AO29" s="1376">
        <v>4</v>
      </c>
      <c r="AP29" s="1382"/>
      <c r="AQ29" s="1378"/>
      <c r="AR29" s="1376" t="s">
        <v>1018</v>
      </c>
      <c r="AS29" s="1376" t="s">
        <v>1705</v>
      </c>
      <c r="AT29" s="1382"/>
      <c r="AU29" s="1378" t="s">
        <v>35</v>
      </c>
      <c r="AV29" s="1376"/>
      <c r="AW29" s="1376"/>
      <c r="AX29" s="1382"/>
      <c r="AY29" s="1378"/>
      <c r="AZ29" s="1376"/>
      <c r="BA29" s="1376"/>
      <c r="BB29" s="1383"/>
      <c r="BC29" s="1383"/>
      <c r="BD29" s="1383"/>
      <c r="BE29" s="1383"/>
      <c r="BF29" s="1383"/>
      <c r="BG29" s="1383"/>
      <c r="BH29" s="1383"/>
      <c r="BI29" s="1383"/>
      <c r="BJ29" s="1383">
        <v>1</v>
      </c>
    </row>
    <row r="30" spans="1:62" x14ac:dyDescent="0.2">
      <c r="A30" s="1376" t="s">
        <v>1425</v>
      </c>
      <c r="B30" s="1376">
        <v>2</v>
      </c>
      <c r="C30" s="1376" t="s">
        <v>1722</v>
      </c>
      <c r="D30" s="1377">
        <v>52</v>
      </c>
      <c r="E30" s="1378">
        <v>0</v>
      </c>
      <c r="F30" s="1376">
        <v>6</v>
      </c>
      <c r="G30" s="1379"/>
      <c r="H30" s="1379"/>
      <c r="I30" s="1379"/>
      <c r="J30" s="1379"/>
      <c r="K30" s="1376"/>
      <c r="L30" s="1376"/>
      <c r="M30" s="1376"/>
      <c r="N30" s="1379"/>
      <c r="O30" s="1379"/>
      <c r="P30" s="1379">
        <v>6</v>
      </c>
      <c r="Q30" s="1379"/>
      <c r="R30" s="1376"/>
      <c r="S30" s="1376"/>
      <c r="T30" s="1376"/>
      <c r="W30" s="1376"/>
      <c r="X30" s="1376"/>
      <c r="Y30" s="1376"/>
      <c r="Z30" s="1381"/>
      <c r="AA30" s="1379" t="s">
        <v>1713</v>
      </c>
      <c r="AB30" s="1376"/>
      <c r="AC30" s="1377"/>
      <c r="AD30" s="1378">
        <v>11.125</v>
      </c>
      <c r="AE30" s="1376" t="s">
        <v>35</v>
      </c>
      <c r="AF30" s="1376">
        <v>4</v>
      </c>
      <c r="AG30" s="1379">
        <v>0</v>
      </c>
      <c r="AH30" s="1376">
        <v>5</v>
      </c>
      <c r="AI30" s="1379">
        <v>8</v>
      </c>
      <c r="AJ30" s="1379">
        <v>0</v>
      </c>
      <c r="AK30" s="1379"/>
      <c r="AL30" s="1382"/>
      <c r="AM30" s="1378">
        <v>5</v>
      </c>
      <c r="AN30" s="1376">
        <v>13</v>
      </c>
      <c r="AO30" s="1376">
        <v>4</v>
      </c>
      <c r="AP30" s="1382"/>
      <c r="AQ30" s="1378">
        <v>2</v>
      </c>
      <c r="AR30" s="1376" t="s">
        <v>1018</v>
      </c>
      <c r="AS30" s="1376" t="s">
        <v>1705</v>
      </c>
      <c r="AT30" s="1382"/>
      <c r="AU30" s="1378" t="s">
        <v>35</v>
      </c>
      <c r="AV30" s="1376"/>
      <c r="AW30" s="1376"/>
      <c r="AX30" s="1382"/>
      <c r="AY30" s="1378"/>
      <c r="AZ30" s="1376"/>
      <c r="BA30" s="1376"/>
      <c r="BB30" s="1383"/>
      <c r="BC30" s="1383"/>
      <c r="BD30" s="1383"/>
      <c r="BE30" s="1383"/>
      <c r="BF30" s="1383"/>
      <c r="BG30" s="1383"/>
      <c r="BH30" s="1383"/>
      <c r="BI30" s="1383"/>
      <c r="BJ30" s="1383">
        <v>1</v>
      </c>
    </row>
    <row r="31" spans="1:62" x14ac:dyDescent="0.2">
      <c r="A31" s="1376" t="s">
        <v>1426</v>
      </c>
      <c r="B31" s="1376">
        <v>2</v>
      </c>
      <c r="C31" s="1376" t="s">
        <v>1722</v>
      </c>
      <c r="D31" s="1377">
        <v>52</v>
      </c>
      <c r="E31" s="1378">
        <v>0</v>
      </c>
      <c r="F31" s="1376">
        <v>6</v>
      </c>
      <c r="G31" s="1379"/>
      <c r="H31" s="1379"/>
      <c r="I31" s="1379"/>
      <c r="J31" s="1379"/>
      <c r="K31" s="1376"/>
      <c r="L31" s="1376"/>
      <c r="M31" s="1376"/>
      <c r="N31" s="1379"/>
      <c r="O31" s="1379"/>
      <c r="P31" s="1379">
        <v>6</v>
      </c>
      <c r="Q31" s="1379"/>
      <c r="R31" s="1376"/>
      <c r="S31" s="1376"/>
      <c r="T31" s="1376"/>
      <c r="W31" s="1376"/>
      <c r="X31" s="1376"/>
      <c r="Y31" s="1376"/>
      <c r="Z31" s="1381"/>
      <c r="AA31" s="1379" t="s">
        <v>1724</v>
      </c>
      <c r="AB31" s="1376"/>
      <c r="AC31" s="1377"/>
      <c r="AD31" s="1378">
        <v>11.125</v>
      </c>
      <c r="AE31" s="1376" t="s">
        <v>35</v>
      </c>
      <c r="AF31" s="1376">
        <v>8</v>
      </c>
      <c r="AG31" s="1379">
        <v>0</v>
      </c>
      <c r="AH31" s="1376">
        <v>5</v>
      </c>
      <c r="AI31" s="1379">
        <v>8</v>
      </c>
      <c r="AJ31" s="1379">
        <v>0</v>
      </c>
      <c r="AK31" s="1379"/>
      <c r="AL31" s="1382"/>
      <c r="AM31" s="1378">
        <v>5</v>
      </c>
      <c r="AN31" s="1376">
        <v>13</v>
      </c>
      <c r="AO31" s="1376">
        <v>4</v>
      </c>
      <c r="AP31" s="1382">
        <v>2</v>
      </c>
      <c r="AQ31" s="1378"/>
      <c r="AR31" s="1376" t="s">
        <v>1018</v>
      </c>
      <c r="AS31" s="1376" t="s">
        <v>1706</v>
      </c>
      <c r="AT31" s="1382"/>
      <c r="AU31" s="1378" t="s">
        <v>35</v>
      </c>
      <c r="AV31" s="1376"/>
      <c r="AW31" s="1376"/>
      <c r="AX31" s="1382"/>
      <c r="AY31" s="1378"/>
      <c r="AZ31" s="1376"/>
      <c r="BA31" s="1376"/>
      <c r="BB31" s="1383"/>
      <c r="BC31" s="1383"/>
      <c r="BD31" s="1383"/>
      <c r="BE31" s="1383"/>
      <c r="BF31" s="1383"/>
      <c r="BG31" s="1383"/>
      <c r="BH31" s="1383"/>
      <c r="BI31" s="1383"/>
      <c r="BJ31" s="1383">
        <v>1</v>
      </c>
    </row>
    <row r="32" spans="1:62" x14ac:dyDescent="0.2">
      <c r="A32" s="1376" t="s">
        <v>1427</v>
      </c>
      <c r="B32" s="1376">
        <v>2</v>
      </c>
      <c r="C32" s="1376" t="s">
        <v>1722</v>
      </c>
      <c r="D32" s="1377">
        <v>52</v>
      </c>
      <c r="E32" s="1378">
        <v>0</v>
      </c>
      <c r="F32" s="1376">
        <v>6</v>
      </c>
      <c r="G32" s="1379"/>
      <c r="H32" s="1379"/>
      <c r="I32" s="1379"/>
      <c r="J32" s="1379"/>
      <c r="K32" s="1376"/>
      <c r="L32" s="1376"/>
      <c r="M32" s="1376"/>
      <c r="N32" s="1379"/>
      <c r="O32" s="1379"/>
      <c r="P32" s="1379">
        <v>6</v>
      </c>
      <c r="Q32" s="1379"/>
      <c r="R32" s="1376"/>
      <c r="S32" s="1376"/>
      <c r="T32" s="1376"/>
      <c r="W32" s="1376"/>
      <c r="X32" s="1376"/>
      <c r="Y32" s="1376"/>
      <c r="Z32" s="1381"/>
      <c r="AA32" s="1379">
        <v>9</v>
      </c>
      <c r="AB32" s="1376"/>
      <c r="AC32" s="1377"/>
      <c r="AD32" s="1378">
        <v>11.125</v>
      </c>
      <c r="AE32" s="1376" t="s">
        <v>35</v>
      </c>
      <c r="AF32" s="1376">
        <v>4</v>
      </c>
      <c r="AG32" s="1379">
        <v>0</v>
      </c>
      <c r="AH32" s="1376">
        <v>5</v>
      </c>
      <c r="AI32" s="1379">
        <v>8</v>
      </c>
      <c r="AJ32" s="1379">
        <v>0</v>
      </c>
      <c r="AK32" s="1379"/>
      <c r="AL32" s="1382"/>
      <c r="AM32" s="1378">
        <v>5</v>
      </c>
      <c r="AN32" s="1376">
        <v>13</v>
      </c>
      <c r="AO32" s="1376">
        <v>4</v>
      </c>
      <c r="AP32" s="1382"/>
      <c r="AQ32" s="1378">
        <v>2</v>
      </c>
      <c r="AR32" s="1376" t="s">
        <v>1018</v>
      </c>
      <c r="AS32" s="1376" t="s">
        <v>1705</v>
      </c>
      <c r="AT32" s="1382"/>
      <c r="AU32" s="1378" t="s">
        <v>35</v>
      </c>
      <c r="AV32" s="1376"/>
      <c r="AW32" s="1376"/>
      <c r="AX32" s="1382"/>
      <c r="AY32" s="1378"/>
      <c r="AZ32" s="1376"/>
      <c r="BA32" s="1376"/>
      <c r="BB32" s="1383"/>
      <c r="BC32" s="1383"/>
      <c r="BD32" s="1383"/>
      <c r="BE32" s="1383"/>
      <c r="BF32" s="1383"/>
      <c r="BG32" s="1383"/>
      <c r="BH32" s="1383"/>
      <c r="BI32" s="1383"/>
      <c r="BJ32" s="1383">
        <v>1</v>
      </c>
    </row>
    <row r="33" spans="1:62" x14ac:dyDescent="0.2">
      <c r="A33" s="1376" t="s">
        <v>1428</v>
      </c>
      <c r="B33" s="1376">
        <v>2</v>
      </c>
      <c r="C33" s="1376" t="s">
        <v>1722</v>
      </c>
      <c r="D33" s="1377">
        <v>52</v>
      </c>
      <c r="E33" s="1378">
        <v>0</v>
      </c>
      <c r="F33" s="1376">
        <v>6</v>
      </c>
      <c r="G33" s="1379"/>
      <c r="H33" s="1379"/>
      <c r="I33" s="1379"/>
      <c r="J33" s="1379"/>
      <c r="K33" s="1376"/>
      <c r="L33" s="1376"/>
      <c r="M33" s="1376"/>
      <c r="N33" s="1379"/>
      <c r="O33" s="1379"/>
      <c r="P33" s="1379">
        <v>6</v>
      </c>
      <c r="Q33" s="1379"/>
      <c r="R33" s="1376"/>
      <c r="S33" s="1376"/>
      <c r="T33" s="1376"/>
      <c r="W33" s="1376"/>
      <c r="X33" s="1376"/>
      <c r="Y33" s="1376"/>
      <c r="Z33" s="1381"/>
      <c r="AA33" s="1379">
        <v>9</v>
      </c>
      <c r="AB33" s="1376"/>
      <c r="AC33" s="1377"/>
      <c r="AD33" s="1378">
        <v>11.125</v>
      </c>
      <c r="AE33" s="1376" t="s">
        <v>35</v>
      </c>
      <c r="AF33" s="1376">
        <v>8</v>
      </c>
      <c r="AG33" s="1379">
        <v>0</v>
      </c>
      <c r="AH33" s="1376">
        <v>5</v>
      </c>
      <c r="AI33" s="1379">
        <v>8</v>
      </c>
      <c r="AJ33" s="1379">
        <v>0</v>
      </c>
      <c r="AK33" s="1379"/>
      <c r="AL33" s="1382"/>
      <c r="AM33" s="1378">
        <v>5</v>
      </c>
      <c r="AN33" s="1376">
        <v>13</v>
      </c>
      <c r="AO33" s="1376">
        <v>4</v>
      </c>
      <c r="AP33" s="1382">
        <v>2</v>
      </c>
      <c r="AQ33" s="1378"/>
      <c r="AR33" s="1376" t="s">
        <v>1018</v>
      </c>
      <c r="AS33" s="1376" t="s">
        <v>1706</v>
      </c>
      <c r="AT33" s="1382"/>
      <c r="AU33" s="1378" t="s">
        <v>35</v>
      </c>
      <c r="AV33" s="1376"/>
      <c r="AW33" s="1376"/>
      <c r="AX33" s="1382"/>
      <c r="AY33" s="1378"/>
      <c r="AZ33" s="1376"/>
      <c r="BA33" s="1376"/>
      <c r="BB33" s="1383"/>
      <c r="BC33" s="1383"/>
      <c r="BD33" s="1383"/>
      <c r="BE33" s="1383"/>
      <c r="BF33" s="1383"/>
      <c r="BG33" s="1383"/>
      <c r="BH33" s="1383"/>
      <c r="BI33" s="1383"/>
      <c r="BJ33" s="1383">
        <v>1</v>
      </c>
    </row>
    <row r="34" spans="1:62" x14ac:dyDescent="0.2">
      <c r="A34" s="1376" t="s">
        <v>1429</v>
      </c>
      <c r="B34" s="1376">
        <v>1</v>
      </c>
      <c r="C34" s="1376" t="s">
        <v>1722</v>
      </c>
      <c r="D34" s="1377">
        <v>52</v>
      </c>
      <c r="E34" s="1378">
        <v>0</v>
      </c>
      <c r="F34" s="1376">
        <v>6</v>
      </c>
      <c r="G34" s="1379"/>
      <c r="H34" s="1379"/>
      <c r="I34" s="1379"/>
      <c r="J34" s="1379"/>
      <c r="K34" s="1376"/>
      <c r="L34" s="1376"/>
      <c r="M34" s="1376"/>
      <c r="N34" s="1379"/>
      <c r="O34" s="1379"/>
      <c r="P34" s="1379">
        <v>17</v>
      </c>
      <c r="Q34" s="1379"/>
      <c r="R34" s="1376"/>
      <c r="S34" s="1376"/>
      <c r="T34" s="1376"/>
      <c r="W34" s="1376"/>
      <c r="X34" s="1376"/>
      <c r="Y34" s="1376"/>
      <c r="Z34" s="1381"/>
      <c r="AA34" s="1379" t="s">
        <v>1725</v>
      </c>
      <c r="AB34" s="1376" t="s">
        <v>1726</v>
      </c>
      <c r="AC34" s="1377"/>
      <c r="AD34" s="1378">
        <v>11.125</v>
      </c>
      <c r="AE34" s="1376" t="s">
        <v>35</v>
      </c>
      <c r="AF34" s="1376">
        <v>8</v>
      </c>
      <c r="AG34" s="1379">
        <v>0</v>
      </c>
      <c r="AH34" s="1376">
        <v>5</v>
      </c>
      <c r="AI34" s="1379">
        <v>8</v>
      </c>
      <c r="AJ34" s="1379">
        <v>0</v>
      </c>
      <c r="AK34" s="1379"/>
      <c r="AL34" s="1382"/>
      <c r="AM34" s="1378">
        <v>5</v>
      </c>
      <c r="AN34" s="1376">
        <v>13</v>
      </c>
      <c r="AO34" s="1376">
        <v>4</v>
      </c>
      <c r="AP34" s="1382">
        <v>2</v>
      </c>
      <c r="AQ34" s="1378"/>
      <c r="AR34" s="1376"/>
      <c r="AS34" s="1376"/>
      <c r="AT34" s="1382"/>
      <c r="AU34" s="1378"/>
      <c r="AV34" s="1376"/>
      <c r="AW34" s="1376"/>
      <c r="AX34" s="1382"/>
      <c r="AY34" s="1378"/>
      <c r="AZ34" s="1376"/>
      <c r="BA34" s="1376"/>
      <c r="BB34" s="1383"/>
      <c r="BC34" s="1383"/>
      <c r="BD34" s="1383"/>
      <c r="BE34" s="1383"/>
      <c r="BF34" s="1383"/>
      <c r="BG34" s="1383"/>
      <c r="BH34" s="1383"/>
      <c r="BI34" s="1383"/>
      <c r="BJ34" s="1383">
        <v>1</v>
      </c>
    </row>
    <row r="35" spans="1:62" x14ac:dyDescent="0.2">
      <c r="A35" s="1376" t="s">
        <v>1430</v>
      </c>
      <c r="B35" s="1376">
        <v>1</v>
      </c>
      <c r="C35" s="1376" t="s">
        <v>1722</v>
      </c>
      <c r="D35" s="1377">
        <v>52</v>
      </c>
      <c r="E35" s="1378">
        <v>0</v>
      </c>
      <c r="F35" s="1376">
        <v>6</v>
      </c>
      <c r="G35" s="1379"/>
      <c r="H35" s="1379"/>
      <c r="I35" s="1379"/>
      <c r="J35" s="1379"/>
      <c r="K35" s="1376"/>
      <c r="L35" s="1376"/>
      <c r="M35" s="1376"/>
      <c r="N35" s="1379"/>
      <c r="O35" s="1379"/>
      <c r="P35" s="1379">
        <v>17</v>
      </c>
      <c r="Q35" s="1379"/>
      <c r="R35" s="1376"/>
      <c r="S35" s="1376"/>
      <c r="T35" s="1376"/>
      <c r="W35" s="1376"/>
      <c r="X35" s="1376"/>
      <c r="Y35" s="1376"/>
      <c r="Z35" s="1381"/>
      <c r="AA35" s="1379" t="s">
        <v>1727</v>
      </c>
      <c r="AB35" s="1376" t="s">
        <v>158</v>
      </c>
      <c r="AC35" s="1377"/>
      <c r="AD35" s="1378">
        <v>11.125</v>
      </c>
      <c r="AE35" s="1376" t="s">
        <v>35</v>
      </c>
      <c r="AF35" s="1376">
        <v>8</v>
      </c>
      <c r="AG35" s="1379">
        <v>0</v>
      </c>
      <c r="AH35" s="1376">
        <v>5</v>
      </c>
      <c r="AI35" s="1379">
        <v>8</v>
      </c>
      <c r="AJ35" s="1379">
        <v>0</v>
      </c>
      <c r="AK35" s="1379"/>
      <c r="AL35" s="1382"/>
      <c r="AM35" s="1378">
        <v>5</v>
      </c>
      <c r="AN35" s="1376">
        <v>13</v>
      </c>
      <c r="AO35" s="1376">
        <v>4</v>
      </c>
      <c r="AP35" s="1382">
        <v>2</v>
      </c>
      <c r="AQ35" s="1378"/>
      <c r="AR35" s="1376"/>
      <c r="AS35" s="1376"/>
      <c r="AT35" s="1382"/>
      <c r="AU35" s="1378"/>
      <c r="AV35" s="1376"/>
      <c r="AW35" s="1376"/>
      <c r="AX35" s="1382"/>
      <c r="AY35" s="1378"/>
      <c r="AZ35" s="1376"/>
      <c r="BA35" s="1376"/>
      <c r="BB35" s="1383"/>
      <c r="BC35" s="1383"/>
      <c r="BD35" s="1383"/>
      <c r="BE35" s="1383"/>
      <c r="BF35" s="1383"/>
      <c r="BG35" s="1383"/>
      <c r="BH35" s="1383"/>
      <c r="BI35" s="1383"/>
      <c r="BJ35" s="1383">
        <v>1</v>
      </c>
    </row>
    <row r="36" spans="1:62" x14ac:dyDescent="0.2">
      <c r="A36" s="1376" t="s">
        <v>1431</v>
      </c>
      <c r="B36" s="1376">
        <v>1</v>
      </c>
      <c r="C36" s="1376" t="s">
        <v>1722</v>
      </c>
      <c r="D36" s="1377">
        <v>52</v>
      </c>
      <c r="E36" s="1378">
        <v>0</v>
      </c>
      <c r="F36" s="1376">
        <v>6</v>
      </c>
      <c r="G36" s="1379"/>
      <c r="H36" s="1379"/>
      <c r="I36" s="1379"/>
      <c r="J36" s="1379"/>
      <c r="K36" s="1376"/>
      <c r="L36" s="1376"/>
      <c r="M36" s="1376"/>
      <c r="N36" s="1379"/>
      <c r="O36" s="1379"/>
      <c r="P36" s="1379">
        <v>6</v>
      </c>
      <c r="Q36" s="1379"/>
      <c r="R36" s="1376"/>
      <c r="S36" s="1376"/>
      <c r="T36" s="1376"/>
      <c r="W36" s="1376"/>
      <c r="X36" s="1376"/>
      <c r="Y36" s="1376"/>
      <c r="Z36" s="1381"/>
      <c r="AA36" s="1379" t="s">
        <v>1724</v>
      </c>
      <c r="AB36" s="1376"/>
      <c r="AC36" s="1377"/>
      <c r="AD36" s="1378">
        <v>11.125</v>
      </c>
      <c r="AE36" s="1376" t="s">
        <v>35</v>
      </c>
      <c r="AF36" s="1376">
        <v>4</v>
      </c>
      <c r="AG36" s="1379">
        <v>0</v>
      </c>
      <c r="AH36" s="1376">
        <v>5</v>
      </c>
      <c r="AI36" s="1379">
        <v>8</v>
      </c>
      <c r="AJ36" s="1379">
        <v>0</v>
      </c>
      <c r="AK36" s="1379"/>
      <c r="AL36" s="1382"/>
      <c r="AM36" s="1378">
        <v>5</v>
      </c>
      <c r="AN36" s="1376">
        <v>13</v>
      </c>
      <c r="AO36" s="1376">
        <v>4</v>
      </c>
      <c r="AP36" s="1382"/>
      <c r="AQ36" s="1378">
        <v>2</v>
      </c>
      <c r="AR36" s="1376" t="s">
        <v>1018</v>
      </c>
      <c r="AS36" s="1376" t="s">
        <v>1705</v>
      </c>
      <c r="AT36" s="1382"/>
      <c r="AU36" s="1378" t="s">
        <v>35</v>
      </c>
      <c r="AV36" s="1376"/>
      <c r="AW36" s="1376"/>
      <c r="AX36" s="1382"/>
      <c r="AY36" s="1378"/>
      <c r="AZ36" s="1376"/>
      <c r="BA36" s="1376"/>
      <c r="BB36" s="1383"/>
      <c r="BC36" s="1383"/>
      <c r="BD36" s="1383"/>
      <c r="BE36" s="1383"/>
      <c r="BF36" s="1383"/>
      <c r="BG36" s="1383"/>
      <c r="BH36" s="1383"/>
      <c r="BI36" s="1383"/>
      <c r="BJ36" s="1383">
        <v>1</v>
      </c>
    </row>
    <row r="37" spans="1:62" x14ac:dyDescent="0.2">
      <c r="A37" s="1376" t="s">
        <v>1432</v>
      </c>
      <c r="B37" s="1376">
        <v>2</v>
      </c>
      <c r="C37" s="1376" t="s">
        <v>1722</v>
      </c>
      <c r="D37" s="1377">
        <v>52</v>
      </c>
      <c r="E37" s="1378">
        <v>0</v>
      </c>
      <c r="F37" s="1376">
        <v>6</v>
      </c>
      <c r="G37" s="1379"/>
      <c r="H37" s="1379"/>
      <c r="I37" s="1379"/>
      <c r="J37" s="1379"/>
      <c r="K37" s="1376"/>
      <c r="L37" s="1376"/>
      <c r="M37" s="1376"/>
      <c r="N37" s="1379"/>
      <c r="O37" s="1379"/>
      <c r="P37" s="1379">
        <v>6</v>
      </c>
      <c r="Q37" s="1379"/>
      <c r="R37" s="1376"/>
      <c r="S37" s="1376"/>
      <c r="T37" s="1376"/>
      <c r="W37" s="1376"/>
      <c r="X37" s="1376"/>
      <c r="Y37" s="1376"/>
      <c r="Z37" s="1381"/>
      <c r="AA37" s="1379">
        <v>10</v>
      </c>
      <c r="AB37" s="1376"/>
      <c r="AC37" s="1377"/>
      <c r="AD37" s="1378">
        <v>11.125</v>
      </c>
      <c r="AE37" s="1376" t="s">
        <v>35</v>
      </c>
      <c r="AF37" s="1376">
        <v>8</v>
      </c>
      <c r="AG37" s="1379">
        <v>0</v>
      </c>
      <c r="AH37" s="1376">
        <v>5</v>
      </c>
      <c r="AI37" s="1379">
        <v>8</v>
      </c>
      <c r="AJ37" s="1379">
        <v>0</v>
      </c>
      <c r="AK37" s="1379"/>
      <c r="AL37" s="1382"/>
      <c r="AM37" s="1378">
        <v>5</v>
      </c>
      <c r="AN37" s="1376">
        <v>13</v>
      </c>
      <c r="AO37" s="1376">
        <v>4</v>
      </c>
      <c r="AP37" s="1382">
        <v>2</v>
      </c>
      <c r="AQ37" s="1378"/>
      <c r="AR37" s="1376" t="s">
        <v>1018</v>
      </c>
      <c r="AS37" s="1376" t="s">
        <v>1706</v>
      </c>
      <c r="AT37" s="1382"/>
      <c r="AU37" s="1378" t="s">
        <v>35</v>
      </c>
      <c r="AV37" s="1376"/>
      <c r="AW37" s="1376"/>
      <c r="AX37" s="1382"/>
      <c r="AY37" s="1378"/>
      <c r="AZ37" s="1376"/>
      <c r="BA37" s="1376"/>
      <c r="BB37" s="1383"/>
      <c r="BC37" s="1383"/>
      <c r="BD37" s="1383"/>
      <c r="BE37" s="1383"/>
      <c r="BF37" s="1383"/>
      <c r="BG37" s="1383"/>
      <c r="BH37" s="1383"/>
      <c r="BI37" s="1383"/>
      <c r="BJ37" s="1383">
        <v>1</v>
      </c>
    </row>
    <row r="38" spans="1:62" x14ac:dyDescent="0.2">
      <c r="A38" s="1376" t="s">
        <v>1433</v>
      </c>
      <c r="B38" s="1376">
        <v>2</v>
      </c>
      <c r="C38" s="1376" t="s">
        <v>1722</v>
      </c>
      <c r="D38" s="1377">
        <v>52</v>
      </c>
      <c r="E38" s="1378">
        <v>0</v>
      </c>
      <c r="F38" s="1376">
        <v>6</v>
      </c>
      <c r="G38" s="1379"/>
      <c r="H38" s="1379"/>
      <c r="I38" s="1379"/>
      <c r="J38" s="1379"/>
      <c r="K38" s="1376"/>
      <c r="L38" s="1376"/>
      <c r="M38" s="1376"/>
      <c r="N38" s="1379"/>
      <c r="O38" s="1379"/>
      <c r="P38" s="1379">
        <v>6</v>
      </c>
      <c r="Q38" s="1379"/>
      <c r="R38" s="1376"/>
      <c r="S38" s="1376"/>
      <c r="T38" s="1376"/>
      <c r="W38" s="1376"/>
      <c r="X38" s="1376"/>
      <c r="Y38" s="1376"/>
      <c r="Z38" s="1381"/>
      <c r="AA38" s="1379">
        <v>10</v>
      </c>
      <c r="AB38" s="1376"/>
      <c r="AC38" s="1377"/>
      <c r="AD38" s="1378">
        <v>11.125</v>
      </c>
      <c r="AE38" s="1376" t="s">
        <v>35</v>
      </c>
      <c r="AF38" s="1376">
        <v>4</v>
      </c>
      <c r="AG38" s="1379">
        <v>0</v>
      </c>
      <c r="AH38" s="1376">
        <v>5</v>
      </c>
      <c r="AI38" s="1379">
        <v>8</v>
      </c>
      <c r="AJ38" s="1379">
        <v>0</v>
      </c>
      <c r="AK38" s="1379"/>
      <c r="AL38" s="1382"/>
      <c r="AM38" s="1378">
        <v>5</v>
      </c>
      <c r="AN38" s="1376">
        <v>13</v>
      </c>
      <c r="AO38" s="1376">
        <v>4</v>
      </c>
      <c r="AP38" s="1382"/>
      <c r="AQ38" s="1378">
        <v>2</v>
      </c>
      <c r="AR38" s="1376" t="s">
        <v>1018</v>
      </c>
      <c r="AS38" s="1376" t="s">
        <v>1705</v>
      </c>
      <c r="AT38" s="1382"/>
      <c r="AU38" s="1378" t="s">
        <v>35</v>
      </c>
      <c r="AV38" s="1376"/>
      <c r="AW38" s="1376"/>
      <c r="AX38" s="1382"/>
      <c r="AY38" s="1378"/>
      <c r="AZ38" s="1376"/>
      <c r="BA38" s="1376"/>
      <c r="BB38" s="1383"/>
      <c r="BC38" s="1383"/>
      <c r="BD38" s="1383"/>
      <c r="BE38" s="1383"/>
      <c r="BF38" s="1383"/>
      <c r="BG38" s="1383"/>
      <c r="BH38" s="1383"/>
      <c r="BI38" s="1383"/>
      <c r="BJ38" s="1383">
        <v>1</v>
      </c>
    </row>
    <row r="39" spans="1:62" x14ac:dyDescent="0.2">
      <c r="A39" s="1376" t="s">
        <v>1434</v>
      </c>
      <c r="B39" s="1376">
        <v>2</v>
      </c>
      <c r="C39" s="1376" t="s">
        <v>1722</v>
      </c>
      <c r="D39" s="1377">
        <v>52</v>
      </c>
      <c r="E39" s="1378">
        <v>0</v>
      </c>
      <c r="F39" s="1376">
        <v>6</v>
      </c>
      <c r="G39" s="1379"/>
      <c r="H39" s="1379"/>
      <c r="I39" s="1379"/>
      <c r="J39" s="1379"/>
      <c r="K39" s="1376"/>
      <c r="L39" s="1376"/>
      <c r="M39" s="1376"/>
      <c r="N39" s="1379"/>
      <c r="O39" s="1379"/>
      <c r="P39" s="1379">
        <v>6</v>
      </c>
      <c r="Q39" s="1379"/>
      <c r="R39" s="1376"/>
      <c r="S39" s="1376"/>
      <c r="T39" s="1376"/>
      <c r="W39" s="1376"/>
      <c r="X39" s="1376"/>
      <c r="Y39" s="1376"/>
      <c r="Z39" s="1381"/>
      <c r="AA39" s="1379" t="s">
        <v>1728</v>
      </c>
      <c r="AB39" s="1376"/>
      <c r="AC39" s="1377"/>
      <c r="AD39" s="1378">
        <v>11.125</v>
      </c>
      <c r="AE39" s="1376" t="s">
        <v>35</v>
      </c>
      <c r="AF39" s="1376">
        <v>8</v>
      </c>
      <c r="AG39" s="1379">
        <v>0</v>
      </c>
      <c r="AH39" s="1376">
        <v>5</v>
      </c>
      <c r="AI39" s="1379">
        <v>8</v>
      </c>
      <c r="AJ39" s="1379">
        <v>0</v>
      </c>
      <c r="AK39" s="1379"/>
      <c r="AL39" s="1382"/>
      <c r="AM39" s="1378">
        <v>5</v>
      </c>
      <c r="AN39" s="1376">
        <v>13</v>
      </c>
      <c r="AO39" s="1376">
        <v>4</v>
      </c>
      <c r="AP39" s="1382">
        <v>2</v>
      </c>
      <c r="AQ39" s="1378"/>
      <c r="AR39" s="1376" t="s">
        <v>1018</v>
      </c>
      <c r="AS39" s="1376" t="s">
        <v>1706</v>
      </c>
      <c r="AT39" s="1382"/>
      <c r="AU39" s="1378" t="s">
        <v>35</v>
      </c>
      <c r="AV39" s="1376"/>
      <c r="AW39" s="1376"/>
      <c r="AX39" s="1382"/>
      <c r="AY39" s="1378"/>
      <c r="AZ39" s="1376"/>
      <c r="BA39" s="1376"/>
      <c r="BB39" s="1383"/>
      <c r="BC39" s="1383"/>
      <c r="BD39" s="1383"/>
      <c r="BE39" s="1383"/>
      <c r="BF39" s="1383"/>
      <c r="BG39" s="1383"/>
      <c r="BH39" s="1383"/>
      <c r="BI39" s="1383"/>
      <c r="BJ39" s="1383">
        <v>1</v>
      </c>
    </row>
    <row r="40" spans="1:62" x14ac:dyDescent="0.2">
      <c r="A40" s="1376" t="s">
        <v>1435</v>
      </c>
      <c r="B40" s="1376">
        <v>1</v>
      </c>
      <c r="C40" s="1376" t="s">
        <v>1722</v>
      </c>
      <c r="D40" s="1377">
        <v>52</v>
      </c>
      <c r="E40" s="1378">
        <v>0</v>
      </c>
      <c r="F40" s="1376">
        <v>6</v>
      </c>
      <c r="G40" s="1379"/>
      <c r="H40" s="1379"/>
      <c r="I40" s="1379"/>
      <c r="J40" s="1379"/>
      <c r="K40" s="1376"/>
      <c r="L40" s="1376"/>
      <c r="M40" s="1376"/>
      <c r="N40" s="1379"/>
      <c r="O40" s="1379"/>
      <c r="P40" s="1379">
        <v>6</v>
      </c>
      <c r="Q40" s="1379"/>
      <c r="R40" s="1376"/>
      <c r="S40" s="1376"/>
      <c r="T40" s="1376"/>
      <c r="W40" s="1376"/>
      <c r="X40" s="1376"/>
      <c r="Y40" s="1376"/>
      <c r="Z40" s="1381"/>
      <c r="AA40" s="1379" t="s">
        <v>1728</v>
      </c>
      <c r="AB40" s="1376" t="s">
        <v>34</v>
      </c>
      <c r="AC40" s="1377"/>
      <c r="AD40" s="1378">
        <v>11.125</v>
      </c>
      <c r="AE40" s="1376" t="s">
        <v>35</v>
      </c>
      <c r="AF40" s="1376">
        <v>4</v>
      </c>
      <c r="AG40" s="1379">
        <v>0</v>
      </c>
      <c r="AH40" s="1376">
        <v>5</v>
      </c>
      <c r="AI40" s="1379">
        <v>8</v>
      </c>
      <c r="AJ40" s="1379">
        <v>0</v>
      </c>
      <c r="AK40" s="1379"/>
      <c r="AL40" s="1382"/>
      <c r="AM40" s="1378">
        <v>5</v>
      </c>
      <c r="AN40" s="1376">
        <v>13</v>
      </c>
      <c r="AO40" s="1376">
        <v>4</v>
      </c>
      <c r="AP40" s="1382"/>
      <c r="AQ40" s="1378">
        <v>2</v>
      </c>
      <c r="AR40" s="1376" t="s">
        <v>1018</v>
      </c>
      <c r="AS40" s="1376" t="s">
        <v>1705</v>
      </c>
      <c r="AT40" s="1382"/>
      <c r="AU40" s="1378" t="s">
        <v>35</v>
      </c>
      <c r="AV40" s="1376"/>
      <c r="AW40" s="1376"/>
      <c r="AX40" s="1382"/>
      <c r="AY40" s="1378"/>
      <c r="AZ40" s="1376"/>
      <c r="BA40" s="1376"/>
      <c r="BB40" s="1383"/>
      <c r="BC40" s="1383"/>
      <c r="BD40" s="1383"/>
      <c r="BE40" s="1383"/>
      <c r="BF40" s="1383"/>
      <c r="BG40" s="1383"/>
      <c r="BH40" s="1383"/>
      <c r="BI40" s="1383"/>
      <c r="BJ40" s="1383">
        <v>1</v>
      </c>
    </row>
    <row r="41" spans="1:62" x14ac:dyDescent="0.2">
      <c r="A41" s="1376" t="s">
        <v>1436</v>
      </c>
      <c r="B41" s="1376">
        <v>1</v>
      </c>
      <c r="C41" s="1376" t="s">
        <v>1722</v>
      </c>
      <c r="D41" s="1377">
        <v>51</v>
      </c>
      <c r="E41" s="1378">
        <v>3</v>
      </c>
      <c r="F41" s="1376">
        <v>6</v>
      </c>
      <c r="G41" s="1379"/>
      <c r="H41" s="1379"/>
      <c r="I41" s="1379"/>
      <c r="J41" s="1379"/>
      <c r="K41" s="1376"/>
      <c r="L41" s="1376"/>
      <c r="M41" s="1376"/>
      <c r="N41" s="1379"/>
      <c r="O41" s="1379"/>
      <c r="P41" s="1379">
        <v>2</v>
      </c>
      <c r="Q41" s="1379"/>
      <c r="R41" s="1376"/>
      <c r="S41" s="1376"/>
      <c r="T41" s="1376"/>
      <c r="W41" s="1376"/>
      <c r="X41" s="1376"/>
      <c r="Y41" s="1376"/>
      <c r="Z41" s="1381"/>
      <c r="AA41" s="1379" t="s">
        <v>1724</v>
      </c>
      <c r="AB41" s="1376" t="s">
        <v>1679</v>
      </c>
      <c r="AC41" s="1377"/>
      <c r="AD41" s="1378">
        <v>11.125</v>
      </c>
      <c r="AE41" s="1376" t="s">
        <v>35</v>
      </c>
      <c r="AF41" s="1376">
        <v>4</v>
      </c>
      <c r="AG41" s="1379">
        <v>0</v>
      </c>
      <c r="AH41" s="1376">
        <v>5</v>
      </c>
      <c r="AI41" s="1379">
        <v>8</v>
      </c>
      <c r="AJ41" s="1379">
        <v>0</v>
      </c>
      <c r="AK41" s="1379"/>
      <c r="AL41" s="1382"/>
      <c r="AM41" s="1378">
        <v>5</v>
      </c>
      <c r="AN41" s="1376">
        <v>13</v>
      </c>
      <c r="AO41" s="1376">
        <v>4</v>
      </c>
      <c r="AP41" s="1382"/>
      <c r="AQ41" s="1378"/>
      <c r="AR41" s="1376" t="s">
        <v>1018</v>
      </c>
      <c r="AS41" s="1376" t="s">
        <v>1705</v>
      </c>
      <c r="AT41" s="1382"/>
      <c r="AU41" s="1378" t="s">
        <v>35</v>
      </c>
      <c r="AV41" s="1376"/>
      <c r="AW41" s="1376"/>
      <c r="AX41" s="1382"/>
      <c r="AY41" s="1378"/>
      <c r="AZ41" s="1376"/>
      <c r="BA41" s="1376"/>
      <c r="BB41" s="1383"/>
      <c r="BC41" s="1383"/>
      <c r="BD41" s="1383"/>
      <c r="BE41" s="1383"/>
      <c r="BF41" s="1383"/>
      <c r="BG41" s="1383"/>
      <c r="BH41" s="1383"/>
      <c r="BI41" s="1383"/>
      <c r="BJ41" s="1383">
        <v>1</v>
      </c>
    </row>
    <row r="42" spans="1:62" x14ac:dyDescent="0.2">
      <c r="A42" s="1376" t="s">
        <v>1437</v>
      </c>
      <c r="B42" s="1376">
        <v>3</v>
      </c>
      <c r="C42" s="1376" t="s">
        <v>1729</v>
      </c>
      <c r="D42" s="1377">
        <v>59</v>
      </c>
      <c r="E42" s="1378">
        <v>2.25</v>
      </c>
      <c r="F42" s="1376">
        <v>7</v>
      </c>
      <c r="G42" s="1379"/>
      <c r="H42" s="1379"/>
      <c r="I42" s="1379"/>
      <c r="J42" s="1379"/>
      <c r="K42" s="1376"/>
      <c r="L42" s="1376"/>
      <c r="M42" s="1376"/>
      <c r="N42" s="1379"/>
      <c r="O42" s="1379"/>
      <c r="P42" s="1379">
        <v>2</v>
      </c>
      <c r="Q42" s="1379"/>
      <c r="R42" s="1376"/>
      <c r="S42" s="1376"/>
      <c r="T42" s="1376"/>
      <c r="W42" s="1376"/>
      <c r="X42" s="1376"/>
      <c r="Y42" s="1376"/>
      <c r="Z42" s="1381"/>
      <c r="AA42" s="1379" t="s">
        <v>1730</v>
      </c>
      <c r="AB42" s="1376" t="s">
        <v>1679</v>
      </c>
      <c r="AC42" s="1377"/>
      <c r="AD42" s="1378">
        <v>11.125</v>
      </c>
      <c r="AE42" s="1376" t="s">
        <v>35</v>
      </c>
      <c r="AF42" s="1376">
        <v>4</v>
      </c>
      <c r="AG42" s="1379">
        <v>0</v>
      </c>
      <c r="AH42" s="1376">
        <v>6</v>
      </c>
      <c r="AI42" s="1379">
        <v>8</v>
      </c>
      <c r="AJ42" s="1379">
        <v>0</v>
      </c>
      <c r="AK42" s="1379"/>
      <c r="AL42" s="1382"/>
      <c r="AM42" s="1378">
        <v>5</v>
      </c>
      <c r="AN42" s="1376">
        <v>13</v>
      </c>
      <c r="AO42" s="1376">
        <v>4</v>
      </c>
      <c r="AP42" s="1382"/>
      <c r="AQ42" s="1378"/>
      <c r="AR42" s="1376" t="s">
        <v>1018</v>
      </c>
      <c r="AS42" s="1376" t="s">
        <v>1705</v>
      </c>
      <c r="AT42" s="1382"/>
      <c r="AU42" s="1378" t="s">
        <v>35</v>
      </c>
      <c r="AV42" s="1376"/>
      <c r="AW42" s="1376"/>
      <c r="AX42" s="1382"/>
      <c r="AY42" s="1378"/>
      <c r="AZ42" s="1376"/>
      <c r="BA42" s="1376"/>
      <c r="BB42" s="1383"/>
      <c r="BC42" s="1383"/>
      <c r="BD42" s="1383"/>
      <c r="BE42" s="1383"/>
      <c r="BF42" s="1383"/>
      <c r="BG42" s="1383"/>
      <c r="BH42" s="1383"/>
      <c r="BI42" s="1383"/>
      <c r="BJ42" s="1383">
        <v>1</v>
      </c>
    </row>
    <row r="43" spans="1:62" x14ac:dyDescent="0.2">
      <c r="A43" s="1376" t="s">
        <v>1438</v>
      </c>
      <c r="B43" s="1376">
        <v>2</v>
      </c>
      <c r="C43" s="1376" t="s">
        <v>1729</v>
      </c>
      <c r="D43" s="1377">
        <v>59</v>
      </c>
      <c r="E43" s="1378">
        <v>7</v>
      </c>
      <c r="F43" s="1376">
        <v>7</v>
      </c>
      <c r="G43" s="1379"/>
      <c r="H43" s="1379"/>
      <c r="I43" s="1379"/>
      <c r="J43" s="1379"/>
      <c r="K43" s="1376"/>
      <c r="L43" s="1376"/>
      <c r="M43" s="1376"/>
      <c r="N43" s="1379"/>
      <c r="O43" s="1379"/>
      <c r="P43" s="1379">
        <v>18</v>
      </c>
      <c r="Q43" s="1379"/>
      <c r="R43" s="1376"/>
      <c r="S43" s="1376"/>
      <c r="T43" s="1376"/>
      <c r="W43" s="1376"/>
      <c r="X43" s="1376"/>
      <c r="Y43" s="1376"/>
      <c r="Z43" s="1381"/>
      <c r="AA43" s="1379">
        <v>12</v>
      </c>
      <c r="AB43" s="1376" t="s">
        <v>158</v>
      </c>
      <c r="AC43" s="1377"/>
      <c r="AD43" s="1378">
        <v>11.125</v>
      </c>
      <c r="AE43" s="1376" t="s">
        <v>35</v>
      </c>
      <c r="AF43" s="1376">
        <v>4</v>
      </c>
      <c r="AG43" s="1379">
        <v>0</v>
      </c>
      <c r="AH43" s="1376">
        <v>6</v>
      </c>
      <c r="AI43" s="1379">
        <v>8</v>
      </c>
      <c r="AJ43" s="1379">
        <v>0</v>
      </c>
      <c r="AK43" s="1379"/>
      <c r="AL43" s="1382"/>
      <c r="AM43" s="1378">
        <v>5</v>
      </c>
      <c r="AN43" s="1376">
        <v>13</v>
      </c>
      <c r="AO43" s="1376">
        <v>4</v>
      </c>
      <c r="AP43" s="1382"/>
      <c r="AQ43" s="1378"/>
      <c r="AR43" s="1376" t="s">
        <v>1018</v>
      </c>
      <c r="AS43" s="1376" t="s">
        <v>1705</v>
      </c>
      <c r="AT43" s="1382"/>
      <c r="AU43" s="1378" t="s">
        <v>35</v>
      </c>
      <c r="AV43" s="1376"/>
      <c r="AW43" s="1376"/>
      <c r="AX43" s="1382"/>
      <c r="AY43" s="1378"/>
      <c r="AZ43" s="1376"/>
      <c r="BA43" s="1376"/>
      <c r="BB43" s="1383"/>
      <c r="BC43" s="1383"/>
      <c r="BD43" s="1383"/>
      <c r="BE43" s="1383"/>
      <c r="BF43" s="1383"/>
      <c r="BG43" s="1383"/>
      <c r="BH43" s="1383"/>
      <c r="BI43" s="1383"/>
      <c r="BJ43" s="1383">
        <v>1</v>
      </c>
    </row>
    <row r="44" spans="1:62" x14ac:dyDescent="0.2">
      <c r="A44" s="1376" t="s">
        <v>1439</v>
      </c>
      <c r="B44" s="1376">
        <v>2</v>
      </c>
      <c r="C44" s="1376" t="s">
        <v>1731</v>
      </c>
      <c r="D44" s="1377">
        <v>56</v>
      </c>
      <c r="E44" s="1378">
        <v>5</v>
      </c>
      <c r="F44" s="1376">
        <v>7</v>
      </c>
      <c r="G44" s="1379"/>
      <c r="H44" s="1379"/>
      <c r="I44" s="1379"/>
      <c r="J44" s="1379"/>
      <c r="K44" s="1376"/>
      <c r="L44" s="1376"/>
      <c r="M44" s="1376"/>
      <c r="N44" s="1379"/>
      <c r="O44" s="1379"/>
      <c r="P44" s="1379">
        <v>18</v>
      </c>
      <c r="Q44" s="1379"/>
      <c r="R44" s="1376"/>
      <c r="S44" s="1376"/>
      <c r="T44" s="1376"/>
      <c r="W44" s="1376"/>
      <c r="X44" s="1376"/>
      <c r="Y44" s="1376"/>
      <c r="Z44" s="1381"/>
      <c r="AA44" s="1379" t="s">
        <v>1732</v>
      </c>
      <c r="AB44" s="1376" t="s">
        <v>158</v>
      </c>
      <c r="AC44" s="1377"/>
      <c r="AD44" s="1378">
        <v>11.125</v>
      </c>
      <c r="AE44" s="1376" t="s">
        <v>35</v>
      </c>
      <c r="AF44" s="1376">
        <v>8</v>
      </c>
      <c r="AG44" s="1379">
        <v>0</v>
      </c>
      <c r="AH44" s="1376">
        <v>5</v>
      </c>
      <c r="AI44" s="1379">
        <v>8</v>
      </c>
      <c r="AJ44" s="1379">
        <v>0</v>
      </c>
      <c r="AK44" s="1379"/>
      <c r="AL44" s="1382"/>
      <c r="AM44" s="1378">
        <v>5</v>
      </c>
      <c r="AN44" s="1376">
        <v>13</v>
      </c>
      <c r="AO44" s="1376">
        <v>4</v>
      </c>
      <c r="AP44" s="1382">
        <v>2</v>
      </c>
      <c r="AQ44" s="1378"/>
      <c r="AR44" s="1376"/>
      <c r="AS44" s="1376"/>
      <c r="AT44" s="1382"/>
      <c r="AU44" s="1378"/>
      <c r="AV44" s="1376"/>
      <c r="AW44" s="1376"/>
      <c r="AX44" s="1382"/>
      <c r="AY44" s="1378"/>
      <c r="AZ44" s="1376"/>
      <c r="BA44" s="1376"/>
      <c r="BB44" s="1383"/>
      <c r="BC44" s="1383"/>
      <c r="BD44" s="1383"/>
      <c r="BE44" s="1383"/>
      <c r="BF44" s="1383"/>
      <c r="BG44" s="1383"/>
      <c r="BH44" s="1383"/>
      <c r="BI44" s="1383"/>
      <c r="BJ44" s="1383">
        <v>1</v>
      </c>
    </row>
    <row r="45" spans="1:62" x14ac:dyDescent="0.2">
      <c r="A45" s="1376" t="s">
        <v>1440</v>
      </c>
      <c r="B45" s="1376">
        <v>1</v>
      </c>
      <c r="C45" s="1376" t="s">
        <v>1731</v>
      </c>
      <c r="D45" s="1377">
        <v>56</v>
      </c>
      <c r="E45" s="1378">
        <v>0</v>
      </c>
      <c r="F45" s="1376">
        <v>7</v>
      </c>
      <c r="G45" s="1379"/>
      <c r="H45" s="1379"/>
      <c r="I45" s="1379"/>
      <c r="J45" s="1379"/>
      <c r="K45" s="1376"/>
      <c r="L45" s="1376"/>
      <c r="M45" s="1376"/>
      <c r="N45" s="1379"/>
      <c r="O45" s="1379"/>
      <c r="P45" s="1379">
        <v>7</v>
      </c>
      <c r="Q45" s="1379"/>
      <c r="R45" s="1376"/>
      <c r="S45" s="1376"/>
      <c r="T45" s="1376"/>
      <c r="W45" s="1376"/>
      <c r="X45" s="1376"/>
      <c r="Y45" s="1376"/>
      <c r="Z45" s="1381"/>
      <c r="AA45" s="1379" t="s">
        <v>1733</v>
      </c>
      <c r="AB45" s="1376"/>
      <c r="AC45" s="1377"/>
      <c r="AD45" s="1378">
        <v>11.125</v>
      </c>
      <c r="AE45" s="1376" t="s">
        <v>35</v>
      </c>
      <c r="AF45" s="1376">
        <v>8</v>
      </c>
      <c r="AG45" s="1379">
        <v>0</v>
      </c>
      <c r="AH45" s="1376">
        <v>5</v>
      </c>
      <c r="AI45" s="1379">
        <v>8</v>
      </c>
      <c r="AJ45" s="1379">
        <v>0</v>
      </c>
      <c r="AK45" s="1379"/>
      <c r="AL45" s="1382"/>
      <c r="AM45" s="1378">
        <v>5</v>
      </c>
      <c r="AN45" s="1376">
        <v>13</v>
      </c>
      <c r="AO45" s="1376">
        <v>4</v>
      </c>
      <c r="AP45" s="1382">
        <v>2</v>
      </c>
      <c r="AQ45" s="1378">
        <v>2</v>
      </c>
      <c r="AR45" s="1376"/>
      <c r="AS45" s="1376"/>
      <c r="AT45" s="1382"/>
      <c r="AU45" s="1378"/>
      <c r="AV45" s="1376"/>
      <c r="AW45" s="1376"/>
      <c r="AX45" s="1382"/>
      <c r="AY45" s="1378"/>
      <c r="AZ45" s="1376"/>
      <c r="BA45" s="1376"/>
      <c r="BB45" s="1383"/>
      <c r="BC45" s="1383"/>
      <c r="BD45" s="1383"/>
      <c r="BE45" s="1383"/>
      <c r="BF45" s="1383"/>
      <c r="BG45" s="1383"/>
      <c r="BH45" s="1383"/>
      <c r="BI45" s="1383"/>
      <c r="BJ45" s="1383">
        <v>1</v>
      </c>
    </row>
    <row r="46" spans="1:62" x14ac:dyDescent="0.2">
      <c r="A46" s="1376" t="s">
        <v>1441</v>
      </c>
      <c r="B46" s="1376">
        <v>1</v>
      </c>
      <c r="C46" s="1376" t="s">
        <v>1731</v>
      </c>
      <c r="D46" s="1377">
        <v>56</v>
      </c>
      <c r="E46" s="1378">
        <v>0</v>
      </c>
      <c r="F46" s="1376">
        <v>7</v>
      </c>
      <c r="G46" s="1379"/>
      <c r="H46" s="1379"/>
      <c r="I46" s="1379"/>
      <c r="J46" s="1379"/>
      <c r="K46" s="1376"/>
      <c r="L46" s="1376"/>
      <c r="M46" s="1376"/>
      <c r="N46" s="1379"/>
      <c r="O46" s="1379"/>
      <c r="P46" s="1379">
        <v>7</v>
      </c>
      <c r="Q46" s="1379"/>
      <c r="R46" s="1376"/>
      <c r="S46" s="1376"/>
      <c r="T46" s="1376"/>
      <c r="W46" s="1376"/>
      <c r="X46" s="1376"/>
      <c r="Y46" s="1376"/>
      <c r="Z46" s="1381"/>
      <c r="AA46" s="1379" t="s">
        <v>1730</v>
      </c>
      <c r="AB46" s="1376"/>
      <c r="AC46" s="1377"/>
      <c r="AD46" s="1378">
        <v>11.125</v>
      </c>
      <c r="AE46" s="1376" t="s">
        <v>35</v>
      </c>
      <c r="AF46" s="1376">
        <v>8</v>
      </c>
      <c r="AG46" s="1379">
        <v>0</v>
      </c>
      <c r="AH46" s="1376">
        <v>5</v>
      </c>
      <c r="AI46" s="1379">
        <v>8</v>
      </c>
      <c r="AJ46" s="1379">
        <v>0</v>
      </c>
      <c r="AK46" s="1379"/>
      <c r="AL46" s="1382"/>
      <c r="AM46" s="1378">
        <v>5</v>
      </c>
      <c r="AN46" s="1376">
        <v>13</v>
      </c>
      <c r="AO46" s="1376">
        <v>4</v>
      </c>
      <c r="AP46" s="1382">
        <v>2</v>
      </c>
      <c r="AQ46" s="1378">
        <v>2</v>
      </c>
      <c r="AR46" s="1376"/>
      <c r="AS46" s="1376"/>
      <c r="AT46" s="1382"/>
      <c r="AU46" s="1378"/>
      <c r="AV46" s="1376"/>
      <c r="AW46" s="1376"/>
      <c r="AX46" s="1382"/>
      <c r="AY46" s="1378"/>
      <c r="AZ46" s="1376"/>
      <c r="BA46" s="1376"/>
      <c r="BB46" s="1383"/>
      <c r="BC46" s="1383"/>
      <c r="BD46" s="1383"/>
      <c r="BE46" s="1383"/>
      <c r="BF46" s="1383"/>
      <c r="BG46" s="1383"/>
      <c r="BH46" s="1383"/>
      <c r="BI46" s="1383"/>
      <c r="BJ46" s="1383">
        <v>1</v>
      </c>
    </row>
    <row r="47" spans="1:62" x14ac:dyDescent="0.2">
      <c r="A47" s="1376" t="s">
        <v>1442</v>
      </c>
      <c r="B47" s="1376">
        <v>4</v>
      </c>
      <c r="C47" s="1376" t="s">
        <v>1731</v>
      </c>
      <c r="D47" s="1377">
        <v>56</v>
      </c>
      <c r="E47" s="1378">
        <v>0</v>
      </c>
      <c r="F47" s="1376">
        <v>7</v>
      </c>
      <c r="G47" s="1379"/>
      <c r="H47" s="1379"/>
      <c r="I47" s="1379"/>
      <c r="J47" s="1379"/>
      <c r="K47" s="1376"/>
      <c r="L47" s="1376"/>
      <c r="M47" s="1376"/>
      <c r="N47" s="1379"/>
      <c r="O47" s="1379"/>
      <c r="P47" s="1379">
        <v>7</v>
      </c>
      <c r="Q47" s="1379"/>
      <c r="R47" s="1376"/>
      <c r="S47" s="1376"/>
      <c r="T47" s="1376"/>
      <c r="W47" s="1376"/>
      <c r="X47" s="1376"/>
      <c r="Y47" s="1376"/>
      <c r="Z47" s="1381"/>
      <c r="AA47" s="1379">
        <v>12</v>
      </c>
      <c r="AB47" s="1376"/>
      <c r="AC47" s="1377"/>
      <c r="AD47" s="1378">
        <v>11.125</v>
      </c>
      <c r="AE47" s="1376" t="s">
        <v>35</v>
      </c>
      <c r="AF47" s="1376">
        <v>8</v>
      </c>
      <c r="AG47" s="1379">
        <v>0</v>
      </c>
      <c r="AH47" s="1376">
        <v>5</v>
      </c>
      <c r="AI47" s="1379">
        <v>8</v>
      </c>
      <c r="AJ47" s="1379">
        <v>0</v>
      </c>
      <c r="AK47" s="1379"/>
      <c r="AL47" s="1382"/>
      <c r="AM47" s="1378">
        <v>5</v>
      </c>
      <c r="AN47" s="1376">
        <v>13</v>
      </c>
      <c r="AO47" s="1376">
        <v>4</v>
      </c>
      <c r="AP47" s="1382">
        <v>2</v>
      </c>
      <c r="AQ47" s="1378">
        <v>2</v>
      </c>
      <c r="AR47" s="1376"/>
      <c r="AS47" s="1376"/>
      <c r="AT47" s="1382"/>
      <c r="AU47" s="1378"/>
      <c r="AV47" s="1376"/>
      <c r="AW47" s="1376"/>
      <c r="AX47" s="1382"/>
      <c r="AY47" s="1378"/>
      <c r="AZ47" s="1376"/>
      <c r="BA47" s="1376"/>
      <c r="BB47" s="1383"/>
      <c r="BC47" s="1383"/>
      <c r="BD47" s="1383"/>
      <c r="BE47" s="1383"/>
      <c r="BF47" s="1383"/>
      <c r="BG47" s="1383"/>
      <c r="BH47" s="1383"/>
      <c r="BI47" s="1383"/>
      <c r="BJ47" s="1383">
        <v>1</v>
      </c>
    </row>
    <row r="48" spans="1:62" x14ac:dyDescent="0.2">
      <c r="A48" s="1376" t="s">
        <v>1443</v>
      </c>
      <c r="B48" s="1376">
        <v>2</v>
      </c>
      <c r="C48" s="1376" t="s">
        <v>1731</v>
      </c>
      <c r="D48" s="1377">
        <v>56</v>
      </c>
      <c r="E48" s="1378">
        <v>0</v>
      </c>
      <c r="F48" s="1376">
        <v>7</v>
      </c>
      <c r="G48" s="1379"/>
      <c r="H48" s="1379"/>
      <c r="I48" s="1379"/>
      <c r="J48" s="1379"/>
      <c r="K48" s="1376"/>
      <c r="L48" s="1376"/>
      <c r="M48" s="1376"/>
      <c r="N48" s="1379"/>
      <c r="O48" s="1379"/>
      <c r="P48" s="1379">
        <v>18</v>
      </c>
      <c r="Q48" s="1379"/>
      <c r="R48" s="1376"/>
      <c r="S48" s="1376"/>
      <c r="T48" s="1376"/>
      <c r="W48" s="1376"/>
      <c r="X48" s="1376"/>
      <c r="Y48" s="1376"/>
      <c r="Z48" s="1381"/>
      <c r="AA48" s="1379">
        <v>12</v>
      </c>
      <c r="AB48" s="1376" t="s">
        <v>158</v>
      </c>
      <c r="AC48" s="1377"/>
      <c r="AD48" s="1378">
        <v>11.125</v>
      </c>
      <c r="AE48" s="1376" t="s">
        <v>35</v>
      </c>
      <c r="AF48" s="1376">
        <v>8</v>
      </c>
      <c r="AG48" s="1379">
        <v>0</v>
      </c>
      <c r="AH48" s="1376">
        <v>5</v>
      </c>
      <c r="AI48" s="1379">
        <v>8</v>
      </c>
      <c r="AJ48" s="1379">
        <v>0</v>
      </c>
      <c r="AK48" s="1379"/>
      <c r="AL48" s="1382"/>
      <c r="AM48" s="1378">
        <v>5</v>
      </c>
      <c r="AN48" s="1376">
        <v>13</v>
      </c>
      <c r="AO48" s="1376">
        <v>4</v>
      </c>
      <c r="AP48" s="1382">
        <v>2</v>
      </c>
      <c r="AQ48" s="1378"/>
      <c r="AR48" s="1376"/>
      <c r="AS48" s="1376"/>
      <c r="AT48" s="1382"/>
      <c r="AU48" s="1378"/>
      <c r="AV48" s="1376"/>
      <c r="AW48" s="1376"/>
      <c r="AX48" s="1382"/>
      <c r="AY48" s="1378"/>
      <c r="AZ48" s="1376"/>
      <c r="BA48" s="1376"/>
      <c r="BB48" s="1383"/>
      <c r="BC48" s="1383"/>
      <c r="BD48" s="1383"/>
      <c r="BE48" s="1383"/>
      <c r="BF48" s="1383"/>
      <c r="BG48" s="1383"/>
      <c r="BH48" s="1383"/>
      <c r="BI48" s="1383"/>
      <c r="BJ48" s="1383">
        <v>1</v>
      </c>
    </row>
    <row r="49" spans="1:62" x14ac:dyDescent="0.2">
      <c r="A49" s="1376" t="s">
        <v>1444</v>
      </c>
      <c r="B49" s="1376">
        <v>1</v>
      </c>
      <c r="C49" s="1376" t="s">
        <v>1731</v>
      </c>
      <c r="D49" s="1377">
        <v>56</v>
      </c>
      <c r="E49" s="1378">
        <v>0</v>
      </c>
      <c r="F49" s="1376">
        <v>7</v>
      </c>
      <c r="G49" s="1379"/>
      <c r="H49" s="1379"/>
      <c r="I49" s="1379"/>
      <c r="J49" s="1379"/>
      <c r="K49" s="1376"/>
      <c r="L49" s="1376"/>
      <c r="M49" s="1376"/>
      <c r="N49" s="1379"/>
      <c r="O49" s="1379"/>
      <c r="P49" s="1379">
        <v>18</v>
      </c>
      <c r="Q49" s="1379"/>
      <c r="R49" s="1376"/>
      <c r="S49" s="1376"/>
      <c r="T49" s="1376"/>
      <c r="W49" s="1376"/>
      <c r="X49" s="1376"/>
      <c r="Y49" s="1376"/>
      <c r="Z49" s="1381"/>
      <c r="AA49" s="1379" t="s">
        <v>1734</v>
      </c>
      <c r="AB49" s="1376" t="s">
        <v>158</v>
      </c>
      <c r="AC49" s="1377"/>
      <c r="AD49" s="1378">
        <v>11.125</v>
      </c>
      <c r="AE49" s="1376" t="s">
        <v>35</v>
      </c>
      <c r="AF49" s="1376">
        <v>8</v>
      </c>
      <c r="AG49" s="1379">
        <v>0</v>
      </c>
      <c r="AH49" s="1376">
        <v>5</v>
      </c>
      <c r="AI49" s="1379">
        <v>8</v>
      </c>
      <c r="AJ49" s="1379">
        <v>0</v>
      </c>
      <c r="AK49" s="1379"/>
      <c r="AL49" s="1382"/>
      <c r="AM49" s="1378">
        <v>5</v>
      </c>
      <c r="AN49" s="1376">
        <v>13</v>
      </c>
      <c r="AO49" s="1376">
        <v>4</v>
      </c>
      <c r="AP49" s="1382">
        <v>2</v>
      </c>
      <c r="AQ49" s="1378"/>
      <c r="AR49" s="1376"/>
      <c r="AS49" s="1376"/>
      <c r="AT49" s="1382"/>
      <c r="AU49" s="1378"/>
      <c r="AV49" s="1376"/>
      <c r="AW49" s="1376"/>
      <c r="AX49" s="1382"/>
      <c r="AY49" s="1378"/>
      <c r="AZ49" s="1376"/>
      <c r="BA49" s="1376"/>
      <c r="BB49" s="1383"/>
      <c r="BC49" s="1383"/>
      <c r="BD49" s="1383"/>
      <c r="BE49" s="1383"/>
      <c r="BF49" s="1383"/>
      <c r="BG49" s="1383"/>
      <c r="BH49" s="1383"/>
      <c r="BI49" s="1383"/>
      <c r="BJ49" s="1383">
        <v>1</v>
      </c>
    </row>
    <row r="50" spans="1:62" x14ac:dyDescent="0.2">
      <c r="A50" s="1376" t="s">
        <v>1445</v>
      </c>
      <c r="B50" s="1376">
        <v>1</v>
      </c>
      <c r="C50" s="1376" t="s">
        <v>1731</v>
      </c>
      <c r="D50" s="1377">
        <v>56</v>
      </c>
      <c r="E50" s="1378">
        <v>0</v>
      </c>
      <c r="F50" s="1376">
        <v>7</v>
      </c>
      <c r="G50" s="1379"/>
      <c r="H50" s="1379"/>
      <c r="I50" s="1379"/>
      <c r="J50" s="1379"/>
      <c r="K50" s="1376"/>
      <c r="L50" s="1376"/>
      <c r="M50" s="1376"/>
      <c r="N50" s="1379"/>
      <c r="O50" s="1379"/>
      <c r="P50" s="1379">
        <v>7</v>
      </c>
      <c r="Q50" s="1379"/>
      <c r="R50" s="1376"/>
      <c r="S50" s="1376"/>
      <c r="T50" s="1376"/>
      <c r="W50" s="1376"/>
      <c r="X50" s="1376"/>
      <c r="Y50" s="1376"/>
      <c r="Z50" s="1381"/>
      <c r="AA50" s="1379" t="s">
        <v>1735</v>
      </c>
      <c r="AB50" s="1376" t="s">
        <v>34</v>
      </c>
      <c r="AC50" s="1377"/>
      <c r="AD50" s="1378">
        <v>11.125</v>
      </c>
      <c r="AE50" s="1376" t="s">
        <v>35</v>
      </c>
      <c r="AF50" s="1376">
        <v>8</v>
      </c>
      <c r="AG50" s="1379">
        <v>0</v>
      </c>
      <c r="AH50" s="1376">
        <v>5</v>
      </c>
      <c r="AI50" s="1379">
        <v>8</v>
      </c>
      <c r="AJ50" s="1379">
        <v>0</v>
      </c>
      <c r="AK50" s="1379"/>
      <c r="AL50" s="1382"/>
      <c r="AM50" s="1378">
        <v>5</v>
      </c>
      <c r="AN50" s="1376">
        <v>13</v>
      </c>
      <c r="AO50" s="1376">
        <v>4</v>
      </c>
      <c r="AP50" s="1382">
        <v>2</v>
      </c>
      <c r="AQ50" s="1378">
        <v>2</v>
      </c>
      <c r="AR50" s="1376"/>
      <c r="AS50" s="1376"/>
      <c r="AT50" s="1382"/>
      <c r="AU50" s="1378"/>
      <c r="AV50" s="1376"/>
      <c r="AW50" s="1376"/>
      <c r="AX50" s="1382"/>
      <c r="AY50" s="1378"/>
      <c r="AZ50" s="1376"/>
      <c r="BA50" s="1376"/>
      <c r="BB50" s="1383"/>
      <c r="BC50" s="1383"/>
      <c r="BD50" s="1383"/>
      <c r="BE50" s="1383"/>
      <c r="BF50" s="1383"/>
      <c r="BG50" s="1383"/>
      <c r="BH50" s="1383"/>
      <c r="BI50" s="1383"/>
      <c r="BJ50" s="1383">
        <v>1</v>
      </c>
    </row>
    <row r="51" spans="1:62" x14ac:dyDescent="0.2">
      <c r="A51" s="1376" t="s">
        <v>1446</v>
      </c>
      <c r="B51" s="1376">
        <v>2</v>
      </c>
      <c r="C51" s="1376" t="s">
        <v>1731</v>
      </c>
      <c r="D51" s="1377">
        <v>56</v>
      </c>
      <c r="E51" s="1378">
        <v>0</v>
      </c>
      <c r="F51" s="1376">
        <v>7</v>
      </c>
      <c r="G51" s="1379"/>
      <c r="H51" s="1379"/>
      <c r="I51" s="1379"/>
      <c r="J51" s="1379"/>
      <c r="K51" s="1376"/>
      <c r="L51" s="1376"/>
      <c r="M51" s="1376"/>
      <c r="N51" s="1379"/>
      <c r="O51" s="1379"/>
      <c r="P51" s="1379">
        <v>7</v>
      </c>
      <c r="Q51" s="1379"/>
      <c r="R51" s="1376"/>
      <c r="S51" s="1376"/>
      <c r="T51" s="1376"/>
      <c r="W51" s="1376"/>
      <c r="X51" s="1376"/>
      <c r="Y51" s="1376"/>
      <c r="Z51" s="1381"/>
      <c r="AA51" s="1379">
        <v>14</v>
      </c>
      <c r="AB51" s="1376"/>
      <c r="AC51" s="1377"/>
      <c r="AD51" s="1378">
        <v>11.125</v>
      </c>
      <c r="AE51" s="1376" t="s">
        <v>35</v>
      </c>
      <c r="AF51" s="1376">
        <v>8</v>
      </c>
      <c r="AG51" s="1379">
        <v>0</v>
      </c>
      <c r="AH51" s="1376">
        <v>5</v>
      </c>
      <c r="AI51" s="1379">
        <v>8</v>
      </c>
      <c r="AJ51" s="1379">
        <v>0</v>
      </c>
      <c r="AK51" s="1379"/>
      <c r="AL51" s="1382"/>
      <c r="AM51" s="1378">
        <v>5</v>
      </c>
      <c r="AN51" s="1376">
        <v>13</v>
      </c>
      <c r="AO51" s="1376">
        <v>4</v>
      </c>
      <c r="AP51" s="1382">
        <v>2</v>
      </c>
      <c r="AQ51" s="1378">
        <v>2</v>
      </c>
      <c r="AR51" s="1376"/>
      <c r="AS51" s="1376"/>
      <c r="AT51" s="1382"/>
      <c r="AU51" s="1378"/>
      <c r="AV51" s="1376"/>
      <c r="AW51" s="1376"/>
      <c r="AX51" s="1382"/>
      <c r="AY51" s="1378"/>
      <c r="AZ51" s="1376"/>
      <c r="BA51" s="1376"/>
      <c r="BB51" s="1383"/>
      <c r="BC51" s="1383"/>
      <c r="BD51" s="1383"/>
      <c r="BE51" s="1383"/>
      <c r="BF51" s="1383"/>
      <c r="BG51" s="1383"/>
      <c r="BH51" s="1383"/>
      <c r="BI51" s="1383"/>
      <c r="BJ51" s="1383">
        <v>1</v>
      </c>
    </row>
    <row r="52" spans="1:62" x14ac:dyDescent="0.2">
      <c r="A52" s="1376" t="s">
        <v>1447</v>
      </c>
      <c r="B52" s="1376">
        <v>1</v>
      </c>
      <c r="C52" s="1376" t="s">
        <v>1731</v>
      </c>
      <c r="D52" s="1377">
        <v>56</v>
      </c>
      <c r="E52" s="1378">
        <v>0</v>
      </c>
      <c r="F52" s="1376">
        <v>7</v>
      </c>
      <c r="G52" s="1379"/>
      <c r="H52" s="1379"/>
      <c r="I52" s="1379"/>
      <c r="J52" s="1379"/>
      <c r="K52" s="1376"/>
      <c r="L52" s="1376"/>
      <c r="M52" s="1376"/>
      <c r="N52" s="1379"/>
      <c r="O52" s="1379"/>
      <c r="P52" s="1379">
        <v>7</v>
      </c>
      <c r="Q52" s="1379"/>
      <c r="R52" s="1376"/>
      <c r="S52" s="1376"/>
      <c r="T52" s="1376"/>
      <c r="W52" s="1376"/>
      <c r="X52" s="1376"/>
      <c r="Y52" s="1376"/>
      <c r="Z52" s="1381"/>
      <c r="AA52" s="1379" t="s">
        <v>1736</v>
      </c>
      <c r="AB52" s="1376"/>
      <c r="AC52" s="1377"/>
      <c r="AD52" s="1378">
        <v>11.125</v>
      </c>
      <c r="AE52" s="1376" t="s">
        <v>35</v>
      </c>
      <c r="AF52" s="1376">
        <v>8</v>
      </c>
      <c r="AG52" s="1379">
        <v>0</v>
      </c>
      <c r="AH52" s="1376">
        <v>5</v>
      </c>
      <c r="AI52" s="1379">
        <v>8</v>
      </c>
      <c r="AJ52" s="1379">
        <v>0</v>
      </c>
      <c r="AK52" s="1379"/>
      <c r="AL52" s="1382"/>
      <c r="AM52" s="1378">
        <v>5</v>
      </c>
      <c r="AN52" s="1376">
        <v>13</v>
      </c>
      <c r="AO52" s="1376">
        <v>4</v>
      </c>
      <c r="AP52" s="1382">
        <v>2</v>
      </c>
      <c r="AQ52" s="1378">
        <v>2</v>
      </c>
      <c r="AR52" s="1376"/>
      <c r="AS52" s="1376"/>
      <c r="AT52" s="1382"/>
      <c r="AU52" s="1378"/>
      <c r="AV52" s="1376"/>
      <c r="AW52" s="1376"/>
      <c r="AX52" s="1382"/>
      <c r="AY52" s="1378"/>
      <c r="AZ52" s="1376"/>
      <c r="BA52" s="1376"/>
      <c r="BB52" s="1383"/>
      <c r="BC52" s="1383"/>
      <c r="BD52" s="1383"/>
      <c r="BE52" s="1383"/>
      <c r="BF52" s="1383"/>
      <c r="BG52" s="1383"/>
      <c r="BH52" s="1383"/>
      <c r="BI52" s="1383"/>
      <c r="BJ52" s="1383">
        <v>1</v>
      </c>
    </row>
    <row r="53" spans="1:62" x14ac:dyDescent="0.2">
      <c r="A53" s="1376" t="s">
        <v>1448</v>
      </c>
      <c r="B53" s="1376">
        <v>1</v>
      </c>
      <c r="C53" s="1376" t="s">
        <v>1731</v>
      </c>
      <c r="D53" s="1377">
        <v>56</v>
      </c>
      <c r="E53" s="1378">
        <v>0</v>
      </c>
      <c r="F53" s="1376">
        <v>7</v>
      </c>
      <c r="G53" s="1379"/>
      <c r="H53" s="1379"/>
      <c r="I53" s="1379"/>
      <c r="J53" s="1379"/>
      <c r="K53" s="1376"/>
      <c r="L53" s="1376"/>
      <c r="M53" s="1376"/>
      <c r="N53" s="1379"/>
      <c r="O53" s="1379"/>
      <c r="P53" s="1379">
        <v>7</v>
      </c>
      <c r="Q53" s="1379"/>
      <c r="R53" s="1376"/>
      <c r="S53" s="1376"/>
      <c r="T53" s="1376"/>
      <c r="W53" s="1376"/>
      <c r="X53" s="1376"/>
      <c r="Y53" s="1376"/>
      <c r="Z53" s="1381"/>
      <c r="AA53" s="1379" t="s">
        <v>1737</v>
      </c>
      <c r="AB53" s="1376"/>
      <c r="AC53" s="1377"/>
      <c r="AD53" s="1378">
        <v>11.125</v>
      </c>
      <c r="AE53" s="1376" t="s">
        <v>35</v>
      </c>
      <c r="AF53" s="1376">
        <v>8</v>
      </c>
      <c r="AG53" s="1379">
        <v>0</v>
      </c>
      <c r="AH53" s="1376">
        <v>5</v>
      </c>
      <c r="AI53" s="1379">
        <v>8</v>
      </c>
      <c r="AJ53" s="1379">
        <v>0</v>
      </c>
      <c r="AK53" s="1379"/>
      <c r="AL53" s="1382"/>
      <c r="AM53" s="1378">
        <v>5</v>
      </c>
      <c r="AN53" s="1376">
        <v>13</v>
      </c>
      <c r="AO53" s="1376">
        <v>4</v>
      </c>
      <c r="AP53" s="1382">
        <v>2</v>
      </c>
      <c r="AQ53" s="1378">
        <v>2</v>
      </c>
      <c r="AR53" s="1376"/>
      <c r="AS53" s="1376"/>
      <c r="AT53" s="1382"/>
      <c r="AU53" s="1378"/>
      <c r="AV53" s="1376"/>
      <c r="AW53" s="1376"/>
      <c r="AX53" s="1382"/>
      <c r="AY53" s="1378"/>
      <c r="AZ53" s="1376"/>
      <c r="BA53" s="1376"/>
      <c r="BB53" s="1383"/>
      <c r="BC53" s="1383"/>
      <c r="BD53" s="1383"/>
      <c r="BE53" s="1383"/>
      <c r="BF53" s="1383"/>
      <c r="BG53" s="1383"/>
      <c r="BH53" s="1383"/>
      <c r="BI53" s="1383"/>
      <c r="BJ53" s="1383">
        <v>1</v>
      </c>
    </row>
    <row r="54" spans="1:62" x14ac:dyDescent="0.2">
      <c r="A54" s="1376" t="s">
        <v>1449</v>
      </c>
      <c r="B54" s="1376">
        <v>4</v>
      </c>
      <c r="C54" s="1376" t="s">
        <v>1731</v>
      </c>
      <c r="D54" s="1377">
        <v>56</v>
      </c>
      <c r="E54" s="1378">
        <v>0</v>
      </c>
      <c r="F54" s="1376">
        <v>7</v>
      </c>
      <c r="G54" s="1379"/>
      <c r="H54" s="1379"/>
      <c r="I54" s="1379"/>
      <c r="J54" s="1379"/>
      <c r="K54" s="1376"/>
      <c r="L54" s="1376"/>
      <c r="M54" s="1376"/>
      <c r="N54" s="1379"/>
      <c r="O54" s="1379"/>
      <c r="P54" s="1379">
        <v>7</v>
      </c>
      <c r="Q54" s="1379"/>
      <c r="R54" s="1376"/>
      <c r="S54" s="1376"/>
      <c r="T54" s="1376"/>
      <c r="W54" s="1376"/>
      <c r="X54" s="1376"/>
      <c r="Y54" s="1376"/>
      <c r="Z54" s="1381"/>
      <c r="AA54" s="1379">
        <v>15</v>
      </c>
      <c r="AB54" s="1376"/>
      <c r="AC54" s="1377"/>
      <c r="AD54" s="1378">
        <v>11.125</v>
      </c>
      <c r="AE54" s="1376" t="s">
        <v>35</v>
      </c>
      <c r="AF54" s="1376">
        <v>8</v>
      </c>
      <c r="AG54" s="1379">
        <v>0</v>
      </c>
      <c r="AH54" s="1376">
        <v>5</v>
      </c>
      <c r="AI54" s="1379">
        <v>8</v>
      </c>
      <c r="AJ54" s="1379">
        <v>0</v>
      </c>
      <c r="AK54" s="1379"/>
      <c r="AL54" s="1382"/>
      <c r="AM54" s="1378">
        <v>5</v>
      </c>
      <c r="AN54" s="1376">
        <v>13</v>
      </c>
      <c r="AO54" s="1376">
        <v>4</v>
      </c>
      <c r="AP54" s="1382">
        <v>2</v>
      </c>
      <c r="AQ54" s="1378">
        <v>2</v>
      </c>
      <c r="AR54" s="1376"/>
      <c r="AS54" s="1376"/>
      <c r="AT54" s="1382"/>
      <c r="AU54" s="1378"/>
      <c r="AV54" s="1376"/>
      <c r="AW54" s="1376"/>
      <c r="AX54" s="1382"/>
      <c r="AY54" s="1378"/>
      <c r="AZ54" s="1376"/>
      <c r="BA54" s="1376"/>
      <c r="BB54" s="1383"/>
      <c r="BC54" s="1383"/>
      <c r="BD54" s="1383"/>
      <c r="BE54" s="1383"/>
      <c r="BF54" s="1383"/>
      <c r="BG54" s="1383"/>
      <c r="BH54" s="1383"/>
      <c r="BI54" s="1383"/>
      <c r="BJ54" s="1383">
        <v>1</v>
      </c>
    </row>
    <row r="55" spans="1:62" x14ac:dyDescent="0.2">
      <c r="A55" s="1376" t="s">
        <v>1450</v>
      </c>
      <c r="B55" s="1376">
        <v>1</v>
      </c>
      <c r="C55" s="1376" t="s">
        <v>1731</v>
      </c>
      <c r="D55" s="1377">
        <v>56</v>
      </c>
      <c r="E55" s="1378">
        <v>0</v>
      </c>
      <c r="F55" s="1376">
        <v>7</v>
      </c>
      <c r="G55" s="1379"/>
      <c r="H55" s="1379"/>
      <c r="I55" s="1379"/>
      <c r="J55" s="1379"/>
      <c r="K55" s="1376"/>
      <c r="L55" s="1376"/>
      <c r="M55" s="1376"/>
      <c r="N55" s="1379"/>
      <c r="O55" s="1379"/>
      <c r="P55" s="1379">
        <v>7</v>
      </c>
      <c r="Q55" s="1379"/>
      <c r="R55" s="1376"/>
      <c r="S55" s="1376"/>
      <c r="T55" s="1376"/>
      <c r="W55" s="1376"/>
      <c r="X55" s="1376"/>
      <c r="Y55" s="1376"/>
      <c r="Z55" s="1381"/>
      <c r="AA55" s="1379" t="s">
        <v>1738</v>
      </c>
      <c r="AB55" s="1376" t="s">
        <v>34</v>
      </c>
      <c r="AC55" s="1377"/>
      <c r="AD55" s="1378">
        <v>11.125</v>
      </c>
      <c r="AE55" s="1376" t="s">
        <v>35</v>
      </c>
      <c r="AF55" s="1376">
        <v>8</v>
      </c>
      <c r="AG55" s="1379">
        <v>0</v>
      </c>
      <c r="AH55" s="1376">
        <v>5</v>
      </c>
      <c r="AI55" s="1379">
        <v>8</v>
      </c>
      <c r="AJ55" s="1379">
        <v>0</v>
      </c>
      <c r="AK55" s="1379"/>
      <c r="AL55" s="1382"/>
      <c r="AM55" s="1378">
        <v>5</v>
      </c>
      <c r="AN55" s="1376">
        <v>13</v>
      </c>
      <c r="AO55" s="1376">
        <v>4</v>
      </c>
      <c r="AP55" s="1382">
        <v>2</v>
      </c>
      <c r="AQ55" s="1378">
        <v>2</v>
      </c>
      <c r="AR55" s="1376"/>
      <c r="AS55" s="1376"/>
      <c r="AT55" s="1382"/>
      <c r="AU55" s="1378"/>
      <c r="AV55" s="1376"/>
      <c r="AW55" s="1376"/>
      <c r="AX55" s="1382"/>
      <c r="AY55" s="1378"/>
      <c r="AZ55" s="1376"/>
      <c r="BA55" s="1376"/>
      <c r="BB55" s="1383"/>
      <c r="BC55" s="1383"/>
      <c r="BD55" s="1383"/>
      <c r="BE55" s="1383"/>
      <c r="BF55" s="1383"/>
      <c r="BG55" s="1383"/>
      <c r="BH55" s="1383"/>
      <c r="BI55" s="1383"/>
      <c r="BJ55" s="1383">
        <v>1</v>
      </c>
    </row>
    <row r="56" spans="1:62" x14ac:dyDescent="0.2">
      <c r="A56" s="1376" t="s">
        <v>1451</v>
      </c>
      <c r="B56" s="1376">
        <v>1</v>
      </c>
      <c r="C56" s="1376" t="s">
        <v>1729</v>
      </c>
      <c r="D56" s="1377">
        <v>60</v>
      </c>
      <c r="E56" s="1378">
        <v>0</v>
      </c>
      <c r="F56" s="1376">
        <v>7</v>
      </c>
      <c r="G56" s="1379"/>
      <c r="H56" s="1379"/>
      <c r="I56" s="1379"/>
      <c r="J56" s="1379"/>
      <c r="K56" s="1376"/>
      <c r="L56" s="1376"/>
      <c r="M56" s="1376"/>
      <c r="N56" s="1379"/>
      <c r="O56" s="1379"/>
      <c r="P56" s="1379">
        <v>7</v>
      </c>
      <c r="Q56" s="1379"/>
      <c r="R56" s="1376"/>
      <c r="S56" s="1376"/>
      <c r="T56" s="1376"/>
      <c r="W56" s="1376"/>
      <c r="X56" s="1376"/>
      <c r="Y56" s="1376"/>
      <c r="Z56" s="1381"/>
      <c r="AA56" s="1379">
        <v>14</v>
      </c>
      <c r="AB56" s="1376"/>
      <c r="AC56" s="1377"/>
      <c r="AD56" s="1378">
        <v>11.125</v>
      </c>
      <c r="AE56" s="1376" t="s">
        <v>35</v>
      </c>
      <c r="AF56" s="1376">
        <v>8</v>
      </c>
      <c r="AG56" s="1379">
        <v>0</v>
      </c>
      <c r="AH56" s="1376">
        <v>6</v>
      </c>
      <c r="AI56" s="1379">
        <v>8</v>
      </c>
      <c r="AJ56" s="1379">
        <v>0</v>
      </c>
      <c r="AK56" s="1379"/>
      <c r="AL56" s="1382"/>
      <c r="AM56" s="1378">
        <v>5</v>
      </c>
      <c r="AN56" s="1376">
        <v>13</v>
      </c>
      <c r="AO56" s="1376">
        <v>4</v>
      </c>
      <c r="AP56" s="1382">
        <v>2</v>
      </c>
      <c r="AQ56" s="1378"/>
      <c r="AR56" s="1376" t="s">
        <v>1018</v>
      </c>
      <c r="AS56" s="1376" t="s">
        <v>1739</v>
      </c>
      <c r="AT56" s="1382"/>
      <c r="AU56" s="1378" t="s">
        <v>35</v>
      </c>
      <c r="AV56" s="1376"/>
      <c r="AW56" s="1376"/>
      <c r="AX56" s="1382"/>
      <c r="AY56" s="1378"/>
      <c r="AZ56" s="1376"/>
      <c r="BA56" s="1376"/>
      <c r="BB56" s="1383"/>
      <c r="BC56" s="1383"/>
      <c r="BD56" s="1383"/>
      <c r="BE56" s="1383"/>
      <c r="BF56" s="1383"/>
      <c r="BG56" s="1383"/>
      <c r="BH56" s="1383"/>
      <c r="BI56" s="1383"/>
      <c r="BJ56" s="1383">
        <v>1</v>
      </c>
    </row>
    <row r="57" spans="1:62" x14ac:dyDescent="0.2">
      <c r="A57" s="1376" t="s">
        <v>1452</v>
      </c>
      <c r="B57" s="1376">
        <v>1</v>
      </c>
      <c r="C57" s="1376" t="s">
        <v>1729</v>
      </c>
      <c r="D57" s="1377">
        <v>59</v>
      </c>
      <c r="E57" s="1378">
        <v>2.25</v>
      </c>
      <c r="F57" s="1376">
        <v>7</v>
      </c>
      <c r="G57" s="1379"/>
      <c r="H57" s="1379"/>
      <c r="I57" s="1379"/>
      <c r="J57" s="1379"/>
      <c r="K57" s="1376"/>
      <c r="L57" s="1376"/>
      <c r="M57" s="1376"/>
      <c r="N57" s="1379"/>
      <c r="O57" s="1379"/>
      <c r="P57" s="1379">
        <v>2</v>
      </c>
      <c r="Q57" s="1379"/>
      <c r="R57" s="1376"/>
      <c r="S57" s="1376"/>
      <c r="T57" s="1376"/>
      <c r="W57" s="1376"/>
      <c r="X57" s="1376"/>
      <c r="Y57" s="1376"/>
      <c r="Z57" s="1381"/>
      <c r="AA57" s="1379" t="s">
        <v>1740</v>
      </c>
      <c r="AB57" s="1376" t="s">
        <v>1679</v>
      </c>
      <c r="AC57" s="1377"/>
      <c r="AD57" s="1378">
        <v>11.125</v>
      </c>
      <c r="AE57" s="1376" t="s">
        <v>35</v>
      </c>
      <c r="AF57" s="1376">
        <v>4</v>
      </c>
      <c r="AG57" s="1379">
        <v>0</v>
      </c>
      <c r="AH57" s="1376">
        <v>6</v>
      </c>
      <c r="AI57" s="1379">
        <v>8</v>
      </c>
      <c r="AJ57" s="1379">
        <v>0</v>
      </c>
      <c r="AK57" s="1379"/>
      <c r="AL57" s="1382"/>
      <c r="AM57" s="1378">
        <v>5</v>
      </c>
      <c r="AN57" s="1376">
        <v>13</v>
      </c>
      <c r="AO57" s="1376">
        <v>4</v>
      </c>
      <c r="AP57" s="1382"/>
      <c r="AQ57" s="1378"/>
      <c r="AR57" s="1376" t="s">
        <v>1018</v>
      </c>
      <c r="AS57" s="1376" t="s">
        <v>1705</v>
      </c>
      <c r="AT57" s="1382"/>
      <c r="AU57" s="1378" t="s">
        <v>35</v>
      </c>
      <c r="AV57" s="1376"/>
      <c r="AW57" s="1376"/>
      <c r="AX57" s="1382"/>
      <c r="AY57" s="1378"/>
      <c r="AZ57" s="1376"/>
      <c r="BA57" s="1376"/>
      <c r="BB57" s="1383"/>
      <c r="BC57" s="1383"/>
      <c r="BD57" s="1383"/>
      <c r="BE57" s="1383"/>
      <c r="BF57" s="1383"/>
      <c r="BG57" s="1383"/>
      <c r="BH57" s="1383"/>
      <c r="BI57" s="1383"/>
      <c r="BJ57" s="1383">
        <v>1</v>
      </c>
    </row>
    <row r="58" spans="1:62" x14ac:dyDescent="0.2">
      <c r="A58" s="1376" t="s">
        <v>1453</v>
      </c>
      <c r="B58" s="1376">
        <v>2</v>
      </c>
      <c r="C58" s="1376" t="s">
        <v>1741</v>
      </c>
      <c r="D58" s="1377">
        <v>59</v>
      </c>
      <c r="E58" s="1378">
        <v>2.25</v>
      </c>
      <c r="F58" s="1376">
        <v>7</v>
      </c>
      <c r="G58" s="1379"/>
      <c r="H58" s="1379"/>
      <c r="I58" s="1379"/>
      <c r="J58" s="1379"/>
      <c r="K58" s="1376"/>
      <c r="L58" s="1376"/>
      <c r="M58" s="1376"/>
      <c r="N58" s="1379"/>
      <c r="O58" s="1379"/>
      <c r="P58" s="1379">
        <v>2</v>
      </c>
      <c r="Q58" s="1379"/>
      <c r="R58" s="1376"/>
      <c r="S58" s="1376"/>
      <c r="T58" s="1376"/>
      <c r="W58" s="1376"/>
      <c r="X58" s="1376"/>
      <c r="Y58" s="1376"/>
      <c r="Z58" s="1381"/>
      <c r="AA58" s="1379" t="s">
        <v>1742</v>
      </c>
      <c r="AB58" s="1376" t="s">
        <v>1679</v>
      </c>
      <c r="AC58" s="1377"/>
      <c r="AD58" s="1378">
        <v>11.125</v>
      </c>
      <c r="AE58" s="1376" t="s">
        <v>35</v>
      </c>
      <c r="AF58" s="1376">
        <v>4</v>
      </c>
      <c r="AG58" s="1379">
        <v>0</v>
      </c>
      <c r="AH58" s="1376">
        <v>6</v>
      </c>
      <c r="AI58" s="1379">
        <v>8</v>
      </c>
      <c r="AJ58" s="1379">
        <v>0</v>
      </c>
      <c r="AK58" s="1379"/>
      <c r="AL58" s="1382"/>
      <c r="AM58" s="1378">
        <v>5</v>
      </c>
      <c r="AN58" s="1376">
        <v>13</v>
      </c>
      <c r="AO58" s="1376">
        <v>4</v>
      </c>
      <c r="AP58" s="1382"/>
      <c r="AQ58" s="1378"/>
      <c r="AR58" s="1376" t="s">
        <v>1018</v>
      </c>
      <c r="AS58" s="1376" t="s">
        <v>1705</v>
      </c>
      <c r="AT58" s="1382"/>
      <c r="AU58" s="1378" t="s">
        <v>35</v>
      </c>
      <c r="AV58" s="1376"/>
      <c r="AW58" s="1376"/>
      <c r="AX58" s="1382"/>
      <c r="AY58" s="1378"/>
      <c r="AZ58" s="1376"/>
      <c r="BA58" s="1376"/>
      <c r="BB58" s="1383"/>
      <c r="BC58" s="1383"/>
      <c r="BD58" s="1383"/>
      <c r="BE58" s="1383"/>
      <c r="BF58" s="1383"/>
      <c r="BG58" s="1383"/>
      <c r="BH58" s="1383"/>
      <c r="BI58" s="1383"/>
      <c r="BJ58" s="1383">
        <v>1</v>
      </c>
    </row>
    <row r="59" spans="1:62" x14ac:dyDescent="0.2">
      <c r="A59" s="1376" t="s">
        <v>1454</v>
      </c>
      <c r="B59" s="1376">
        <v>1</v>
      </c>
      <c r="C59" s="1376" t="s">
        <v>1741</v>
      </c>
      <c r="D59" s="1377">
        <v>59</v>
      </c>
      <c r="E59" s="1378">
        <v>7</v>
      </c>
      <c r="F59" s="1376">
        <v>7</v>
      </c>
      <c r="G59" s="1379"/>
      <c r="H59" s="1379"/>
      <c r="I59" s="1379"/>
      <c r="J59" s="1379"/>
      <c r="K59" s="1376"/>
      <c r="L59" s="1376"/>
      <c r="M59" s="1376"/>
      <c r="N59" s="1379"/>
      <c r="O59" s="1379"/>
      <c r="P59" s="1379">
        <v>18</v>
      </c>
      <c r="Q59" s="1379"/>
      <c r="R59" s="1376"/>
      <c r="S59" s="1376"/>
      <c r="T59" s="1376"/>
      <c r="W59" s="1376"/>
      <c r="X59" s="1376"/>
      <c r="Y59" s="1376"/>
      <c r="Z59" s="1381"/>
      <c r="AA59" s="1379">
        <v>11</v>
      </c>
      <c r="AB59" s="1376" t="s">
        <v>158</v>
      </c>
      <c r="AC59" s="1377"/>
      <c r="AD59" s="1378">
        <v>11.125</v>
      </c>
      <c r="AE59" s="1376" t="s">
        <v>35</v>
      </c>
      <c r="AF59" s="1376">
        <v>4</v>
      </c>
      <c r="AG59" s="1379">
        <v>0</v>
      </c>
      <c r="AH59" s="1376">
        <v>6</v>
      </c>
      <c r="AI59" s="1379">
        <v>8</v>
      </c>
      <c r="AJ59" s="1379">
        <v>0</v>
      </c>
      <c r="AK59" s="1379"/>
      <c r="AL59" s="1382"/>
      <c r="AM59" s="1378">
        <v>5</v>
      </c>
      <c r="AN59" s="1376">
        <v>13</v>
      </c>
      <c r="AO59" s="1376">
        <v>4</v>
      </c>
      <c r="AP59" s="1382"/>
      <c r="AQ59" s="1378"/>
      <c r="AR59" s="1376" t="s">
        <v>1018</v>
      </c>
      <c r="AS59" s="1376" t="s">
        <v>1705</v>
      </c>
      <c r="AT59" s="1382"/>
      <c r="AU59" s="1378" t="s">
        <v>35</v>
      </c>
      <c r="AV59" s="1376"/>
      <c r="AW59" s="1376"/>
      <c r="AX59" s="1382"/>
      <c r="AY59" s="1378"/>
      <c r="AZ59" s="1376"/>
      <c r="BA59" s="1376"/>
      <c r="BB59" s="1383"/>
      <c r="BC59" s="1383"/>
      <c r="BD59" s="1383"/>
      <c r="BE59" s="1383"/>
      <c r="BF59" s="1383"/>
      <c r="BG59" s="1383"/>
      <c r="BH59" s="1383"/>
      <c r="BI59" s="1383"/>
      <c r="BJ59" s="1383">
        <v>1</v>
      </c>
    </row>
    <row r="60" spans="1:62" x14ac:dyDescent="0.2">
      <c r="A60" s="1376" t="s">
        <v>1455</v>
      </c>
      <c r="B60" s="1376">
        <v>1</v>
      </c>
      <c r="C60" s="1376" t="s">
        <v>1743</v>
      </c>
      <c r="D60" s="1377">
        <v>56</v>
      </c>
      <c r="E60" s="1378">
        <v>5</v>
      </c>
      <c r="F60" s="1376">
        <v>7</v>
      </c>
      <c r="G60" s="1379"/>
      <c r="H60" s="1379"/>
      <c r="I60" s="1379"/>
      <c r="J60" s="1379"/>
      <c r="K60" s="1376"/>
      <c r="L60" s="1376"/>
      <c r="M60" s="1376"/>
      <c r="N60" s="1379"/>
      <c r="O60" s="1379"/>
      <c r="P60" s="1379">
        <v>18</v>
      </c>
      <c r="Q60" s="1379"/>
      <c r="R60" s="1376"/>
      <c r="S60" s="1376"/>
      <c r="T60" s="1376"/>
      <c r="W60" s="1376"/>
      <c r="X60" s="1376"/>
      <c r="Y60" s="1376"/>
      <c r="Z60" s="1381"/>
      <c r="AA60" s="1379" t="s">
        <v>1744</v>
      </c>
      <c r="AB60" s="1376" t="s">
        <v>158</v>
      </c>
      <c r="AC60" s="1377"/>
      <c r="AD60" s="1378">
        <v>11.125</v>
      </c>
      <c r="AE60" s="1376" t="s">
        <v>35</v>
      </c>
      <c r="AF60" s="1376">
        <v>8</v>
      </c>
      <c r="AG60" s="1379">
        <v>0</v>
      </c>
      <c r="AH60" s="1376">
        <v>5</v>
      </c>
      <c r="AI60" s="1379">
        <v>8</v>
      </c>
      <c r="AJ60" s="1379">
        <v>0</v>
      </c>
      <c r="AK60" s="1379"/>
      <c r="AL60" s="1382"/>
      <c r="AM60" s="1378">
        <v>5</v>
      </c>
      <c r="AN60" s="1376">
        <v>13</v>
      </c>
      <c r="AO60" s="1376">
        <v>4</v>
      </c>
      <c r="AP60" s="1382">
        <v>2</v>
      </c>
      <c r="AQ60" s="1378"/>
      <c r="AR60" s="1376"/>
      <c r="AS60" s="1376"/>
      <c r="AT60" s="1382"/>
      <c r="AU60" s="1378"/>
      <c r="AV60" s="1376"/>
      <c r="AW60" s="1376"/>
      <c r="AX60" s="1382"/>
      <c r="AY60" s="1378"/>
      <c r="AZ60" s="1376"/>
      <c r="BA60" s="1376"/>
      <c r="BB60" s="1383"/>
      <c r="BC60" s="1383"/>
      <c r="BD60" s="1383"/>
      <c r="BE60" s="1383"/>
      <c r="BF60" s="1383"/>
      <c r="BG60" s="1383"/>
      <c r="BH60" s="1383"/>
      <c r="BI60" s="1383"/>
      <c r="BJ60" s="1383">
        <v>1</v>
      </c>
    </row>
    <row r="61" spans="1:62" x14ac:dyDescent="0.2">
      <c r="A61" s="1376" t="s">
        <v>1456</v>
      </c>
      <c r="B61" s="1376">
        <v>2</v>
      </c>
      <c r="C61" s="1376" t="s">
        <v>1743</v>
      </c>
      <c r="D61" s="1377">
        <v>56</v>
      </c>
      <c r="E61" s="1378">
        <v>0</v>
      </c>
      <c r="F61" s="1376">
        <v>7</v>
      </c>
      <c r="G61" s="1379"/>
      <c r="H61" s="1379"/>
      <c r="I61" s="1379"/>
      <c r="J61" s="1379"/>
      <c r="K61" s="1376"/>
      <c r="L61" s="1376"/>
      <c r="M61" s="1376"/>
      <c r="N61" s="1379"/>
      <c r="O61" s="1379"/>
      <c r="P61" s="1379">
        <v>7</v>
      </c>
      <c r="Q61" s="1379"/>
      <c r="R61" s="1376"/>
      <c r="S61" s="1376"/>
      <c r="T61" s="1376"/>
      <c r="W61" s="1376"/>
      <c r="X61" s="1376"/>
      <c r="Y61" s="1376"/>
      <c r="Z61" s="1381"/>
      <c r="AA61" s="1379" t="s">
        <v>1745</v>
      </c>
      <c r="AB61" s="1376"/>
      <c r="AC61" s="1377"/>
      <c r="AD61" s="1378">
        <v>11.125</v>
      </c>
      <c r="AE61" s="1376" t="s">
        <v>35</v>
      </c>
      <c r="AF61" s="1376">
        <v>8</v>
      </c>
      <c r="AG61" s="1379">
        <v>0</v>
      </c>
      <c r="AH61" s="1376">
        <v>5</v>
      </c>
      <c r="AI61" s="1379">
        <v>8</v>
      </c>
      <c r="AJ61" s="1379">
        <v>0</v>
      </c>
      <c r="AK61" s="1379"/>
      <c r="AL61" s="1382"/>
      <c r="AM61" s="1378">
        <v>5</v>
      </c>
      <c r="AN61" s="1376">
        <v>13</v>
      </c>
      <c r="AO61" s="1376">
        <v>4</v>
      </c>
      <c r="AP61" s="1382">
        <v>2</v>
      </c>
      <c r="AQ61" s="1378">
        <v>2</v>
      </c>
      <c r="AR61" s="1376"/>
      <c r="AS61" s="1376"/>
      <c r="AT61" s="1382"/>
      <c r="AU61" s="1378"/>
      <c r="AV61" s="1376"/>
      <c r="AW61" s="1376"/>
      <c r="AX61" s="1382"/>
      <c r="AY61" s="1378"/>
      <c r="AZ61" s="1376"/>
      <c r="BA61" s="1376"/>
      <c r="BB61" s="1383"/>
      <c r="BC61" s="1383"/>
      <c r="BD61" s="1383"/>
      <c r="BE61" s="1383"/>
      <c r="BF61" s="1383"/>
      <c r="BG61" s="1383"/>
      <c r="BH61" s="1383"/>
      <c r="BI61" s="1383"/>
      <c r="BJ61" s="1383">
        <v>1</v>
      </c>
    </row>
    <row r="62" spans="1:62" x14ac:dyDescent="0.2">
      <c r="A62" s="1376" t="s">
        <v>1457</v>
      </c>
      <c r="B62" s="1376">
        <v>2</v>
      </c>
      <c r="C62" s="1376" t="s">
        <v>1743</v>
      </c>
      <c r="D62" s="1377">
        <v>56</v>
      </c>
      <c r="E62" s="1378">
        <v>0</v>
      </c>
      <c r="F62" s="1376">
        <v>7</v>
      </c>
      <c r="G62" s="1379"/>
      <c r="H62" s="1379"/>
      <c r="I62" s="1379"/>
      <c r="J62" s="1379"/>
      <c r="K62" s="1376"/>
      <c r="L62" s="1376"/>
      <c r="M62" s="1376"/>
      <c r="N62" s="1379"/>
      <c r="O62" s="1379"/>
      <c r="P62" s="1379">
        <v>7</v>
      </c>
      <c r="Q62" s="1379"/>
      <c r="R62" s="1376"/>
      <c r="S62" s="1376"/>
      <c r="T62" s="1376"/>
      <c r="W62" s="1376"/>
      <c r="X62" s="1376"/>
      <c r="Y62" s="1376"/>
      <c r="Z62" s="1381"/>
      <c r="AA62" s="1379" t="s">
        <v>1742</v>
      </c>
      <c r="AB62" s="1376"/>
      <c r="AC62" s="1377"/>
      <c r="AD62" s="1378">
        <v>11.125</v>
      </c>
      <c r="AE62" s="1376" t="s">
        <v>35</v>
      </c>
      <c r="AF62" s="1376">
        <v>8</v>
      </c>
      <c r="AG62" s="1379">
        <v>0</v>
      </c>
      <c r="AH62" s="1376">
        <v>5</v>
      </c>
      <c r="AI62" s="1379">
        <v>8</v>
      </c>
      <c r="AJ62" s="1379">
        <v>0</v>
      </c>
      <c r="AK62" s="1379"/>
      <c r="AL62" s="1382"/>
      <c r="AM62" s="1378">
        <v>5</v>
      </c>
      <c r="AN62" s="1376">
        <v>13</v>
      </c>
      <c r="AO62" s="1376">
        <v>4</v>
      </c>
      <c r="AP62" s="1382">
        <v>2</v>
      </c>
      <c r="AQ62" s="1378">
        <v>2</v>
      </c>
      <c r="AR62" s="1376"/>
      <c r="AS62" s="1376"/>
      <c r="AT62" s="1382"/>
      <c r="AU62" s="1378"/>
      <c r="AV62" s="1376"/>
      <c r="AW62" s="1376"/>
      <c r="AX62" s="1382"/>
      <c r="AY62" s="1378"/>
      <c r="AZ62" s="1376"/>
      <c r="BA62" s="1376"/>
      <c r="BB62" s="1383"/>
      <c r="BC62" s="1383"/>
      <c r="BD62" s="1383"/>
      <c r="BE62" s="1383"/>
      <c r="BF62" s="1383"/>
      <c r="BG62" s="1383"/>
      <c r="BH62" s="1383"/>
      <c r="BI62" s="1383"/>
      <c r="BJ62" s="1383">
        <v>1</v>
      </c>
    </row>
    <row r="63" spans="1:62" x14ac:dyDescent="0.2">
      <c r="A63" s="1376" t="s">
        <v>1458</v>
      </c>
      <c r="B63" s="1376">
        <v>7</v>
      </c>
      <c r="C63" s="1376" t="s">
        <v>1743</v>
      </c>
      <c r="D63" s="1377">
        <v>56</v>
      </c>
      <c r="E63" s="1378">
        <v>0</v>
      </c>
      <c r="F63" s="1376">
        <v>7</v>
      </c>
      <c r="G63" s="1379"/>
      <c r="H63" s="1379"/>
      <c r="I63" s="1379"/>
      <c r="J63" s="1379"/>
      <c r="K63" s="1376"/>
      <c r="L63" s="1376"/>
      <c r="M63" s="1376"/>
      <c r="N63" s="1379"/>
      <c r="O63" s="1379"/>
      <c r="P63" s="1379">
        <v>7</v>
      </c>
      <c r="Q63" s="1379"/>
      <c r="R63" s="1376"/>
      <c r="S63" s="1376"/>
      <c r="T63" s="1376"/>
      <c r="W63" s="1376"/>
      <c r="X63" s="1376"/>
      <c r="Y63" s="1376"/>
      <c r="Z63" s="1381"/>
      <c r="AA63" s="1379">
        <v>11</v>
      </c>
      <c r="AB63" s="1376"/>
      <c r="AC63" s="1377"/>
      <c r="AD63" s="1378">
        <v>11.125</v>
      </c>
      <c r="AE63" s="1376" t="s">
        <v>35</v>
      </c>
      <c r="AF63" s="1376">
        <v>8</v>
      </c>
      <c r="AG63" s="1379">
        <v>0</v>
      </c>
      <c r="AH63" s="1376">
        <v>5</v>
      </c>
      <c r="AI63" s="1379">
        <v>8</v>
      </c>
      <c r="AJ63" s="1379">
        <v>0</v>
      </c>
      <c r="AK63" s="1379"/>
      <c r="AL63" s="1382"/>
      <c r="AM63" s="1378">
        <v>5</v>
      </c>
      <c r="AN63" s="1376">
        <v>13</v>
      </c>
      <c r="AO63" s="1376">
        <v>4</v>
      </c>
      <c r="AP63" s="1382">
        <v>2</v>
      </c>
      <c r="AQ63" s="1378">
        <v>2</v>
      </c>
      <c r="AR63" s="1376"/>
      <c r="AS63" s="1376"/>
      <c r="AT63" s="1382"/>
      <c r="AU63" s="1378"/>
      <c r="AV63" s="1376"/>
      <c r="AW63" s="1376"/>
      <c r="AX63" s="1382"/>
      <c r="AY63" s="1378"/>
      <c r="AZ63" s="1376"/>
      <c r="BA63" s="1376"/>
      <c r="BB63" s="1383"/>
      <c r="BC63" s="1383"/>
      <c r="BD63" s="1383"/>
      <c r="BE63" s="1383"/>
      <c r="BF63" s="1383"/>
      <c r="BG63" s="1383"/>
      <c r="BH63" s="1383"/>
      <c r="BI63" s="1383"/>
      <c r="BJ63" s="1383">
        <v>1</v>
      </c>
    </row>
    <row r="64" spans="1:62" x14ac:dyDescent="0.2">
      <c r="A64" s="1376" t="s">
        <v>1459</v>
      </c>
      <c r="B64" s="1376">
        <v>1</v>
      </c>
      <c r="C64" s="1376" t="s">
        <v>1743</v>
      </c>
      <c r="D64" s="1377">
        <v>56</v>
      </c>
      <c r="E64" s="1378">
        <v>0</v>
      </c>
      <c r="F64" s="1376">
        <v>7</v>
      </c>
      <c r="G64" s="1379"/>
      <c r="H64" s="1379"/>
      <c r="I64" s="1379"/>
      <c r="J64" s="1379"/>
      <c r="K64" s="1376"/>
      <c r="L64" s="1376"/>
      <c r="M64" s="1376"/>
      <c r="N64" s="1379"/>
      <c r="O64" s="1379"/>
      <c r="P64" s="1379">
        <v>11</v>
      </c>
      <c r="Q64" s="1379"/>
      <c r="R64" s="1376"/>
      <c r="S64" s="1376"/>
      <c r="T64" s="1376"/>
      <c r="W64" s="1376"/>
      <c r="X64" s="1376"/>
      <c r="Y64" s="1376"/>
      <c r="Z64" s="1381"/>
      <c r="AA64" s="1379">
        <v>11</v>
      </c>
      <c r="AB64" s="1376"/>
      <c r="AC64" s="1377"/>
      <c r="AD64" s="1378">
        <v>11.125</v>
      </c>
      <c r="AE64" s="1376" t="s">
        <v>35</v>
      </c>
      <c r="AF64" s="1376">
        <v>8</v>
      </c>
      <c r="AG64" s="1379">
        <v>0</v>
      </c>
      <c r="AH64" s="1376">
        <v>5</v>
      </c>
      <c r="AI64" s="1379">
        <v>8</v>
      </c>
      <c r="AJ64" s="1379">
        <v>0</v>
      </c>
      <c r="AK64" s="1379"/>
      <c r="AL64" s="1382"/>
      <c r="AM64" s="1378">
        <v>5</v>
      </c>
      <c r="AN64" s="1376">
        <v>13</v>
      </c>
      <c r="AO64" s="1376">
        <v>4</v>
      </c>
      <c r="AP64" s="1382">
        <v>2</v>
      </c>
      <c r="AQ64" s="1378"/>
      <c r="AR64" s="1376"/>
      <c r="AS64" s="1376"/>
      <c r="AT64" s="1382"/>
      <c r="AU64" s="1378"/>
      <c r="AV64" s="1376"/>
      <c r="AW64" s="1376"/>
      <c r="AX64" s="1382"/>
      <c r="AY64" s="1378"/>
      <c r="AZ64" s="1376"/>
      <c r="BA64" s="1376"/>
      <c r="BB64" s="1383"/>
      <c r="BC64" s="1383"/>
      <c r="BD64" s="1383"/>
      <c r="BE64" s="1383"/>
      <c r="BF64" s="1383"/>
      <c r="BG64" s="1383"/>
      <c r="BH64" s="1383"/>
      <c r="BI64" s="1383"/>
      <c r="BJ64" s="1383">
        <v>1</v>
      </c>
    </row>
    <row r="65" spans="1:62" x14ac:dyDescent="0.2">
      <c r="A65" s="1376" t="s">
        <v>1460</v>
      </c>
      <c r="B65" s="1376">
        <v>1</v>
      </c>
      <c r="C65" s="1376" t="s">
        <v>1743</v>
      </c>
      <c r="D65" s="1377">
        <v>56</v>
      </c>
      <c r="E65" s="1378">
        <v>0</v>
      </c>
      <c r="F65" s="1376">
        <v>7</v>
      </c>
      <c r="G65" s="1379"/>
      <c r="H65" s="1379"/>
      <c r="I65" s="1379"/>
      <c r="J65" s="1379"/>
      <c r="K65" s="1376"/>
      <c r="L65" s="1376"/>
      <c r="M65" s="1376"/>
      <c r="N65" s="1379"/>
      <c r="O65" s="1379"/>
      <c r="P65" s="1379">
        <v>11</v>
      </c>
      <c r="Q65" s="1379"/>
      <c r="R65" s="1376"/>
      <c r="S65" s="1376"/>
      <c r="T65" s="1376"/>
      <c r="W65" s="1376"/>
      <c r="X65" s="1376"/>
      <c r="Y65" s="1376"/>
      <c r="Z65" s="1381"/>
      <c r="AA65" s="1379" t="s">
        <v>1744</v>
      </c>
      <c r="AB65" s="1376"/>
      <c r="AC65" s="1377"/>
      <c r="AD65" s="1378">
        <v>11.125</v>
      </c>
      <c r="AE65" s="1376" t="s">
        <v>35</v>
      </c>
      <c r="AF65" s="1376">
        <v>8</v>
      </c>
      <c r="AG65" s="1379">
        <v>0</v>
      </c>
      <c r="AH65" s="1376">
        <v>5</v>
      </c>
      <c r="AI65" s="1379">
        <v>8</v>
      </c>
      <c r="AJ65" s="1379">
        <v>0</v>
      </c>
      <c r="AK65" s="1379"/>
      <c r="AL65" s="1382"/>
      <c r="AM65" s="1378">
        <v>5</v>
      </c>
      <c r="AN65" s="1376">
        <v>13</v>
      </c>
      <c r="AO65" s="1376">
        <v>4</v>
      </c>
      <c r="AP65" s="1382">
        <v>2</v>
      </c>
      <c r="AQ65" s="1378"/>
      <c r="AR65" s="1376"/>
      <c r="AS65" s="1376"/>
      <c r="AT65" s="1382"/>
      <c r="AU65" s="1378"/>
      <c r="AV65" s="1376"/>
      <c r="AW65" s="1376"/>
      <c r="AX65" s="1382"/>
      <c r="AY65" s="1378"/>
      <c r="AZ65" s="1376"/>
      <c r="BA65" s="1376"/>
      <c r="BB65" s="1383"/>
      <c r="BC65" s="1383"/>
      <c r="BD65" s="1383"/>
      <c r="BE65" s="1383"/>
      <c r="BF65" s="1383"/>
      <c r="BG65" s="1383"/>
      <c r="BH65" s="1383"/>
      <c r="BI65" s="1383"/>
      <c r="BJ65" s="1383">
        <v>1</v>
      </c>
    </row>
    <row r="66" spans="1:62" x14ac:dyDescent="0.2">
      <c r="A66" s="1376" t="s">
        <v>1461</v>
      </c>
      <c r="B66" s="1376">
        <v>1</v>
      </c>
      <c r="C66" s="1376" t="s">
        <v>1743</v>
      </c>
      <c r="D66" s="1377">
        <v>56</v>
      </c>
      <c r="E66" s="1378">
        <v>0</v>
      </c>
      <c r="F66" s="1376">
        <v>7</v>
      </c>
      <c r="G66" s="1379"/>
      <c r="H66" s="1379"/>
      <c r="I66" s="1379"/>
      <c r="J66" s="1379"/>
      <c r="K66" s="1376"/>
      <c r="L66" s="1376"/>
      <c r="M66" s="1376"/>
      <c r="N66" s="1379"/>
      <c r="O66" s="1379"/>
      <c r="P66" s="1379">
        <v>7</v>
      </c>
      <c r="Q66" s="1379"/>
      <c r="R66" s="1376"/>
      <c r="S66" s="1376"/>
      <c r="T66" s="1376"/>
      <c r="W66" s="1376"/>
      <c r="X66" s="1376"/>
      <c r="Y66" s="1376"/>
      <c r="Z66" s="1381"/>
      <c r="AA66" s="1379" t="s">
        <v>1746</v>
      </c>
      <c r="AB66" s="1376" t="s">
        <v>34</v>
      </c>
      <c r="AC66" s="1377"/>
      <c r="AD66" s="1378">
        <v>11.125</v>
      </c>
      <c r="AE66" s="1376" t="s">
        <v>35</v>
      </c>
      <c r="AF66" s="1376">
        <v>8</v>
      </c>
      <c r="AG66" s="1379">
        <v>0</v>
      </c>
      <c r="AH66" s="1376">
        <v>5</v>
      </c>
      <c r="AI66" s="1379">
        <v>8</v>
      </c>
      <c r="AJ66" s="1379">
        <v>0</v>
      </c>
      <c r="AK66" s="1379"/>
      <c r="AL66" s="1382"/>
      <c r="AM66" s="1378">
        <v>5</v>
      </c>
      <c r="AN66" s="1376">
        <v>13</v>
      </c>
      <c r="AO66" s="1376">
        <v>4</v>
      </c>
      <c r="AP66" s="1382">
        <v>2</v>
      </c>
      <c r="AQ66" s="1378">
        <v>2</v>
      </c>
      <c r="AR66" s="1376"/>
      <c r="AS66" s="1376"/>
      <c r="AT66" s="1382"/>
      <c r="AU66" s="1378"/>
      <c r="AV66" s="1376"/>
      <c r="AW66" s="1376"/>
      <c r="AX66" s="1382"/>
      <c r="AY66" s="1378"/>
      <c r="AZ66" s="1376"/>
      <c r="BA66" s="1376"/>
      <c r="BB66" s="1383"/>
      <c r="BC66" s="1383"/>
      <c r="BD66" s="1383"/>
      <c r="BE66" s="1383"/>
      <c r="BF66" s="1383"/>
      <c r="BG66" s="1383"/>
      <c r="BH66" s="1383"/>
      <c r="BI66" s="1383"/>
      <c r="BJ66" s="1383">
        <v>1</v>
      </c>
    </row>
    <row r="67" spans="1:62" x14ac:dyDescent="0.2">
      <c r="A67" s="1376" t="s">
        <v>1462</v>
      </c>
      <c r="B67" s="1376">
        <v>1</v>
      </c>
      <c r="C67" s="1376" t="s">
        <v>1743</v>
      </c>
      <c r="D67" s="1377">
        <v>56</v>
      </c>
      <c r="E67" s="1378">
        <v>0</v>
      </c>
      <c r="F67" s="1376">
        <v>7</v>
      </c>
      <c r="G67" s="1379"/>
      <c r="H67" s="1379"/>
      <c r="I67" s="1379"/>
      <c r="J67" s="1379"/>
      <c r="K67" s="1376"/>
      <c r="L67" s="1376"/>
      <c r="M67" s="1376"/>
      <c r="N67" s="1379"/>
      <c r="O67" s="1379"/>
      <c r="P67" s="1379">
        <v>7</v>
      </c>
      <c r="Q67" s="1379"/>
      <c r="R67" s="1376"/>
      <c r="S67" s="1376"/>
      <c r="T67" s="1376"/>
      <c r="W67" s="1376"/>
      <c r="X67" s="1376"/>
      <c r="Y67" s="1376"/>
      <c r="Z67" s="1381"/>
      <c r="AA67" s="1379" t="s">
        <v>1747</v>
      </c>
      <c r="AB67" s="1376" t="s">
        <v>34</v>
      </c>
      <c r="AC67" s="1377"/>
      <c r="AD67" s="1378">
        <v>11.125</v>
      </c>
      <c r="AE67" s="1376" t="s">
        <v>35</v>
      </c>
      <c r="AF67" s="1376">
        <v>8</v>
      </c>
      <c r="AG67" s="1379">
        <v>0</v>
      </c>
      <c r="AH67" s="1376">
        <v>5</v>
      </c>
      <c r="AI67" s="1379">
        <v>8</v>
      </c>
      <c r="AJ67" s="1379">
        <v>0</v>
      </c>
      <c r="AK67" s="1379"/>
      <c r="AL67" s="1382"/>
      <c r="AM67" s="1378">
        <v>5</v>
      </c>
      <c r="AN67" s="1376">
        <v>13</v>
      </c>
      <c r="AO67" s="1376">
        <v>4</v>
      </c>
      <c r="AP67" s="1382">
        <v>2</v>
      </c>
      <c r="AQ67" s="1378">
        <v>2</v>
      </c>
      <c r="AR67" s="1376"/>
      <c r="AS67" s="1376"/>
      <c r="AT67" s="1382"/>
      <c r="AU67" s="1378"/>
      <c r="AV67" s="1376"/>
      <c r="AW67" s="1376"/>
      <c r="AX67" s="1382"/>
      <c r="AY67" s="1378"/>
      <c r="AZ67" s="1376"/>
      <c r="BA67" s="1376"/>
      <c r="BB67" s="1383"/>
      <c r="BC67" s="1383"/>
      <c r="BD67" s="1383"/>
      <c r="BE67" s="1383"/>
      <c r="BF67" s="1383"/>
      <c r="BG67" s="1383"/>
      <c r="BH67" s="1383"/>
      <c r="BI67" s="1383"/>
      <c r="BJ67" s="1383">
        <v>1</v>
      </c>
    </row>
    <row r="68" spans="1:62" x14ac:dyDescent="0.2">
      <c r="A68" s="1376" t="s">
        <v>1463</v>
      </c>
      <c r="B68" s="1376">
        <v>1</v>
      </c>
      <c r="C68" s="1376" t="s">
        <v>1741</v>
      </c>
      <c r="D68" s="1377">
        <v>60</v>
      </c>
      <c r="E68" s="1378">
        <v>0</v>
      </c>
      <c r="F68" s="1376">
        <v>7</v>
      </c>
      <c r="G68" s="1379"/>
      <c r="H68" s="1379"/>
      <c r="I68" s="1379"/>
      <c r="J68" s="1379"/>
      <c r="K68" s="1376"/>
      <c r="L68" s="1376"/>
      <c r="M68" s="1376"/>
      <c r="N68" s="1379"/>
      <c r="O68" s="1379"/>
      <c r="P68" s="1379">
        <v>7</v>
      </c>
      <c r="Q68" s="1379"/>
      <c r="R68" s="1376"/>
      <c r="S68" s="1376"/>
      <c r="T68" s="1376"/>
      <c r="W68" s="1376"/>
      <c r="X68" s="1376"/>
      <c r="Y68" s="1376"/>
      <c r="Z68" s="1381"/>
      <c r="AA68" s="1379">
        <v>11</v>
      </c>
      <c r="AB68" s="1376"/>
      <c r="AC68" s="1377"/>
      <c r="AD68" s="1378">
        <v>11.125</v>
      </c>
      <c r="AE68" s="1376" t="s">
        <v>35</v>
      </c>
      <c r="AF68" s="1376">
        <v>8</v>
      </c>
      <c r="AG68" s="1379">
        <v>0</v>
      </c>
      <c r="AH68" s="1376">
        <v>6</v>
      </c>
      <c r="AI68" s="1379">
        <v>8</v>
      </c>
      <c r="AJ68" s="1379">
        <v>0</v>
      </c>
      <c r="AK68" s="1379"/>
      <c r="AL68" s="1382"/>
      <c r="AM68" s="1378">
        <v>5</v>
      </c>
      <c r="AN68" s="1376">
        <v>13</v>
      </c>
      <c r="AO68" s="1376">
        <v>4</v>
      </c>
      <c r="AP68" s="1382">
        <v>2</v>
      </c>
      <c r="AQ68" s="1378"/>
      <c r="AR68" s="1376" t="s">
        <v>1018</v>
      </c>
      <c r="AS68" s="1376" t="s">
        <v>1739</v>
      </c>
      <c r="AT68" s="1382"/>
      <c r="AU68" s="1378" t="s">
        <v>35</v>
      </c>
      <c r="AV68" s="1376"/>
      <c r="AW68" s="1376"/>
      <c r="AX68" s="1382"/>
      <c r="AY68" s="1378"/>
      <c r="AZ68" s="1376"/>
      <c r="BA68" s="1376"/>
      <c r="BB68" s="1383"/>
      <c r="BC68" s="1383"/>
      <c r="BD68" s="1383"/>
      <c r="BE68" s="1383"/>
      <c r="BF68" s="1383"/>
      <c r="BG68" s="1383"/>
      <c r="BH68" s="1383"/>
      <c r="BI68" s="1383"/>
      <c r="BJ68" s="1383">
        <v>1</v>
      </c>
    </row>
    <row r="69" spans="1:62" x14ac:dyDescent="0.2">
      <c r="A69" s="1376" t="s">
        <v>1464</v>
      </c>
      <c r="B69" s="1376">
        <v>2</v>
      </c>
      <c r="C69" s="1376" t="s">
        <v>1748</v>
      </c>
      <c r="D69" s="1377">
        <v>59</v>
      </c>
      <c r="E69" s="1378">
        <v>2.25</v>
      </c>
      <c r="F69" s="1376">
        <v>7</v>
      </c>
      <c r="G69" s="1379"/>
      <c r="H69" s="1379"/>
      <c r="I69" s="1379"/>
      <c r="J69" s="1379"/>
      <c r="K69" s="1376"/>
      <c r="L69" s="1376"/>
      <c r="M69" s="1376"/>
      <c r="N69" s="1379"/>
      <c r="O69" s="1379"/>
      <c r="P69" s="1379">
        <v>2</v>
      </c>
      <c r="Q69" s="1379"/>
      <c r="R69" s="1376"/>
      <c r="S69" s="1376"/>
      <c r="T69" s="1376"/>
      <c r="W69" s="1376"/>
      <c r="X69" s="1376"/>
      <c r="Y69" s="1376"/>
      <c r="Z69" s="1381"/>
      <c r="AA69" s="1379" t="s">
        <v>1742</v>
      </c>
      <c r="AB69" s="1376" t="s">
        <v>1679</v>
      </c>
      <c r="AC69" s="1377"/>
      <c r="AD69" s="1378">
        <v>11.125</v>
      </c>
      <c r="AE69" s="1376" t="s">
        <v>35</v>
      </c>
      <c r="AF69" s="1376">
        <v>4</v>
      </c>
      <c r="AG69" s="1379">
        <v>0</v>
      </c>
      <c r="AH69" s="1376">
        <v>6</v>
      </c>
      <c r="AI69" s="1379">
        <v>8</v>
      </c>
      <c r="AJ69" s="1379">
        <v>0</v>
      </c>
      <c r="AK69" s="1379"/>
      <c r="AL69" s="1382"/>
      <c r="AM69" s="1378">
        <v>5</v>
      </c>
      <c r="AN69" s="1376">
        <v>13</v>
      </c>
      <c r="AO69" s="1376">
        <v>4</v>
      </c>
      <c r="AP69" s="1382"/>
      <c r="AQ69" s="1378"/>
      <c r="AR69" s="1376" t="s">
        <v>1018</v>
      </c>
      <c r="AS69" s="1376" t="s">
        <v>1705</v>
      </c>
      <c r="AT69" s="1382"/>
      <c r="AU69" s="1378" t="s">
        <v>35</v>
      </c>
      <c r="AV69" s="1376"/>
      <c r="AW69" s="1376"/>
      <c r="AX69" s="1382"/>
      <c r="AY69" s="1378"/>
      <c r="AZ69" s="1376"/>
      <c r="BA69" s="1376"/>
      <c r="BB69" s="1383"/>
      <c r="BC69" s="1383"/>
      <c r="BD69" s="1383"/>
      <c r="BE69" s="1383"/>
      <c r="BF69" s="1383"/>
      <c r="BG69" s="1383"/>
      <c r="BH69" s="1383"/>
      <c r="BI69" s="1383"/>
      <c r="BJ69" s="1383">
        <v>1</v>
      </c>
    </row>
    <row r="70" spans="1:62" x14ac:dyDescent="0.2">
      <c r="A70" s="1376" t="s">
        <v>1465</v>
      </c>
      <c r="B70" s="1376">
        <v>1</v>
      </c>
      <c r="C70" s="1376" t="s">
        <v>1748</v>
      </c>
      <c r="D70" s="1377">
        <v>59</v>
      </c>
      <c r="E70" s="1378">
        <v>7</v>
      </c>
      <c r="F70" s="1376">
        <v>7</v>
      </c>
      <c r="G70" s="1379"/>
      <c r="H70" s="1379"/>
      <c r="I70" s="1379"/>
      <c r="J70" s="1379"/>
      <c r="K70" s="1376"/>
      <c r="L70" s="1376"/>
      <c r="M70" s="1376"/>
      <c r="N70" s="1379"/>
      <c r="O70" s="1379"/>
      <c r="P70" s="1379">
        <v>18</v>
      </c>
      <c r="Q70" s="1379"/>
      <c r="R70" s="1376"/>
      <c r="S70" s="1376"/>
      <c r="T70" s="1376"/>
      <c r="W70" s="1376"/>
      <c r="X70" s="1376"/>
      <c r="Y70" s="1376"/>
      <c r="Z70" s="1381">
        <v>0.25174825174825199</v>
      </c>
      <c r="AA70" s="1379">
        <v>11</v>
      </c>
      <c r="AB70" s="1376" t="s">
        <v>158</v>
      </c>
      <c r="AC70" s="1377"/>
      <c r="AD70" s="1378">
        <v>11.125</v>
      </c>
      <c r="AE70" s="1376" t="s">
        <v>35</v>
      </c>
      <c r="AF70" s="1376">
        <v>4</v>
      </c>
      <c r="AG70" s="1379">
        <v>0</v>
      </c>
      <c r="AH70" s="1376">
        <v>6</v>
      </c>
      <c r="AI70" s="1379">
        <v>8</v>
      </c>
      <c r="AJ70" s="1379">
        <v>0</v>
      </c>
      <c r="AK70" s="1379"/>
      <c r="AL70" s="1382"/>
      <c r="AM70" s="1378">
        <v>5</v>
      </c>
      <c r="AN70" s="1376">
        <v>13</v>
      </c>
      <c r="AO70" s="1376">
        <v>4</v>
      </c>
      <c r="AP70" s="1382"/>
      <c r="AQ70" s="1378"/>
      <c r="AR70" s="1376" t="s">
        <v>1018</v>
      </c>
      <c r="AS70" s="1376" t="s">
        <v>1705</v>
      </c>
      <c r="AT70" s="1382"/>
      <c r="AU70" s="1378" t="s">
        <v>35</v>
      </c>
      <c r="AV70" s="1376"/>
      <c r="AW70" s="1376"/>
      <c r="AX70" s="1382"/>
      <c r="AY70" s="1378"/>
      <c r="AZ70" s="1376"/>
      <c r="BA70" s="1376"/>
      <c r="BB70" s="1383"/>
      <c r="BC70" s="1383"/>
      <c r="BD70" s="1383"/>
      <c r="BE70" s="1383"/>
      <c r="BF70" s="1383"/>
      <c r="BG70" s="1383"/>
      <c r="BH70" s="1383"/>
      <c r="BI70" s="1383"/>
      <c r="BJ70" s="1383">
        <v>1</v>
      </c>
    </row>
    <row r="71" spans="1:62" x14ac:dyDescent="0.2">
      <c r="A71" s="1376" t="s">
        <v>1466</v>
      </c>
      <c r="B71" s="1376">
        <v>1</v>
      </c>
      <c r="C71" s="1376" t="s">
        <v>1749</v>
      </c>
      <c r="D71" s="1377">
        <v>56</v>
      </c>
      <c r="E71" s="1378">
        <v>5</v>
      </c>
      <c r="F71" s="1376">
        <v>7</v>
      </c>
      <c r="G71" s="1379"/>
      <c r="H71" s="1379"/>
      <c r="I71" s="1379"/>
      <c r="J71" s="1379"/>
      <c r="K71" s="1376"/>
      <c r="L71" s="1376"/>
      <c r="M71" s="1376"/>
      <c r="N71" s="1379"/>
      <c r="O71" s="1379"/>
      <c r="P71" s="1379">
        <v>18</v>
      </c>
      <c r="Q71" s="1379"/>
      <c r="R71" s="1376"/>
      <c r="S71" s="1376"/>
      <c r="T71" s="1376"/>
      <c r="W71" s="1376"/>
      <c r="X71" s="1376"/>
      <c r="Y71" s="1376"/>
      <c r="Z71" s="1381"/>
      <c r="AA71" s="1379" t="s">
        <v>1744</v>
      </c>
      <c r="AB71" s="1376" t="s">
        <v>158</v>
      </c>
      <c r="AC71" s="1377"/>
      <c r="AD71" s="1378">
        <v>11.125</v>
      </c>
      <c r="AE71" s="1376" t="s">
        <v>35</v>
      </c>
      <c r="AF71" s="1376">
        <v>8</v>
      </c>
      <c r="AG71" s="1379">
        <v>0</v>
      </c>
      <c r="AH71" s="1376">
        <v>5</v>
      </c>
      <c r="AI71" s="1379">
        <v>8</v>
      </c>
      <c r="AJ71" s="1379">
        <v>0</v>
      </c>
      <c r="AK71" s="1379"/>
      <c r="AL71" s="1382"/>
      <c r="AM71" s="1378">
        <v>5</v>
      </c>
      <c r="AN71" s="1376">
        <v>13</v>
      </c>
      <c r="AO71" s="1376">
        <v>4</v>
      </c>
      <c r="AP71" s="1382">
        <v>2</v>
      </c>
      <c r="AQ71" s="1378"/>
      <c r="AR71" s="1376"/>
      <c r="AS71" s="1376"/>
      <c r="AT71" s="1382"/>
      <c r="AU71" s="1378"/>
      <c r="AV71" s="1376"/>
      <c r="AW71" s="1376"/>
      <c r="AX71" s="1382"/>
      <c r="AY71" s="1378"/>
      <c r="AZ71" s="1376"/>
      <c r="BA71" s="1376"/>
      <c r="BB71" s="1383"/>
      <c r="BC71" s="1383"/>
      <c r="BD71" s="1383"/>
      <c r="BE71" s="1383"/>
      <c r="BF71" s="1383"/>
      <c r="BG71" s="1383"/>
      <c r="BH71" s="1383"/>
      <c r="BI71" s="1383"/>
      <c r="BJ71" s="1383">
        <v>1</v>
      </c>
    </row>
    <row r="72" spans="1:62" x14ac:dyDescent="0.2">
      <c r="A72" s="1376" t="s">
        <v>1467</v>
      </c>
      <c r="B72" s="1376">
        <v>1</v>
      </c>
      <c r="C72" s="1376" t="s">
        <v>1749</v>
      </c>
      <c r="D72" s="1377">
        <v>56</v>
      </c>
      <c r="E72" s="1378">
        <v>0</v>
      </c>
      <c r="F72" s="1376">
        <v>7</v>
      </c>
      <c r="G72" s="1379"/>
      <c r="H72" s="1379"/>
      <c r="I72" s="1379"/>
      <c r="J72" s="1379"/>
      <c r="K72" s="1376"/>
      <c r="L72" s="1376"/>
      <c r="M72" s="1376"/>
      <c r="N72" s="1379"/>
      <c r="O72" s="1379"/>
      <c r="P72" s="1379">
        <v>7</v>
      </c>
      <c r="Q72" s="1379"/>
      <c r="R72" s="1376"/>
      <c r="S72" s="1376"/>
      <c r="T72" s="1376"/>
      <c r="W72" s="1376"/>
      <c r="X72" s="1376"/>
      <c r="Y72" s="1376"/>
      <c r="Z72" s="1381"/>
      <c r="AA72" s="1379" t="s">
        <v>1745</v>
      </c>
      <c r="AB72" s="1376"/>
      <c r="AC72" s="1377"/>
      <c r="AD72" s="1378">
        <v>11.125</v>
      </c>
      <c r="AE72" s="1376" t="s">
        <v>35</v>
      </c>
      <c r="AF72" s="1376">
        <v>8</v>
      </c>
      <c r="AG72" s="1379">
        <v>0</v>
      </c>
      <c r="AH72" s="1376">
        <v>5</v>
      </c>
      <c r="AI72" s="1379">
        <v>8</v>
      </c>
      <c r="AJ72" s="1379">
        <v>0</v>
      </c>
      <c r="AK72" s="1379"/>
      <c r="AL72" s="1382"/>
      <c r="AM72" s="1378">
        <v>5</v>
      </c>
      <c r="AN72" s="1376">
        <v>13</v>
      </c>
      <c r="AO72" s="1376">
        <v>4</v>
      </c>
      <c r="AP72" s="1382">
        <v>2</v>
      </c>
      <c r="AQ72" s="1378">
        <v>2</v>
      </c>
      <c r="AR72" s="1376" t="s">
        <v>1018</v>
      </c>
      <c r="AS72" s="1376" t="s">
        <v>1750</v>
      </c>
      <c r="AT72" s="1382">
        <v>0.3</v>
      </c>
      <c r="AU72" s="1378"/>
      <c r="AV72" s="1376" t="s">
        <v>1018</v>
      </c>
      <c r="AW72" s="1376" t="s">
        <v>1706</v>
      </c>
      <c r="AX72" s="1382">
        <v>0.3</v>
      </c>
      <c r="AY72" s="1378"/>
      <c r="AZ72" s="1376"/>
      <c r="BA72" s="1376"/>
      <c r="BB72" s="1383"/>
      <c r="BC72" s="1383"/>
      <c r="BD72" s="1383"/>
      <c r="BE72" s="1383"/>
      <c r="BF72" s="1383"/>
      <c r="BG72" s="1383"/>
      <c r="BH72" s="1383"/>
      <c r="BI72" s="1383"/>
      <c r="BJ72" s="1383">
        <v>1</v>
      </c>
    </row>
    <row r="73" spans="1:62" x14ac:dyDescent="0.2">
      <c r="A73" s="1376" t="s">
        <v>1468</v>
      </c>
      <c r="B73" s="1376">
        <v>1</v>
      </c>
      <c r="C73" s="1376" t="s">
        <v>1749</v>
      </c>
      <c r="D73" s="1377">
        <v>56</v>
      </c>
      <c r="E73" s="1378">
        <v>0</v>
      </c>
      <c r="F73" s="1376">
        <v>7</v>
      </c>
      <c r="G73" s="1379"/>
      <c r="H73" s="1379"/>
      <c r="I73" s="1379"/>
      <c r="J73" s="1379"/>
      <c r="K73" s="1376"/>
      <c r="L73" s="1376"/>
      <c r="M73" s="1376"/>
      <c r="N73" s="1379"/>
      <c r="O73" s="1379"/>
      <c r="P73" s="1379">
        <v>7</v>
      </c>
      <c r="Q73" s="1379"/>
      <c r="R73" s="1376"/>
      <c r="S73" s="1376"/>
      <c r="T73" s="1376"/>
      <c r="W73" s="1376"/>
      <c r="X73" s="1376"/>
      <c r="Y73" s="1376"/>
      <c r="Z73" s="1381"/>
      <c r="AA73" s="1379" t="s">
        <v>1751</v>
      </c>
      <c r="AB73" s="1376" t="s">
        <v>34</v>
      </c>
      <c r="AC73" s="1377"/>
      <c r="AD73" s="1378">
        <v>11.125</v>
      </c>
      <c r="AE73" s="1376" t="s">
        <v>35</v>
      </c>
      <c r="AF73" s="1376">
        <v>8</v>
      </c>
      <c r="AG73" s="1379">
        <v>0</v>
      </c>
      <c r="AH73" s="1376">
        <v>5</v>
      </c>
      <c r="AI73" s="1379">
        <v>8</v>
      </c>
      <c r="AJ73" s="1379">
        <v>0</v>
      </c>
      <c r="AK73" s="1379"/>
      <c r="AL73" s="1382"/>
      <c r="AM73" s="1378">
        <v>5</v>
      </c>
      <c r="AN73" s="1376">
        <v>13</v>
      </c>
      <c r="AO73" s="1376">
        <v>4</v>
      </c>
      <c r="AP73" s="1382">
        <v>2</v>
      </c>
      <c r="AQ73" s="1378">
        <v>2</v>
      </c>
      <c r="AR73" s="1376" t="s">
        <v>1018</v>
      </c>
      <c r="AS73" s="1376" t="s">
        <v>1705</v>
      </c>
      <c r="AT73" s="1382">
        <v>0.3</v>
      </c>
      <c r="AU73" s="1378"/>
      <c r="AV73" s="1376" t="s">
        <v>1018</v>
      </c>
      <c r="AW73" s="1376" t="s">
        <v>1752</v>
      </c>
      <c r="AX73" s="1382">
        <v>0.3</v>
      </c>
      <c r="AY73" s="1378"/>
      <c r="AZ73" s="1376"/>
      <c r="BA73" s="1376"/>
      <c r="BB73" s="1383"/>
      <c r="BC73" s="1383"/>
      <c r="BD73" s="1383"/>
      <c r="BE73" s="1383"/>
      <c r="BF73" s="1383"/>
      <c r="BG73" s="1383"/>
      <c r="BH73" s="1383"/>
      <c r="BI73" s="1383"/>
      <c r="BJ73" s="1383">
        <v>1</v>
      </c>
    </row>
    <row r="74" spans="1:62" x14ac:dyDescent="0.2">
      <c r="A74" s="1376" t="s">
        <v>1469</v>
      </c>
      <c r="B74" s="1376">
        <v>7</v>
      </c>
      <c r="C74" s="1376" t="s">
        <v>1749</v>
      </c>
      <c r="D74" s="1377">
        <v>56</v>
      </c>
      <c r="E74" s="1378">
        <v>0</v>
      </c>
      <c r="F74" s="1376">
        <v>7</v>
      </c>
      <c r="G74" s="1379"/>
      <c r="H74" s="1379"/>
      <c r="I74" s="1379"/>
      <c r="J74" s="1379"/>
      <c r="K74" s="1376"/>
      <c r="L74" s="1376"/>
      <c r="M74" s="1376"/>
      <c r="N74" s="1379"/>
      <c r="O74" s="1379"/>
      <c r="P74" s="1379">
        <v>7</v>
      </c>
      <c r="Q74" s="1379"/>
      <c r="R74" s="1376"/>
      <c r="S74" s="1376"/>
      <c r="T74" s="1376"/>
      <c r="W74" s="1376"/>
      <c r="X74" s="1376"/>
      <c r="Y74" s="1376"/>
      <c r="Z74" s="1381"/>
      <c r="AA74" s="1379">
        <v>11</v>
      </c>
      <c r="AB74" s="1376"/>
      <c r="AC74" s="1377"/>
      <c r="AD74" s="1378">
        <v>11.125</v>
      </c>
      <c r="AE74" s="1376" t="s">
        <v>35</v>
      </c>
      <c r="AF74" s="1376">
        <v>8</v>
      </c>
      <c r="AG74" s="1379">
        <v>0</v>
      </c>
      <c r="AH74" s="1376">
        <v>5</v>
      </c>
      <c r="AI74" s="1379">
        <v>8</v>
      </c>
      <c r="AJ74" s="1379">
        <v>0</v>
      </c>
      <c r="AK74" s="1379"/>
      <c r="AL74" s="1382"/>
      <c r="AM74" s="1378">
        <v>5</v>
      </c>
      <c r="AN74" s="1376">
        <v>13</v>
      </c>
      <c r="AO74" s="1376">
        <v>4</v>
      </c>
      <c r="AP74" s="1382">
        <v>2</v>
      </c>
      <c r="AQ74" s="1378">
        <v>2</v>
      </c>
      <c r="AR74" s="1376"/>
      <c r="AS74" s="1376"/>
      <c r="AT74" s="1382"/>
      <c r="AU74" s="1378"/>
      <c r="AV74" s="1376"/>
      <c r="AW74" s="1376"/>
      <c r="AX74" s="1382"/>
      <c r="AY74" s="1378"/>
      <c r="AZ74" s="1376"/>
      <c r="BA74" s="1376"/>
      <c r="BB74" s="1383"/>
      <c r="BC74" s="1383"/>
      <c r="BD74" s="1383"/>
      <c r="BE74" s="1383"/>
      <c r="BF74" s="1383"/>
      <c r="BG74" s="1383"/>
      <c r="BH74" s="1383"/>
      <c r="BI74" s="1383"/>
      <c r="BJ74" s="1383">
        <v>1</v>
      </c>
    </row>
    <row r="75" spans="1:62" x14ac:dyDescent="0.2">
      <c r="A75" s="1376" t="s">
        <v>1470</v>
      </c>
      <c r="B75" s="1376">
        <v>1</v>
      </c>
      <c r="C75" s="1376" t="s">
        <v>1749</v>
      </c>
      <c r="D75" s="1377">
        <v>56</v>
      </c>
      <c r="E75" s="1378">
        <v>0</v>
      </c>
      <c r="F75" s="1376">
        <v>7</v>
      </c>
      <c r="G75" s="1379"/>
      <c r="H75" s="1379"/>
      <c r="I75" s="1379"/>
      <c r="J75" s="1379"/>
      <c r="K75" s="1376"/>
      <c r="L75" s="1376"/>
      <c r="M75" s="1376"/>
      <c r="N75" s="1379"/>
      <c r="O75" s="1379"/>
      <c r="P75" s="1379">
        <v>11</v>
      </c>
      <c r="Q75" s="1379"/>
      <c r="R75" s="1376"/>
      <c r="S75" s="1376"/>
      <c r="T75" s="1376"/>
      <c r="W75" s="1376"/>
      <c r="X75" s="1376"/>
      <c r="Y75" s="1376"/>
      <c r="Z75" s="1381"/>
      <c r="AA75" s="1379">
        <v>11</v>
      </c>
      <c r="AB75" s="1376"/>
      <c r="AC75" s="1377"/>
      <c r="AD75" s="1378">
        <v>11.125</v>
      </c>
      <c r="AE75" s="1376" t="s">
        <v>35</v>
      </c>
      <c r="AF75" s="1376">
        <v>8</v>
      </c>
      <c r="AG75" s="1379">
        <v>0</v>
      </c>
      <c r="AH75" s="1376">
        <v>5</v>
      </c>
      <c r="AI75" s="1379">
        <v>8</v>
      </c>
      <c r="AJ75" s="1379">
        <v>0</v>
      </c>
      <c r="AK75" s="1379"/>
      <c r="AL75" s="1382"/>
      <c r="AM75" s="1378">
        <v>5</v>
      </c>
      <c r="AN75" s="1376">
        <v>13</v>
      </c>
      <c r="AO75" s="1376">
        <v>4</v>
      </c>
      <c r="AP75" s="1382">
        <v>2</v>
      </c>
      <c r="AQ75" s="1378"/>
      <c r="AR75" s="1376"/>
      <c r="AS75" s="1376"/>
      <c r="AT75" s="1382"/>
      <c r="AU75" s="1378"/>
      <c r="AV75" s="1376"/>
      <c r="AW75" s="1376"/>
      <c r="AX75" s="1382"/>
      <c r="AY75" s="1378"/>
      <c r="AZ75" s="1376"/>
      <c r="BA75" s="1376"/>
      <c r="BB75" s="1383"/>
      <c r="BC75" s="1383"/>
      <c r="BD75" s="1383"/>
      <c r="BE75" s="1383"/>
      <c r="BF75" s="1383"/>
      <c r="BG75" s="1383"/>
      <c r="BH75" s="1383"/>
      <c r="BI75" s="1383"/>
      <c r="BJ75" s="1383">
        <v>1</v>
      </c>
    </row>
    <row r="76" spans="1:62" x14ac:dyDescent="0.2">
      <c r="A76" s="1376" t="s">
        <v>1471</v>
      </c>
      <c r="B76" s="1376">
        <v>1</v>
      </c>
      <c r="C76" s="1376" t="s">
        <v>1749</v>
      </c>
      <c r="D76" s="1377">
        <v>56</v>
      </c>
      <c r="E76" s="1378">
        <v>0</v>
      </c>
      <c r="F76" s="1376">
        <v>7</v>
      </c>
      <c r="G76" s="1379"/>
      <c r="H76" s="1379"/>
      <c r="I76" s="1379"/>
      <c r="J76" s="1379"/>
      <c r="K76" s="1376"/>
      <c r="L76" s="1376"/>
      <c r="M76" s="1376"/>
      <c r="N76" s="1379"/>
      <c r="O76" s="1379"/>
      <c r="P76" s="1379">
        <v>11</v>
      </c>
      <c r="Q76" s="1379"/>
      <c r="R76" s="1376"/>
      <c r="S76" s="1376"/>
      <c r="T76" s="1376"/>
      <c r="W76" s="1376"/>
      <c r="X76" s="1376"/>
      <c r="Y76" s="1376"/>
      <c r="Z76" s="1381"/>
      <c r="AA76" s="1379" t="s">
        <v>1744</v>
      </c>
      <c r="AB76" s="1376"/>
      <c r="AC76" s="1377"/>
      <c r="AD76" s="1378">
        <v>11.125</v>
      </c>
      <c r="AE76" s="1376" t="s">
        <v>35</v>
      </c>
      <c r="AF76" s="1376">
        <v>8</v>
      </c>
      <c r="AG76" s="1379">
        <v>0</v>
      </c>
      <c r="AH76" s="1376">
        <v>5</v>
      </c>
      <c r="AI76" s="1379">
        <v>8</v>
      </c>
      <c r="AJ76" s="1379">
        <v>0</v>
      </c>
      <c r="AK76" s="1379"/>
      <c r="AL76" s="1382"/>
      <c r="AM76" s="1378">
        <v>5</v>
      </c>
      <c r="AN76" s="1376">
        <v>13</v>
      </c>
      <c r="AO76" s="1376">
        <v>4</v>
      </c>
      <c r="AP76" s="1382">
        <v>2</v>
      </c>
      <c r="AQ76" s="1378"/>
      <c r="AR76" s="1376"/>
      <c r="AS76" s="1376"/>
      <c r="AT76" s="1382"/>
      <c r="AU76" s="1378"/>
      <c r="AV76" s="1376"/>
      <c r="AW76" s="1376"/>
      <c r="AX76" s="1382"/>
      <c r="AY76" s="1378"/>
      <c r="AZ76" s="1376"/>
      <c r="BA76" s="1376"/>
      <c r="BB76" s="1383"/>
      <c r="BC76" s="1383"/>
      <c r="BD76" s="1383"/>
      <c r="BE76" s="1383"/>
      <c r="BF76" s="1383"/>
      <c r="BG76" s="1383"/>
      <c r="BH76" s="1383"/>
      <c r="BI76" s="1383"/>
      <c r="BJ76" s="1383">
        <v>1</v>
      </c>
    </row>
    <row r="77" spans="1:62" x14ac:dyDescent="0.2">
      <c r="A77" s="1376" t="s">
        <v>1472</v>
      </c>
      <c r="B77" s="1376">
        <v>1</v>
      </c>
      <c r="C77" s="1376" t="s">
        <v>1749</v>
      </c>
      <c r="D77" s="1377">
        <v>56</v>
      </c>
      <c r="E77" s="1378">
        <v>0</v>
      </c>
      <c r="F77" s="1376">
        <v>7</v>
      </c>
      <c r="G77" s="1379"/>
      <c r="H77" s="1379"/>
      <c r="I77" s="1379"/>
      <c r="J77" s="1379"/>
      <c r="K77" s="1376"/>
      <c r="L77" s="1376"/>
      <c r="M77" s="1376"/>
      <c r="N77" s="1379"/>
      <c r="O77" s="1379"/>
      <c r="P77" s="1379">
        <v>7</v>
      </c>
      <c r="Q77" s="1379"/>
      <c r="R77" s="1376"/>
      <c r="S77" s="1376"/>
      <c r="T77" s="1376"/>
      <c r="W77" s="1376"/>
      <c r="X77" s="1376"/>
      <c r="Y77" s="1376"/>
      <c r="Z77" s="1381"/>
      <c r="AA77" s="1379" t="s">
        <v>1753</v>
      </c>
      <c r="AB77" s="1376" t="s">
        <v>34</v>
      </c>
      <c r="AC77" s="1377"/>
      <c r="AD77" s="1378">
        <v>11.125</v>
      </c>
      <c r="AE77" s="1376" t="s">
        <v>35</v>
      </c>
      <c r="AF77" s="1376">
        <v>8</v>
      </c>
      <c r="AG77" s="1379">
        <v>0</v>
      </c>
      <c r="AH77" s="1376">
        <v>5</v>
      </c>
      <c r="AI77" s="1379">
        <v>8</v>
      </c>
      <c r="AJ77" s="1379">
        <v>0</v>
      </c>
      <c r="AK77" s="1379"/>
      <c r="AL77" s="1382"/>
      <c r="AM77" s="1378">
        <v>5</v>
      </c>
      <c r="AN77" s="1376">
        <v>13</v>
      </c>
      <c r="AO77" s="1376">
        <v>4</v>
      </c>
      <c r="AP77" s="1382">
        <v>2</v>
      </c>
      <c r="AQ77" s="1378">
        <v>2</v>
      </c>
      <c r="AR77" s="1376"/>
      <c r="AS77" s="1376"/>
      <c r="AT77" s="1382"/>
      <c r="AU77" s="1378"/>
      <c r="AV77" s="1376"/>
      <c r="AW77" s="1376"/>
      <c r="AX77" s="1382"/>
      <c r="AY77" s="1378"/>
      <c r="AZ77" s="1376"/>
      <c r="BA77" s="1376"/>
      <c r="BB77" s="1383"/>
      <c r="BC77" s="1383"/>
      <c r="BD77" s="1383"/>
      <c r="BE77" s="1383"/>
      <c r="BF77" s="1383"/>
      <c r="BG77" s="1383"/>
      <c r="BH77" s="1383"/>
      <c r="BI77" s="1383"/>
      <c r="BJ77" s="1383">
        <v>1</v>
      </c>
    </row>
    <row r="78" spans="1:62" x14ac:dyDescent="0.2">
      <c r="A78" s="1376" t="s">
        <v>1473</v>
      </c>
      <c r="B78" s="1376">
        <v>1</v>
      </c>
      <c r="C78" s="1376" t="s">
        <v>1749</v>
      </c>
      <c r="D78" s="1377">
        <v>56</v>
      </c>
      <c r="E78" s="1378">
        <v>0</v>
      </c>
      <c r="F78" s="1376">
        <v>7</v>
      </c>
      <c r="G78" s="1379"/>
      <c r="H78" s="1379"/>
      <c r="I78" s="1379"/>
      <c r="J78" s="1379"/>
      <c r="K78" s="1376"/>
      <c r="L78" s="1376"/>
      <c r="M78" s="1376"/>
      <c r="N78" s="1379"/>
      <c r="O78" s="1379"/>
      <c r="P78" s="1379">
        <v>7</v>
      </c>
      <c r="Q78" s="1379"/>
      <c r="R78" s="1376"/>
      <c r="S78" s="1376"/>
      <c r="T78" s="1376"/>
      <c r="W78" s="1376"/>
      <c r="X78" s="1376"/>
      <c r="Y78" s="1376"/>
      <c r="Z78" s="1381"/>
      <c r="AA78" s="1379" t="s">
        <v>1742</v>
      </c>
      <c r="AB78" s="1376"/>
      <c r="AC78" s="1377"/>
      <c r="AD78" s="1378">
        <v>11.125</v>
      </c>
      <c r="AE78" s="1376" t="s">
        <v>35</v>
      </c>
      <c r="AF78" s="1376">
        <v>8</v>
      </c>
      <c r="AG78" s="1379">
        <v>0</v>
      </c>
      <c r="AH78" s="1376">
        <v>5</v>
      </c>
      <c r="AI78" s="1379">
        <v>8</v>
      </c>
      <c r="AJ78" s="1379">
        <v>0</v>
      </c>
      <c r="AK78" s="1379"/>
      <c r="AL78" s="1382"/>
      <c r="AM78" s="1378">
        <v>5</v>
      </c>
      <c r="AN78" s="1376">
        <v>13</v>
      </c>
      <c r="AO78" s="1376">
        <v>4</v>
      </c>
      <c r="AP78" s="1382">
        <v>2</v>
      </c>
      <c r="AQ78" s="1378">
        <v>2</v>
      </c>
      <c r="AR78" s="1376"/>
      <c r="AS78" s="1376"/>
      <c r="AT78" s="1382"/>
      <c r="AU78" s="1378"/>
      <c r="AV78" s="1376"/>
      <c r="AW78" s="1376"/>
      <c r="AX78" s="1382"/>
      <c r="AY78" s="1378"/>
      <c r="AZ78" s="1376"/>
      <c r="BA78" s="1376"/>
      <c r="BB78" s="1383"/>
      <c r="BC78" s="1383"/>
      <c r="BD78" s="1383"/>
      <c r="BE78" s="1383"/>
      <c r="BF78" s="1383"/>
      <c r="BG78" s="1383"/>
      <c r="BH78" s="1383"/>
      <c r="BI78" s="1383"/>
      <c r="BJ78" s="1383">
        <v>1</v>
      </c>
    </row>
    <row r="79" spans="1:62" x14ac:dyDescent="0.2">
      <c r="A79" s="1376" t="s">
        <v>1474</v>
      </c>
      <c r="B79" s="1376">
        <v>1</v>
      </c>
      <c r="C79" s="1376" t="s">
        <v>1749</v>
      </c>
      <c r="D79" s="1377">
        <v>56</v>
      </c>
      <c r="E79" s="1378">
        <v>0</v>
      </c>
      <c r="F79" s="1376">
        <v>7</v>
      </c>
      <c r="G79" s="1379"/>
      <c r="H79" s="1379"/>
      <c r="I79" s="1379"/>
      <c r="J79" s="1379"/>
      <c r="K79" s="1376"/>
      <c r="L79" s="1376"/>
      <c r="M79" s="1376"/>
      <c r="N79" s="1379"/>
      <c r="O79" s="1379"/>
      <c r="P79" s="1379">
        <v>7</v>
      </c>
      <c r="Q79" s="1379"/>
      <c r="R79" s="1376"/>
      <c r="S79" s="1376"/>
      <c r="T79" s="1376"/>
      <c r="W79" s="1376"/>
      <c r="X79" s="1376"/>
      <c r="Y79" s="1376"/>
      <c r="Z79" s="1381"/>
      <c r="AA79" s="1379" t="s">
        <v>1754</v>
      </c>
      <c r="AB79" s="1376"/>
      <c r="AC79" s="1377"/>
      <c r="AD79" s="1378">
        <v>11.125</v>
      </c>
      <c r="AE79" s="1376" t="s">
        <v>35</v>
      </c>
      <c r="AF79" s="1376">
        <v>8</v>
      </c>
      <c r="AG79" s="1379">
        <v>0</v>
      </c>
      <c r="AH79" s="1376">
        <v>5</v>
      </c>
      <c r="AI79" s="1379">
        <v>8</v>
      </c>
      <c r="AJ79" s="1379">
        <v>0</v>
      </c>
      <c r="AK79" s="1379"/>
      <c r="AL79" s="1382"/>
      <c r="AM79" s="1378">
        <v>5</v>
      </c>
      <c r="AN79" s="1376">
        <v>13</v>
      </c>
      <c r="AO79" s="1376">
        <v>4</v>
      </c>
      <c r="AP79" s="1382">
        <v>2</v>
      </c>
      <c r="AQ79" s="1378">
        <v>2</v>
      </c>
      <c r="AR79" s="1376"/>
      <c r="AS79" s="1376"/>
      <c r="AT79" s="1382"/>
      <c r="AU79" s="1378"/>
      <c r="AV79" s="1376"/>
      <c r="AW79" s="1376"/>
      <c r="AX79" s="1382"/>
      <c r="AY79" s="1378"/>
      <c r="AZ79" s="1376"/>
      <c r="BA79" s="1376"/>
      <c r="BB79" s="1383"/>
      <c r="BC79" s="1383"/>
      <c r="BD79" s="1383"/>
      <c r="BE79" s="1383"/>
      <c r="BF79" s="1383"/>
      <c r="BG79" s="1383"/>
      <c r="BH79" s="1383"/>
      <c r="BI79" s="1383"/>
      <c r="BJ79" s="1383">
        <v>1</v>
      </c>
    </row>
    <row r="80" spans="1:62" x14ac:dyDescent="0.2">
      <c r="A80" s="1376" t="s">
        <v>1475</v>
      </c>
      <c r="B80" s="1376">
        <v>1</v>
      </c>
      <c r="C80" s="1376" t="s">
        <v>1749</v>
      </c>
      <c r="D80" s="1377">
        <v>56</v>
      </c>
      <c r="E80" s="1378">
        <v>0</v>
      </c>
      <c r="F80" s="1376">
        <v>7</v>
      </c>
      <c r="G80" s="1379"/>
      <c r="H80" s="1379"/>
      <c r="I80" s="1379"/>
      <c r="J80" s="1379"/>
      <c r="K80" s="1376"/>
      <c r="L80" s="1376"/>
      <c r="M80" s="1376"/>
      <c r="N80" s="1379"/>
      <c r="O80" s="1379"/>
      <c r="P80" s="1379">
        <v>7</v>
      </c>
      <c r="Q80" s="1379"/>
      <c r="R80" s="1376"/>
      <c r="S80" s="1376"/>
      <c r="T80" s="1376"/>
      <c r="W80" s="1376"/>
      <c r="X80" s="1376"/>
      <c r="Y80" s="1376"/>
      <c r="Z80" s="1381"/>
      <c r="AA80" s="1379" t="s">
        <v>1755</v>
      </c>
      <c r="AB80" s="1376" t="s">
        <v>34</v>
      </c>
      <c r="AC80" s="1377"/>
      <c r="AD80" s="1378">
        <v>11.125</v>
      </c>
      <c r="AE80" s="1376" t="s">
        <v>35</v>
      </c>
      <c r="AF80" s="1376">
        <v>8</v>
      </c>
      <c r="AG80" s="1379">
        <v>0</v>
      </c>
      <c r="AH80" s="1376">
        <v>5</v>
      </c>
      <c r="AI80" s="1379">
        <v>8</v>
      </c>
      <c r="AJ80" s="1379">
        <v>0</v>
      </c>
      <c r="AK80" s="1379"/>
      <c r="AL80" s="1382"/>
      <c r="AM80" s="1378">
        <v>5</v>
      </c>
      <c r="AN80" s="1376">
        <v>13</v>
      </c>
      <c r="AO80" s="1376">
        <v>4</v>
      </c>
      <c r="AP80" s="1382">
        <v>2</v>
      </c>
      <c r="AQ80" s="1378">
        <v>2</v>
      </c>
      <c r="AR80" s="1376"/>
      <c r="AS80" s="1376"/>
      <c r="AT80" s="1382"/>
      <c r="AU80" s="1378"/>
      <c r="AV80" s="1376"/>
      <c r="AW80" s="1376"/>
      <c r="AX80" s="1382"/>
      <c r="AY80" s="1378"/>
      <c r="AZ80" s="1376"/>
      <c r="BA80" s="1376"/>
      <c r="BB80" s="1383"/>
      <c r="BC80" s="1383"/>
      <c r="BD80" s="1383"/>
      <c r="BE80" s="1383"/>
      <c r="BF80" s="1383"/>
      <c r="BG80" s="1383"/>
      <c r="BH80" s="1383"/>
      <c r="BI80" s="1383"/>
      <c r="BJ80" s="1383">
        <v>1</v>
      </c>
    </row>
    <row r="81" spans="1:62" x14ac:dyDescent="0.2">
      <c r="A81" s="1376" t="s">
        <v>1476</v>
      </c>
      <c r="B81" s="1376">
        <v>1</v>
      </c>
      <c r="C81" s="1376" t="s">
        <v>1748</v>
      </c>
      <c r="D81" s="1377">
        <v>60</v>
      </c>
      <c r="E81" s="1378">
        <v>0</v>
      </c>
      <c r="F81" s="1376">
        <v>7</v>
      </c>
      <c r="G81" s="1379"/>
      <c r="H81" s="1379"/>
      <c r="I81" s="1379"/>
      <c r="J81" s="1379"/>
      <c r="K81" s="1376"/>
      <c r="L81" s="1376"/>
      <c r="M81" s="1376"/>
      <c r="N81" s="1379"/>
      <c r="O81" s="1379"/>
      <c r="P81" s="1379">
        <v>7</v>
      </c>
      <c r="Q81" s="1379"/>
      <c r="R81" s="1376"/>
      <c r="S81" s="1376"/>
      <c r="T81" s="1376"/>
      <c r="W81" s="1376"/>
      <c r="X81" s="1376"/>
      <c r="Y81" s="1376"/>
      <c r="Z81" s="1381"/>
      <c r="AA81" s="1379">
        <v>11</v>
      </c>
      <c r="AB81" s="1376"/>
      <c r="AC81" s="1377"/>
      <c r="AD81" s="1378">
        <v>11.125</v>
      </c>
      <c r="AE81" s="1376" t="s">
        <v>35</v>
      </c>
      <c r="AF81" s="1376">
        <v>8</v>
      </c>
      <c r="AG81" s="1379">
        <v>0</v>
      </c>
      <c r="AH81" s="1376">
        <v>6</v>
      </c>
      <c r="AI81" s="1379">
        <v>8</v>
      </c>
      <c r="AJ81" s="1379">
        <v>0</v>
      </c>
      <c r="AK81" s="1379"/>
      <c r="AL81" s="1382"/>
      <c r="AM81" s="1378">
        <v>5</v>
      </c>
      <c r="AN81" s="1376">
        <v>13</v>
      </c>
      <c r="AO81" s="1376">
        <v>4</v>
      </c>
      <c r="AP81" s="1382">
        <v>2</v>
      </c>
      <c r="AQ81" s="1378"/>
      <c r="AR81" s="1376" t="s">
        <v>1018</v>
      </c>
      <c r="AS81" s="1376" t="s">
        <v>1739</v>
      </c>
      <c r="AT81" s="1382"/>
      <c r="AU81" s="1378" t="s">
        <v>35</v>
      </c>
      <c r="AV81" s="1376"/>
      <c r="AW81" s="1376"/>
      <c r="AX81" s="1382"/>
      <c r="AY81" s="1378"/>
      <c r="AZ81" s="1376"/>
      <c r="BA81" s="1376"/>
      <c r="BB81" s="1383"/>
      <c r="BC81" s="1383"/>
      <c r="BD81" s="1383"/>
      <c r="BE81" s="1383"/>
      <c r="BF81" s="1383"/>
      <c r="BG81" s="1383"/>
      <c r="BH81" s="1383"/>
      <c r="BI81" s="1383"/>
      <c r="BJ81" s="1383">
        <v>1</v>
      </c>
    </row>
    <row r="82" spans="1:62" x14ac:dyDescent="0.2">
      <c r="A82" s="1376" t="s">
        <v>1477</v>
      </c>
      <c r="B82" s="1376">
        <v>1</v>
      </c>
      <c r="C82" s="1376" t="s">
        <v>1731</v>
      </c>
      <c r="D82" s="1377">
        <v>56</v>
      </c>
      <c r="E82" s="1378">
        <v>0</v>
      </c>
      <c r="F82" s="1376">
        <v>7</v>
      </c>
      <c r="G82" s="1379"/>
      <c r="H82" s="1379"/>
      <c r="I82" s="1379"/>
      <c r="J82" s="1379"/>
      <c r="K82" s="1376"/>
      <c r="L82" s="1376"/>
      <c r="M82" s="1376"/>
      <c r="N82" s="1379"/>
      <c r="O82" s="1379"/>
      <c r="P82" s="1379">
        <v>7</v>
      </c>
      <c r="Q82" s="1379"/>
      <c r="R82" s="1376"/>
      <c r="S82" s="1376"/>
      <c r="T82" s="1376"/>
      <c r="W82" s="1376"/>
      <c r="X82" s="1376"/>
      <c r="Y82" s="1376"/>
      <c r="Z82" s="1381"/>
      <c r="AA82" s="1379" t="s">
        <v>1733</v>
      </c>
      <c r="AB82" s="1376"/>
      <c r="AC82" s="1377"/>
      <c r="AD82" s="1378">
        <v>11.125</v>
      </c>
      <c r="AE82" s="1376" t="s">
        <v>35</v>
      </c>
      <c r="AF82" s="1376">
        <v>8</v>
      </c>
      <c r="AG82" s="1379">
        <v>0</v>
      </c>
      <c r="AH82" s="1376">
        <v>5</v>
      </c>
      <c r="AI82" s="1379">
        <v>8</v>
      </c>
      <c r="AJ82" s="1379">
        <v>0</v>
      </c>
      <c r="AK82" s="1379"/>
      <c r="AL82" s="1382"/>
      <c r="AM82" s="1378">
        <v>5</v>
      </c>
      <c r="AN82" s="1376">
        <v>13</v>
      </c>
      <c r="AO82" s="1376">
        <v>4</v>
      </c>
      <c r="AP82" s="1382">
        <v>2</v>
      </c>
      <c r="AQ82" s="1378">
        <v>2</v>
      </c>
      <c r="AR82" s="1376" t="s">
        <v>1018</v>
      </c>
      <c r="AS82" s="1376" t="s">
        <v>1750</v>
      </c>
      <c r="AT82" s="1382">
        <v>0.3</v>
      </c>
      <c r="AU82" s="1378"/>
      <c r="AV82" s="1376" t="s">
        <v>1018</v>
      </c>
      <c r="AW82" s="1376" t="s">
        <v>1706</v>
      </c>
      <c r="AX82" s="1382">
        <v>0.3</v>
      </c>
      <c r="AY82" s="1378"/>
      <c r="AZ82" s="1376"/>
      <c r="BA82" s="1376"/>
      <c r="BB82" s="1383"/>
      <c r="BC82" s="1383"/>
      <c r="BD82" s="1383"/>
      <c r="BE82" s="1383"/>
      <c r="BF82" s="1383"/>
      <c r="BG82" s="1383"/>
      <c r="BH82" s="1383"/>
      <c r="BI82" s="1383"/>
      <c r="BJ82" s="1383">
        <v>1</v>
      </c>
    </row>
    <row r="83" spans="1:62" x14ac:dyDescent="0.2">
      <c r="A83" s="1368" t="s">
        <v>1478</v>
      </c>
      <c r="B83" s="1368">
        <v>1</v>
      </c>
      <c r="C83" s="1368" t="s">
        <v>1731</v>
      </c>
      <c r="D83" s="1368">
        <v>56</v>
      </c>
      <c r="E83" s="1368">
        <v>0</v>
      </c>
      <c r="F83" s="1368">
        <v>7</v>
      </c>
      <c r="P83" s="1368">
        <v>7</v>
      </c>
      <c r="AA83" s="1368" t="s">
        <v>1756</v>
      </c>
      <c r="AB83" s="1368" t="s">
        <v>34</v>
      </c>
      <c r="AD83" s="1368">
        <v>11.125</v>
      </c>
      <c r="AE83" s="1368" t="s">
        <v>35</v>
      </c>
      <c r="AF83" s="1368">
        <v>8</v>
      </c>
      <c r="AG83" s="1368">
        <v>0</v>
      </c>
      <c r="AH83" s="1368">
        <v>5</v>
      </c>
      <c r="AI83" s="1368">
        <v>8</v>
      </c>
      <c r="AJ83" s="1368">
        <v>0</v>
      </c>
      <c r="AM83" s="1368">
        <v>5</v>
      </c>
      <c r="AN83" s="1368">
        <v>13</v>
      </c>
      <c r="AO83" s="1368">
        <v>4</v>
      </c>
      <c r="AP83" s="1368">
        <v>2</v>
      </c>
      <c r="AQ83" s="1368">
        <v>2</v>
      </c>
      <c r="AR83" s="1368" t="s">
        <v>1018</v>
      </c>
      <c r="AS83" s="1368" t="s">
        <v>1705</v>
      </c>
      <c r="AT83" s="1368">
        <v>0.3</v>
      </c>
      <c r="AV83" s="1368" t="s">
        <v>1018</v>
      </c>
      <c r="AW83" s="1368" t="s">
        <v>1752</v>
      </c>
      <c r="AX83" s="1368">
        <v>0.3</v>
      </c>
      <c r="BJ83" s="1375">
        <v>1</v>
      </c>
    </row>
    <row r="84" spans="1:62" x14ac:dyDescent="0.2">
      <c r="A84" s="1368" t="s">
        <v>1479</v>
      </c>
      <c r="B84" s="1368">
        <v>1</v>
      </c>
      <c r="C84" s="1368" t="s">
        <v>1731</v>
      </c>
      <c r="D84" s="1368">
        <v>56</v>
      </c>
      <c r="E84" s="1368">
        <v>0</v>
      </c>
      <c r="F84" s="1368">
        <v>7</v>
      </c>
      <c r="P84" s="1368">
        <v>18</v>
      </c>
      <c r="AA84" s="1368" t="s">
        <v>1732</v>
      </c>
      <c r="AB84" s="1368" t="s">
        <v>158</v>
      </c>
      <c r="AD84" s="1368">
        <v>11.125</v>
      </c>
      <c r="AE84" s="1368" t="s">
        <v>35</v>
      </c>
      <c r="AF84" s="1368">
        <v>8</v>
      </c>
      <c r="AG84" s="1368">
        <v>0</v>
      </c>
      <c r="AH84" s="1368">
        <v>5</v>
      </c>
      <c r="AI84" s="1368">
        <v>8</v>
      </c>
      <c r="AJ84" s="1368">
        <v>0</v>
      </c>
      <c r="AM84" s="1368">
        <v>5</v>
      </c>
      <c r="AN84" s="1368">
        <v>13</v>
      </c>
      <c r="AO84" s="1368">
        <v>4</v>
      </c>
      <c r="AP84" s="1368">
        <v>2</v>
      </c>
      <c r="BJ84" s="1375">
        <v>1</v>
      </c>
    </row>
    <row r="85" spans="1:62" x14ac:dyDescent="0.2">
      <c r="A85" s="1368" t="s">
        <v>1480</v>
      </c>
      <c r="B85" s="1368">
        <v>1</v>
      </c>
      <c r="C85" s="1368" t="s">
        <v>1731</v>
      </c>
      <c r="D85" s="1368">
        <v>56</v>
      </c>
      <c r="E85" s="1368">
        <v>0</v>
      </c>
      <c r="F85" s="1368">
        <v>7</v>
      </c>
      <c r="P85" s="1368">
        <v>7</v>
      </c>
      <c r="AA85" s="1368" t="s">
        <v>1757</v>
      </c>
      <c r="AB85" s="1368" t="s">
        <v>34</v>
      </c>
      <c r="AD85" s="1368">
        <v>11.125</v>
      </c>
      <c r="AE85" s="1368" t="s">
        <v>35</v>
      </c>
      <c r="AF85" s="1368">
        <v>8</v>
      </c>
      <c r="AG85" s="1368">
        <v>0</v>
      </c>
      <c r="AH85" s="1368">
        <v>5</v>
      </c>
      <c r="AI85" s="1368">
        <v>8</v>
      </c>
      <c r="AJ85" s="1368">
        <v>0</v>
      </c>
      <c r="AM85" s="1368">
        <v>5</v>
      </c>
      <c r="AN85" s="1368">
        <v>13</v>
      </c>
      <c r="AO85" s="1368">
        <v>4</v>
      </c>
      <c r="AP85" s="1368">
        <v>2</v>
      </c>
      <c r="AQ85" s="1368">
        <v>2</v>
      </c>
      <c r="BJ85" s="1375">
        <v>1</v>
      </c>
    </row>
    <row r="86" spans="1:62" x14ac:dyDescent="0.2">
      <c r="A86" s="1368" t="s">
        <v>1481</v>
      </c>
      <c r="B86" s="1368">
        <v>1</v>
      </c>
      <c r="C86" s="1368" t="s">
        <v>1731</v>
      </c>
      <c r="D86" s="1368">
        <v>56</v>
      </c>
      <c r="E86" s="1368">
        <v>0</v>
      </c>
      <c r="F86" s="1368">
        <v>7</v>
      </c>
      <c r="P86" s="1368">
        <v>7</v>
      </c>
      <c r="AA86" s="1368" t="s">
        <v>1758</v>
      </c>
      <c r="AD86" s="1368">
        <v>11.125</v>
      </c>
      <c r="AE86" s="1368" t="s">
        <v>35</v>
      </c>
      <c r="AF86" s="1368">
        <v>8</v>
      </c>
      <c r="AG86" s="1368">
        <v>0</v>
      </c>
      <c r="AH86" s="1368">
        <v>5</v>
      </c>
      <c r="AI86" s="1368">
        <v>8</v>
      </c>
      <c r="AJ86" s="1368">
        <v>0</v>
      </c>
      <c r="AM86" s="1368">
        <v>5</v>
      </c>
      <c r="AN86" s="1368">
        <v>13</v>
      </c>
      <c r="AO86" s="1368">
        <v>4</v>
      </c>
      <c r="AP86" s="1368">
        <v>2</v>
      </c>
      <c r="AQ86" s="1368">
        <v>2</v>
      </c>
      <c r="BJ86" s="1375">
        <v>1</v>
      </c>
    </row>
    <row r="87" spans="1:62" x14ac:dyDescent="0.2">
      <c r="A87" s="1368" t="s">
        <v>1482</v>
      </c>
      <c r="B87" s="1368">
        <v>1</v>
      </c>
      <c r="C87" s="1368" t="s">
        <v>1731</v>
      </c>
      <c r="D87" s="1368">
        <v>56</v>
      </c>
      <c r="E87" s="1368">
        <v>0</v>
      </c>
      <c r="F87" s="1368">
        <v>7</v>
      </c>
      <c r="P87" s="1368">
        <v>7</v>
      </c>
      <c r="AA87" s="1368" t="s">
        <v>1759</v>
      </c>
      <c r="AD87" s="1368">
        <v>11.125</v>
      </c>
      <c r="AE87" s="1368" t="s">
        <v>35</v>
      </c>
      <c r="AF87" s="1368">
        <v>8</v>
      </c>
      <c r="AG87" s="1368">
        <v>0</v>
      </c>
      <c r="AH87" s="1368">
        <v>5</v>
      </c>
      <c r="AI87" s="1368">
        <v>8</v>
      </c>
      <c r="AJ87" s="1368">
        <v>0</v>
      </c>
      <c r="AM87" s="1368">
        <v>5</v>
      </c>
      <c r="AN87" s="1368">
        <v>13</v>
      </c>
      <c r="AO87" s="1368">
        <v>4</v>
      </c>
      <c r="AP87" s="1368">
        <v>2</v>
      </c>
      <c r="AQ87" s="1368">
        <v>2</v>
      </c>
      <c r="BJ87" s="1375">
        <v>1</v>
      </c>
    </row>
    <row r="88" spans="1:62" x14ac:dyDescent="0.2">
      <c r="A88" s="1368" t="s">
        <v>1483</v>
      </c>
      <c r="B88" s="1368">
        <v>4</v>
      </c>
      <c r="C88" s="1368" t="s">
        <v>1731</v>
      </c>
      <c r="D88" s="1368">
        <v>56</v>
      </c>
      <c r="E88" s="1368">
        <v>0</v>
      </c>
      <c r="F88" s="1368">
        <v>7</v>
      </c>
      <c r="P88" s="1368">
        <v>7</v>
      </c>
      <c r="AA88" s="1368">
        <v>13</v>
      </c>
      <c r="AD88" s="1368">
        <v>11.125</v>
      </c>
      <c r="AE88" s="1368" t="s">
        <v>35</v>
      </c>
      <c r="AF88" s="1368">
        <v>8</v>
      </c>
      <c r="AG88" s="1368">
        <v>0</v>
      </c>
      <c r="AH88" s="1368">
        <v>5</v>
      </c>
      <c r="AI88" s="1368">
        <v>8</v>
      </c>
      <c r="AJ88" s="1368">
        <v>0</v>
      </c>
      <c r="AM88" s="1368">
        <v>5</v>
      </c>
      <c r="AN88" s="1368">
        <v>13</v>
      </c>
      <c r="AO88" s="1368">
        <v>4</v>
      </c>
      <c r="AP88" s="1368">
        <v>2</v>
      </c>
      <c r="AQ88" s="1368">
        <v>2</v>
      </c>
      <c r="BJ88" s="1375">
        <v>1</v>
      </c>
    </row>
    <row r="89" spans="1:62" x14ac:dyDescent="0.2">
      <c r="A89" s="1368" t="s">
        <v>1484</v>
      </c>
      <c r="B89" s="1368">
        <v>1</v>
      </c>
      <c r="C89" s="1368" t="s">
        <v>1731</v>
      </c>
      <c r="D89" s="1368">
        <v>56</v>
      </c>
      <c r="E89" s="1368">
        <v>0</v>
      </c>
      <c r="F89" s="1368">
        <v>7</v>
      </c>
      <c r="P89" s="1368">
        <v>7</v>
      </c>
      <c r="AA89" s="1368" t="s">
        <v>1760</v>
      </c>
      <c r="AB89" s="1368" t="s">
        <v>34</v>
      </c>
      <c r="AD89" s="1368">
        <v>11.125</v>
      </c>
      <c r="AE89" s="1368" t="s">
        <v>35</v>
      </c>
      <c r="AF89" s="1368">
        <v>8</v>
      </c>
      <c r="AG89" s="1368">
        <v>0</v>
      </c>
      <c r="AH89" s="1368">
        <v>5</v>
      </c>
      <c r="AI89" s="1368">
        <v>8</v>
      </c>
      <c r="AJ89" s="1368">
        <v>0</v>
      </c>
      <c r="AM89" s="1368">
        <v>5</v>
      </c>
      <c r="AN89" s="1368">
        <v>13</v>
      </c>
      <c r="AO89" s="1368">
        <v>4</v>
      </c>
      <c r="AP89" s="1368">
        <v>2</v>
      </c>
      <c r="AQ89" s="1368">
        <v>2</v>
      </c>
      <c r="BJ89" s="1375">
        <v>1</v>
      </c>
    </row>
    <row r="90" spans="1:62" x14ac:dyDescent="0.2">
      <c r="A90" s="1368" t="s">
        <v>1485</v>
      </c>
      <c r="B90" s="1368">
        <v>1</v>
      </c>
      <c r="C90" s="1368" t="s">
        <v>1729</v>
      </c>
      <c r="D90" s="1368">
        <v>60</v>
      </c>
      <c r="E90" s="1368">
        <v>0</v>
      </c>
      <c r="F90" s="1368">
        <v>7</v>
      </c>
      <c r="P90" s="1368">
        <v>7</v>
      </c>
      <c r="AA90" s="1368">
        <v>12</v>
      </c>
      <c r="AD90" s="1368">
        <v>11.125</v>
      </c>
      <c r="AE90" s="1368" t="s">
        <v>35</v>
      </c>
      <c r="AF90" s="1368">
        <v>8</v>
      </c>
      <c r="AG90" s="1368">
        <v>0</v>
      </c>
      <c r="AH90" s="1368">
        <v>6</v>
      </c>
      <c r="AI90" s="1368">
        <v>8</v>
      </c>
      <c r="AJ90" s="1368">
        <v>0</v>
      </c>
      <c r="AM90" s="1368">
        <v>5</v>
      </c>
      <c r="AN90" s="1368">
        <v>13</v>
      </c>
      <c r="AO90" s="1368">
        <v>4</v>
      </c>
      <c r="AP90" s="1368">
        <v>2</v>
      </c>
      <c r="AR90" s="1368" t="s">
        <v>1018</v>
      </c>
      <c r="AS90" s="1368" t="s">
        <v>1739</v>
      </c>
      <c r="AU90" s="1368" t="s">
        <v>35</v>
      </c>
      <c r="BJ90" s="1375">
        <v>1</v>
      </c>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148"/>
  <sheetViews>
    <sheetView zoomScale="75" zoomScaleNormal="75" workbookViewId="0">
      <selection activeCell="E18" sqref="E18"/>
    </sheetView>
  </sheetViews>
  <sheetFormatPr defaultRowHeight="12.75" x14ac:dyDescent="0.2"/>
  <cols>
    <col min="1" max="1" width="9.140625" style="1368"/>
    <col min="2" max="2" width="9.140625" style="1369"/>
    <col min="3" max="3" width="17.5703125" style="1368" customWidth="1"/>
    <col min="4" max="4" width="9.140625" style="1369"/>
    <col min="5" max="5" width="9.140625" style="1370"/>
    <col min="6" max="6" width="9.140625" style="1369"/>
    <col min="7" max="8" width="9.140625" style="1370"/>
    <col min="9" max="9" width="9.140625" style="1371"/>
    <col min="10" max="13" width="9.140625" style="1370"/>
    <col min="14" max="14" width="9.140625" style="1369"/>
    <col min="15" max="16" width="9.140625" style="1370"/>
    <col min="17" max="17" width="9.140625" style="1371"/>
    <col min="18" max="22" width="9.140625" style="1370"/>
    <col min="23" max="24" width="9.140625" style="1371"/>
    <col min="25" max="32" width="10.7109375" style="1371" customWidth="1"/>
    <col min="33" max="34" width="8.7109375" style="1347" customWidth="1"/>
    <col min="35" max="35" width="5.7109375" style="1347" customWidth="1"/>
    <col min="36" max="51" width="2.7109375" style="1347" customWidth="1"/>
    <col min="52" max="52" width="6.7109375" style="1347" customWidth="1"/>
    <col min="53" max="68" width="9.140625" style="1347"/>
    <col min="69" max="70" width="8.7109375" style="1347" customWidth="1"/>
    <col min="71" max="75" width="2.7109375" style="1347" customWidth="1"/>
    <col min="79" max="93" width="9.140625" style="34"/>
    <col min="94" max="94" width="9.140625" style="1350"/>
    <col min="95" max="127" width="9.140625" style="1347"/>
    <col min="128" max="129" width="8.7109375" style="1347" customWidth="1"/>
    <col min="130" max="130" width="6.7109375" style="1347" customWidth="1"/>
    <col min="131" max="131" width="12.7109375" style="1347" customWidth="1"/>
    <col min="132" max="16384" width="9.140625" style="1347"/>
  </cols>
  <sheetData>
    <row r="1" spans="1:133" ht="30" customHeight="1" x14ac:dyDescent="0.2">
      <c r="A1" s="1352" t="s">
        <v>539</v>
      </c>
      <c r="B1" s="1352" t="s">
        <v>130</v>
      </c>
      <c r="C1" s="1352" t="s">
        <v>540</v>
      </c>
      <c r="D1" s="1352" t="str">
        <f>IF($AH$1,"Joist ""BayLength""","Overall Length")</f>
        <v>Joist "BayLength"</v>
      </c>
      <c r="E1" s="1352"/>
      <c r="F1" s="1353" t="str">
        <f>IF($AH$1,"Left Sect. #","TCXL Feet")</f>
        <v>Left Sect. #</v>
      </c>
      <c r="G1" s="1353" t="str">
        <f>IF($AH$1,"L Min Sup Width","TCXL Inch")</f>
        <v>L Min Sup Width</v>
      </c>
      <c r="H1" s="1353" t="str">
        <f>IF($AH$1,"L Max Sup Width","TCXL Type")</f>
        <v>L Max Sup Width</v>
      </c>
      <c r="I1" s="1353" t="str">
        <f>IF($AH$1,"Left Bolt ""X""","TCXR Feet")</f>
        <v>Left Bolt "X"</v>
      </c>
      <c r="J1" s="1353" t="str">
        <f>IF($AH$1,"L Min Flg Ga","TCXR Inch")</f>
        <v>L Min Flg Ga</v>
      </c>
      <c r="K1" s="1353" t="str">
        <f>IF($AH$1,"L Max Flg Ga","TCXR Type")</f>
        <v>L Max Flg Ga</v>
      </c>
      <c r="L1" s="1353" t="str">
        <f>IF($AH$1,"Left Skew","BDL")</f>
        <v>Left Skew</v>
      </c>
      <c r="M1" s="1353" t="str">
        <f>IF($AH$1,"Left Brg Slp","BDR")</f>
        <v>Left Brg Slp</v>
      </c>
      <c r="N1" s="1353" t="str">
        <f>IF($AH$1,"Right Sect. #","BCXL Feet")</f>
        <v>Right Sect. #</v>
      </c>
      <c r="O1" s="1353" t="str">
        <f>IF($AH$1,"R Min Sup Width","BCXL Inch")</f>
        <v>R Min Sup Width</v>
      </c>
      <c r="P1" s="1353" t="str">
        <f>IF($AH$1,"R Max Sup Width","BCXL Type")</f>
        <v>R Max Sup Width</v>
      </c>
      <c r="Q1" s="1353" t="str">
        <f>IF($AH$1,"Right Bolt ""X""","BCXR Feet")</f>
        <v>Right Bolt "X"</v>
      </c>
      <c r="R1" s="1353" t="str">
        <f>IF($AH$1,"R Min Flg Ga","BCXR Inch")</f>
        <v>R Min Flg Ga</v>
      </c>
      <c r="S1" s="1353" t="str">
        <f>IF($AH$1,"R Max Flg Ga","BCXR Type")</f>
        <v>R Max Flg Ga</v>
      </c>
      <c r="T1" s="1353" t="str">
        <f>IF($AH$1,"Right Skew","HL Feet")</f>
        <v>Right Skew</v>
      </c>
      <c r="U1" s="1353" t="str">
        <f>IF($AH$1,"Right Brg Slp","HL Inch")</f>
        <v>Right Brg Slp</v>
      </c>
      <c r="V1" s="1353" t="str">
        <f>IF($AH$1,"TC Slope","HR Feet")</f>
        <v>TC Slope</v>
      </c>
      <c r="W1" s="1353" t="str">
        <f>IF($AH$1,"Load Notes","HR Inch")</f>
        <v>Load Notes</v>
      </c>
      <c r="X1" s="1353" t="str">
        <f>IF($AH$1,"Spcl Notes","Slot Ga")</f>
        <v>Spcl Notes</v>
      </c>
      <c r="Y1" s="1353" t="str">
        <f>IF($AH$1,"TC L Override","L Seat Slp")</f>
        <v>TC L Override</v>
      </c>
      <c r="Z1" s="1353" t="str">
        <f>IF($AH$1,"TCR Override","R Seat Slp")</f>
        <v>TCR Override</v>
      </c>
      <c r="AA1" s="1353" t="str">
        <f>IF($AH$1,"L-BL Override","Sp Notes")</f>
        <v>L-BL Override</v>
      </c>
      <c r="AB1" s="1353" t="str">
        <f>IF($AH$1,"R-BL Override","Ld Notes")</f>
        <v>R-BL Override</v>
      </c>
      <c r="AC1" s="1353" t="str">
        <f>IF($AH$1,"BCXL ""X""","-")</f>
        <v>BCXL "X"</v>
      </c>
      <c r="AD1" s="1353" t="str">
        <f>IF($AH$1,"BCXR ""X""","-")</f>
        <v>BCXR "X"</v>
      </c>
      <c r="AE1" s="1353" t="str">
        <f>IF($AH$1,"BDL Override","-")</f>
        <v>BDL Override</v>
      </c>
      <c r="AF1" s="1353" t="str">
        <f>IF($AH$1,"BDR Override","-")</f>
        <v>BDR Override</v>
      </c>
      <c r="AG1" s="1345" t="s">
        <v>1191</v>
      </c>
      <c r="AH1" s="1346" t="b">
        <f>'Job Info.'!U4</f>
        <v>1</v>
      </c>
      <c r="AZ1" s="1789" t="s">
        <v>1192</v>
      </c>
      <c r="BA1" s="1354" t="s">
        <v>632</v>
      </c>
      <c r="BB1" s="1354" t="s">
        <v>1193</v>
      </c>
      <c r="BC1" s="1355" t="s">
        <v>1134</v>
      </c>
      <c r="BD1" s="1355" t="s">
        <v>1144</v>
      </c>
      <c r="BE1" s="1355" t="s">
        <v>660</v>
      </c>
      <c r="BF1" s="1355" t="s">
        <v>677</v>
      </c>
      <c r="BG1" s="1354" t="s">
        <v>1194</v>
      </c>
      <c r="BH1" s="1354" t="s">
        <v>1195</v>
      </c>
      <c r="BI1" s="1354" t="s">
        <v>1196</v>
      </c>
      <c r="BJ1" s="1354" t="s">
        <v>1197</v>
      </c>
      <c r="BK1" s="1354" t="s">
        <v>1198</v>
      </c>
      <c r="BL1" s="1354" t="s">
        <v>1199</v>
      </c>
      <c r="BM1" s="1355" t="s">
        <v>1145</v>
      </c>
      <c r="BN1" s="1355" t="s">
        <v>1146</v>
      </c>
      <c r="BO1" s="1355" t="s">
        <v>1147</v>
      </c>
      <c r="BP1" s="1355" t="s">
        <v>480</v>
      </c>
      <c r="BQ1" s="1345" t="s">
        <v>1200</v>
      </c>
      <c r="BR1" s="1346">
        <f>COUNTA(BA:BA)-1</f>
        <v>0</v>
      </c>
      <c r="BZ1" s="1789" t="s">
        <v>1220</v>
      </c>
      <c r="CA1" s="1349" t="s">
        <v>1221</v>
      </c>
      <c r="CB1" s="1350" t="s">
        <v>660</v>
      </c>
      <c r="CC1" s="1350" t="s">
        <v>1222</v>
      </c>
      <c r="CD1" s="1350" t="s">
        <v>1223</v>
      </c>
      <c r="CE1" s="1350" t="s">
        <v>1230</v>
      </c>
      <c r="CF1" s="1350" t="s">
        <v>1224</v>
      </c>
      <c r="CG1" s="1350" t="s">
        <v>1226</v>
      </c>
      <c r="CH1" s="1350" t="s">
        <v>1225</v>
      </c>
      <c r="CI1" s="1350" t="s">
        <v>1255</v>
      </c>
      <c r="CJ1" s="1350" t="s">
        <v>1227</v>
      </c>
      <c r="CK1" s="1350" t="s">
        <v>1228</v>
      </c>
      <c r="CL1" s="1350" t="s">
        <v>1214</v>
      </c>
      <c r="CM1" s="1350" t="s">
        <v>1215</v>
      </c>
      <c r="CN1" s="1350" t="s">
        <v>1229</v>
      </c>
      <c r="CO1" s="1348" t="s">
        <v>1231</v>
      </c>
      <c r="CP1" s="1349" t="s">
        <v>1256</v>
      </c>
      <c r="CQ1" s="1350">
        <f>SUM(CO:CO)</f>
        <v>147</v>
      </c>
      <c r="CZ1" s="1789" t="s">
        <v>1265</v>
      </c>
      <c r="DZ1" s="1789" t="s">
        <v>1202</v>
      </c>
      <c r="EA1" s="1356" t="s">
        <v>1203</v>
      </c>
      <c r="EB1" s="1347" t="s">
        <v>1201</v>
      </c>
      <c r="EC1" s="1347">
        <f>COUNTA(EA:EA)-1</f>
        <v>0</v>
      </c>
    </row>
    <row r="2" spans="1:133" x14ac:dyDescent="0.2">
      <c r="A2" s="1357" t="s">
        <v>1487</v>
      </c>
      <c r="B2" s="1358">
        <v>1</v>
      </c>
      <c r="C2" s="1357" t="s">
        <v>1765</v>
      </c>
      <c r="D2" s="1359">
        <v>59</v>
      </c>
      <c r="E2" s="1360">
        <v>7.5</v>
      </c>
      <c r="F2" s="1358">
        <v>14</v>
      </c>
      <c r="G2" s="1361">
        <v>10</v>
      </c>
      <c r="H2" s="1361"/>
      <c r="I2" s="1362" t="s">
        <v>1766</v>
      </c>
      <c r="J2" s="1361">
        <v>5.5</v>
      </c>
      <c r="K2" s="1361"/>
      <c r="L2" s="1361"/>
      <c r="M2" s="1361"/>
      <c r="N2" s="1358"/>
      <c r="O2" s="1361"/>
      <c r="P2" s="1361"/>
      <c r="Q2" s="1362"/>
      <c r="R2" s="1361">
        <v>1</v>
      </c>
      <c r="S2" s="1361"/>
      <c r="T2" s="1361"/>
      <c r="U2" s="1361" t="s">
        <v>1766</v>
      </c>
      <c r="V2" s="1361"/>
      <c r="W2" s="1363"/>
      <c r="X2" s="1363"/>
      <c r="Y2" s="1363"/>
      <c r="Z2" s="1363"/>
      <c r="AA2" s="1363"/>
      <c r="AB2" s="1363" t="s">
        <v>116</v>
      </c>
      <c r="AC2" s="1363"/>
      <c r="AD2" s="1363">
        <v>0.28511530398322799</v>
      </c>
      <c r="AE2" s="1363" t="s">
        <v>1392</v>
      </c>
      <c r="AF2" s="1363" t="s">
        <v>1767</v>
      </c>
      <c r="AG2" s="1351">
        <v>1</v>
      </c>
      <c r="AH2" s="1346">
        <f>COUNTA(A:A)-1</f>
        <v>137</v>
      </c>
      <c r="AZ2" s="1790"/>
      <c r="BZ2" s="1790"/>
      <c r="CA2" s="1350">
        <v>1</v>
      </c>
      <c r="CB2" s="1350" t="s">
        <v>155</v>
      </c>
      <c r="CC2" s="1350" t="s">
        <v>165</v>
      </c>
      <c r="CD2" s="1350" t="s">
        <v>145</v>
      </c>
      <c r="CE2" s="1350"/>
      <c r="CF2" s="1350">
        <v>250</v>
      </c>
      <c r="CG2" s="1350"/>
      <c r="CH2" s="1350"/>
      <c r="CI2" s="1350"/>
      <c r="CJ2" s="1350"/>
      <c r="CK2" s="1350"/>
      <c r="CL2" s="1350"/>
      <c r="CM2" s="1350"/>
      <c r="CN2" s="1350" t="s">
        <v>1624</v>
      </c>
      <c r="CO2" s="1350">
        <v>7</v>
      </c>
      <c r="CZ2" s="1790"/>
      <c r="DZ2" s="1790"/>
      <c r="EB2" s="1347" t="s">
        <v>1204</v>
      </c>
      <c r="EC2" s="1347">
        <f>COUNTA(EB1:JS1)</f>
        <v>2</v>
      </c>
    </row>
    <row r="3" spans="1:133" x14ac:dyDescent="0.2">
      <c r="A3" s="1357" t="s">
        <v>1488</v>
      </c>
      <c r="B3" s="1358">
        <v>2</v>
      </c>
      <c r="C3" s="1357" t="s">
        <v>1765</v>
      </c>
      <c r="D3" s="1359">
        <v>59</v>
      </c>
      <c r="E3" s="1360">
        <v>7.5</v>
      </c>
      <c r="F3" s="1358">
        <v>14</v>
      </c>
      <c r="G3" s="1361">
        <v>10</v>
      </c>
      <c r="H3" s="1361"/>
      <c r="I3" s="1362"/>
      <c r="J3" s="1361"/>
      <c r="K3" s="1361"/>
      <c r="L3" s="1361"/>
      <c r="M3" s="1361"/>
      <c r="N3" s="1358"/>
      <c r="O3" s="1361"/>
      <c r="P3" s="1361"/>
      <c r="Q3" s="1362"/>
      <c r="R3" s="1361">
        <v>1</v>
      </c>
      <c r="S3" s="1361"/>
      <c r="T3" s="1361"/>
      <c r="U3" s="1361"/>
      <c r="V3" s="1361"/>
      <c r="W3" s="1363"/>
      <c r="X3" s="1363"/>
      <c r="Y3" s="1363"/>
      <c r="Z3" s="1363"/>
      <c r="AA3" s="1363"/>
      <c r="AB3" s="1363" t="s">
        <v>116</v>
      </c>
      <c r="AC3" s="1363"/>
      <c r="AD3" s="1363">
        <v>0.28511530398322799</v>
      </c>
      <c r="AE3" s="1363" t="s">
        <v>1768</v>
      </c>
      <c r="AF3" s="1363" t="s">
        <v>1767</v>
      </c>
      <c r="AG3" s="1347">
        <v>1</v>
      </c>
      <c r="AZ3" s="1790"/>
      <c r="BZ3" s="1790"/>
      <c r="CA3" s="1350"/>
      <c r="CB3" s="1350" t="s">
        <v>155</v>
      </c>
      <c r="CC3" s="1350" t="s">
        <v>165</v>
      </c>
      <c r="CD3" s="1350" t="s">
        <v>159</v>
      </c>
      <c r="CE3" s="1350"/>
      <c r="CF3" s="1350">
        <v>250</v>
      </c>
      <c r="CG3" s="1350"/>
      <c r="CH3" s="1350"/>
      <c r="CI3" s="1350"/>
      <c r="CJ3" s="1350"/>
      <c r="CK3" s="1350"/>
      <c r="CL3" s="1350"/>
      <c r="CM3" s="1350"/>
      <c r="CN3" s="1350"/>
      <c r="CO3" s="1350"/>
      <c r="CZ3" s="1790"/>
      <c r="DZ3" s="1790"/>
    </row>
    <row r="4" spans="1:133" x14ac:dyDescent="0.2">
      <c r="A4" s="1357" t="s">
        <v>1489</v>
      </c>
      <c r="B4" s="1358">
        <v>2</v>
      </c>
      <c r="C4" s="1357" t="s">
        <v>1765</v>
      </c>
      <c r="D4" s="1359">
        <v>59</v>
      </c>
      <c r="E4" s="1360">
        <v>7.5</v>
      </c>
      <c r="F4" s="1358">
        <v>14</v>
      </c>
      <c r="G4" s="1361">
        <v>10</v>
      </c>
      <c r="H4" s="1361"/>
      <c r="I4" s="1362"/>
      <c r="J4" s="1361"/>
      <c r="K4" s="1361"/>
      <c r="L4" s="1361"/>
      <c r="M4" s="1361"/>
      <c r="N4" s="1358"/>
      <c r="O4" s="1361"/>
      <c r="P4" s="1361"/>
      <c r="Q4" s="1362"/>
      <c r="R4" s="1361">
        <v>1</v>
      </c>
      <c r="S4" s="1361"/>
      <c r="T4" s="1361"/>
      <c r="U4" s="1361"/>
      <c r="V4" s="1361"/>
      <c r="W4" s="1363"/>
      <c r="X4" s="1363"/>
      <c r="Y4" s="1363"/>
      <c r="Z4" s="1363"/>
      <c r="AA4" s="1363"/>
      <c r="AB4" s="1363" t="s">
        <v>116</v>
      </c>
      <c r="AC4" s="1363"/>
      <c r="AD4" s="1363">
        <v>0.28511530398322799</v>
      </c>
      <c r="AE4" s="1363" t="s">
        <v>1674</v>
      </c>
      <c r="AF4" s="1363" t="s">
        <v>1767</v>
      </c>
      <c r="AG4" s="1347">
        <v>1</v>
      </c>
      <c r="AZ4" s="1790"/>
      <c r="BZ4" s="1790"/>
      <c r="CA4" s="1350"/>
      <c r="CB4" s="1350" t="s">
        <v>154</v>
      </c>
      <c r="CC4" s="1350" t="s">
        <v>165</v>
      </c>
      <c r="CD4" s="1350" t="s">
        <v>145</v>
      </c>
      <c r="CE4" s="1350"/>
      <c r="CF4" s="1350">
        <v>500</v>
      </c>
      <c r="CG4" s="1350"/>
      <c r="CH4" s="1350"/>
      <c r="CI4" s="1350"/>
      <c r="CJ4" s="1350"/>
      <c r="CK4" s="1350"/>
      <c r="CL4" s="1350"/>
      <c r="CM4" s="1350"/>
      <c r="CN4" s="1350"/>
      <c r="CO4" s="1350"/>
      <c r="CZ4" s="1790"/>
      <c r="DZ4" s="1790"/>
    </row>
    <row r="5" spans="1:133" x14ac:dyDescent="0.2">
      <c r="A5" s="1357" t="s">
        <v>1490</v>
      </c>
      <c r="B5" s="1358">
        <v>3</v>
      </c>
      <c r="C5" s="1357" t="s">
        <v>1765</v>
      </c>
      <c r="D5" s="1359">
        <v>59</v>
      </c>
      <c r="E5" s="1360">
        <v>7.5</v>
      </c>
      <c r="F5" s="1358">
        <v>14</v>
      </c>
      <c r="G5" s="1361">
        <v>10</v>
      </c>
      <c r="H5" s="1361"/>
      <c r="I5" s="1362"/>
      <c r="J5" s="1361"/>
      <c r="K5" s="1361"/>
      <c r="L5" s="1361"/>
      <c r="M5" s="1361"/>
      <c r="N5" s="1358"/>
      <c r="O5" s="1361"/>
      <c r="P5" s="1361"/>
      <c r="Q5" s="1362"/>
      <c r="R5" s="1361">
        <v>1</v>
      </c>
      <c r="S5" s="1361"/>
      <c r="T5" s="1361"/>
      <c r="U5" s="1361"/>
      <c r="V5" s="1361"/>
      <c r="W5" s="1363"/>
      <c r="X5" s="1363"/>
      <c r="Y5" s="1363"/>
      <c r="Z5" s="1363"/>
      <c r="AA5" s="1363"/>
      <c r="AB5" s="1363" t="s">
        <v>116</v>
      </c>
      <c r="AC5" s="1363"/>
      <c r="AD5" s="1363">
        <v>0.28511530398322799</v>
      </c>
      <c r="AE5" s="1363" t="s">
        <v>1392</v>
      </c>
      <c r="AF5" s="1363" t="s">
        <v>1767</v>
      </c>
      <c r="AG5" s="1347">
        <v>1</v>
      </c>
      <c r="AZ5" s="1790"/>
      <c r="BZ5" s="1790"/>
      <c r="CA5" s="1350"/>
      <c r="CB5" s="1350" t="s">
        <v>154</v>
      </c>
      <c r="CC5" s="1350" t="s">
        <v>163</v>
      </c>
      <c r="CD5" s="1350" t="s">
        <v>159</v>
      </c>
      <c r="CE5" s="1350"/>
      <c r="CF5" s="1350">
        <v>2000</v>
      </c>
      <c r="CG5" s="1350"/>
      <c r="CH5" s="1350"/>
      <c r="CI5" s="1350"/>
      <c r="CJ5" s="1350"/>
      <c r="CK5" s="1350"/>
      <c r="CL5" s="1350"/>
      <c r="CM5" s="1350">
        <v>3</v>
      </c>
      <c r="CN5" s="1350"/>
      <c r="CO5" s="1350"/>
      <c r="CZ5" s="1790"/>
      <c r="DZ5" s="1790"/>
    </row>
    <row r="6" spans="1:133" ht="12.75" customHeight="1" x14ac:dyDescent="0.2">
      <c r="A6" s="1364" t="s">
        <v>1491</v>
      </c>
      <c r="B6" s="1365">
        <v>2</v>
      </c>
      <c r="C6" s="1364" t="s">
        <v>1765</v>
      </c>
      <c r="D6" s="1365">
        <v>59</v>
      </c>
      <c r="E6" s="1366">
        <v>7.5</v>
      </c>
      <c r="F6" s="1365">
        <v>14</v>
      </c>
      <c r="G6" s="1366">
        <v>10</v>
      </c>
      <c r="H6" s="1366"/>
      <c r="I6" s="1367" t="s">
        <v>1766</v>
      </c>
      <c r="J6" s="1366">
        <v>5.5</v>
      </c>
      <c r="K6" s="1366"/>
      <c r="L6" s="1366"/>
      <c r="M6" s="1366"/>
      <c r="N6" s="1365"/>
      <c r="O6" s="1366"/>
      <c r="P6" s="1366"/>
      <c r="Q6" s="1367"/>
      <c r="R6" s="1366">
        <v>1</v>
      </c>
      <c r="S6" s="1366"/>
      <c r="T6" s="1366"/>
      <c r="U6" s="1366" t="s">
        <v>1766</v>
      </c>
      <c r="V6" s="1366"/>
      <c r="W6" s="1367"/>
      <c r="X6" s="1367"/>
      <c r="Y6" s="1367"/>
      <c r="Z6" s="1367"/>
      <c r="AA6" s="1367"/>
      <c r="AB6" s="1367" t="s">
        <v>116</v>
      </c>
      <c r="AC6" s="1367"/>
      <c r="AD6" s="1367">
        <v>0.28511530398322799</v>
      </c>
      <c r="AE6" s="1367" t="s">
        <v>1392</v>
      </c>
      <c r="AF6" s="1367" t="s">
        <v>1767</v>
      </c>
      <c r="AG6" s="1347">
        <v>1</v>
      </c>
      <c r="AZ6" s="1790"/>
      <c r="BZ6" s="1790"/>
      <c r="CA6" s="1350"/>
      <c r="CB6" s="1350" t="s">
        <v>157</v>
      </c>
      <c r="CC6" s="1350" t="s">
        <v>167</v>
      </c>
      <c r="CD6" s="1350" t="s">
        <v>145</v>
      </c>
      <c r="CE6" s="1350"/>
      <c r="CF6" s="1350">
        <v>11000</v>
      </c>
      <c r="CG6" s="1350"/>
      <c r="CH6" s="1350"/>
      <c r="CI6" s="1350"/>
      <c r="CJ6" s="1350"/>
      <c r="CK6" s="1350"/>
      <c r="CL6" s="1350"/>
      <c r="CM6" s="1350"/>
      <c r="CN6" s="1350"/>
      <c r="CO6" s="1350"/>
      <c r="CZ6" s="1790"/>
      <c r="DZ6" s="1790"/>
    </row>
    <row r="7" spans="1:133" x14ac:dyDescent="0.2">
      <c r="A7" s="1364" t="s">
        <v>1492</v>
      </c>
      <c r="B7" s="1365">
        <v>2</v>
      </c>
      <c r="C7" s="1364" t="s">
        <v>1765</v>
      </c>
      <c r="D7" s="1365">
        <v>59</v>
      </c>
      <c r="E7" s="1366">
        <v>7.5</v>
      </c>
      <c r="F7" s="1365">
        <v>14</v>
      </c>
      <c r="G7" s="1366">
        <v>10</v>
      </c>
      <c r="H7" s="1366"/>
      <c r="I7" s="1367"/>
      <c r="J7" s="1366"/>
      <c r="K7" s="1366"/>
      <c r="L7" s="1366"/>
      <c r="M7" s="1366"/>
      <c r="N7" s="1365"/>
      <c r="O7" s="1366"/>
      <c r="P7" s="1366"/>
      <c r="Q7" s="1367"/>
      <c r="R7" s="1366">
        <v>1</v>
      </c>
      <c r="S7" s="1366"/>
      <c r="T7" s="1366"/>
      <c r="U7" s="1366"/>
      <c r="V7" s="1366"/>
      <c r="W7" s="1367"/>
      <c r="X7" s="1367"/>
      <c r="Y7" s="1367"/>
      <c r="Z7" s="1367"/>
      <c r="AA7" s="1367"/>
      <c r="AB7" s="1367" t="s">
        <v>116</v>
      </c>
      <c r="AC7" s="1367"/>
      <c r="AD7" s="1367">
        <v>0.28511530398322799</v>
      </c>
      <c r="AE7" s="1367" t="s">
        <v>1769</v>
      </c>
      <c r="AF7" s="1367" t="s">
        <v>1767</v>
      </c>
      <c r="AG7" s="1347">
        <v>1</v>
      </c>
      <c r="AZ7" s="1790"/>
      <c r="BZ7" s="1790"/>
      <c r="CA7" s="1350"/>
      <c r="CB7" s="1350" t="s">
        <v>157</v>
      </c>
      <c r="CC7" s="1350" t="s">
        <v>142</v>
      </c>
      <c r="CD7" s="1350" t="s">
        <v>145</v>
      </c>
      <c r="CE7" s="1350"/>
      <c r="CF7" s="1350">
        <v>11000</v>
      </c>
      <c r="CG7" s="1350"/>
      <c r="CH7" s="1350"/>
      <c r="CI7" s="1350"/>
      <c r="CJ7" s="1350"/>
      <c r="CK7" s="1350"/>
      <c r="CL7" s="1350"/>
      <c r="CM7" s="1350" t="s">
        <v>1625</v>
      </c>
      <c r="CN7" s="1350"/>
      <c r="CO7" s="1350"/>
      <c r="CZ7" s="1790"/>
      <c r="DZ7" s="1790"/>
    </row>
    <row r="8" spans="1:133" x14ac:dyDescent="0.2">
      <c r="A8" s="1364" t="s">
        <v>1493</v>
      </c>
      <c r="B8" s="1365">
        <v>1</v>
      </c>
      <c r="C8" s="1364" t="s">
        <v>1765</v>
      </c>
      <c r="D8" s="1365">
        <v>59</v>
      </c>
      <c r="E8" s="1366">
        <v>7.5</v>
      </c>
      <c r="F8" s="1365">
        <v>4</v>
      </c>
      <c r="G8" s="1366">
        <v>11.125</v>
      </c>
      <c r="H8" s="1366"/>
      <c r="I8" s="1367" t="s">
        <v>1766</v>
      </c>
      <c r="J8" s="1366">
        <v>5</v>
      </c>
      <c r="K8" s="1366"/>
      <c r="L8" s="1366"/>
      <c r="M8" s="1366"/>
      <c r="N8" s="1365"/>
      <c r="O8" s="1366"/>
      <c r="P8" s="1366"/>
      <c r="Q8" s="1367"/>
      <c r="R8" s="1366">
        <v>14</v>
      </c>
      <c r="S8" s="1366">
        <v>10</v>
      </c>
      <c r="T8" s="1366"/>
      <c r="U8" s="1366" t="s">
        <v>1766</v>
      </c>
      <c r="V8" s="1366">
        <v>5.5</v>
      </c>
      <c r="W8" s="1367"/>
      <c r="X8" s="1367"/>
      <c r="Y8" s="1367"/>
      <c r="Z8" s="1367"/>
      <c r="AA8" s="1367"/>
      <c r="AB8" s="1367" t="s">
        <v>116</v>
      </c>
      <c r="AC8" s="1367"/>
      <c r="AD8" s="1367">
        <v>-0.31865828092243198</v>
      </c>
      <c r="AE8" s="1367" t="s">
        <v>1770</v>
      </c>
      <c r="AF8" s="1367" t="s">
        <v>116</v>
      </c>
      <c r="AG8" s="1347">
        <v>1</v>
      </c>
      <c r="AZ8" s="1790"/>
      <c r="BZ8" s="1790"/>
      <c r="CA8" s="1350"/>
      <c r="CB8" s="1350" t="s">
        <v>144</v>
      </c>
      <c r="CC8" s="1350" t="s">
        <v>142</v>
      </c>
      <c r="CD8" s="1350" t="s">
        <v>145</v>
      </c>
      <c r="CE8" s="1350"/>
      <c r="CF8" s="1350">
        <v>40</v>
      </c>
      <c r="CG8" s="1350"/>
      <c r="CH8" s="1350"/>
      <c r="CI8" s="1350"/>
      <c r="CJ8" s="1350"/>
      <c r="CK8" s="1350"/>
      <c r="CL8" s="1350"/>
      <c r="CM8" s="1350">
        <v>2</v>
      </c>
      <c r="CN8" s="1350"/>
      <c r="CO8" s="1350"/>
      <c r="CZ8" s="1790"/>
      <c r="DZ8" s="1790"/>
    </row>
    <row r="9" spans="1:133" x14ac:dyDescent="0.2">
      <c r="A9" s="1364" t="s">
        <v>1494</v>
      </c>
      <c r="B9" s="1365">
        <v>2</v>
      </c>
      <c r="C9" s="1364" t="s">
        <v>1765</v>
      </c>
      <c r="D9" s="1365">
        <v>59</v>
      </c>
      <c r="E9" s="1366">
        <v>7.5</v>
      </c>
      <c r="F9" s="1365">
        <v>4</v>
      </c>
      <c r="G9" s="1366">
        <v>11.125</v>
      </c>
      <c r="H9" s="1366"/>
      <c r="I9" s="1367"/>
      <c r="J9" s="1366"/>
      <c r="K9" s="1366"/>
      <c r="L9" s="1366"/>
      <c r="M9" s="1366"/>
      <c r="N9" s="1365"/>
      <c r="O9" s="1366"/>
      <c r="P9" s="1366"/>
      <c r="Q9" s="1367"/>
      <c r="R9" s="1366">
        <v>14</v>
      </c>
      <c r="S9" s="1366">
        <v>10</v>
      </c>
      <c r="T9" s="1366"/>
      <c r="U9" s="1366"/>
      <c r="V9" s="1366"/>
      <c r="W9" s="1367"/>
      <c r="X9" s="1367"/>
      <c r="Y9" s="1367"/>
      <c r="Z9" s="1367"/>
      <c r="AA9" s="1367"/>
      <c r="AB9" s="1367" t="s">
        <v>116</v>
      </c>
      <c r="AC9" s="1367"/>
      <c r="AD9" s="1367">
        <v>-0.31865828092243198</v>
      </c>
      <c r="AE9" s="1367" t="s">
        <v>1771</v>
      </c>
      <c r="AF9" s="1367" t="s">
        <v>116</v>
      </c>
      <c r="AG9" s="1347">
        <v>1</v>
      </c>
      <c r="AZ9" s="1790"/>
      <c r="BZ9" s="1790"/>
      <c r="CA9" s="1350">
        <v>2</v>
      </c>
      <c r="CB9" s="1350" t="s">
        <v>155</v>
      </c>
      <c r="CC9" s="1350" t="s">
        <v>165</v>
      </c>
      <c r="CD9" s="1350" t="s">
        <v>145</v>
      </c>
      <c r="CE9" s="1350"/>
      <c r="CF9" s="1350">
        <v>250</v>
      </c>
      <c r="CG9" s="1350"/>
      <c r="CH9" s="1350"/>
      <c r="CI9" s="1350"/>
      <c r="CJ9" s="1350"/>
      <c r="CK9" s="1350"/>
      <c r="CL9" s="1350"/>
      <c r="CM9" s="1350"/>
      <c r="CN9" s="1350" t="s">
        <v>1626</v>
      </c>
      <c r="CO9" s="1350">
        <v>5</v>
      </c>
      <c r="CZ9" s="1790"/>
      <c r="DZ9" s="1790"/>
    </row>
    <row r="10" spans="1:133" x14ac:dyDescent="0.2">
      <c r="A10" s="1364" t="s">
        <v>1495</v>
      </c>
      <c r="B10" s="1365">
        <v>5</v>
      </c>
      <c r="C10" s="1364" t="s">
        <v>1765</v>
      </c>
      <c r="D10" s="1365">
        <v>59</v>
      </c>
      <c r="E10" s="1366">
        <v>7.5</v>
      </c>
      <c r="F10" s="1365">
        <v>4</v>
      </c>
      <c r="G10" s="1366">
        <v>11.125</v>
      </c>
      <c r="H10" s="1366"/>
      <c r="I10" s="1367"/>
      <c r="J10" s="1366"/>
      <c r="K10" s="1366"/>
      <c r="L10" s="1366"/>
      <c r="M10" s="1366"/>
      <c r="N10" s="1365"/>
      <c r="O10" s="1366"/>
      <c r="P10" s="1366"/>
      <c r="Q10" s="1367"/>
      <c r="R10" s="1366">
        <v>14</v>
      </c>
      <c r="S10" s="1366">
        <v>10</v>
      </c>
      <c r="T10" s="1366"/>
      <c r="U10" s="1366"/>
      <c r="V10" s="1366"/>
      <c r="W10" s="1367"/>
      <c r="X10" s="1367"/>
      <c r="Y10" s="1367"/>
      <c r="Z10" s="1367"/>
      <c r="AA10" s="1367"/>
      <c r="AB10" s="1367" t="s">
        <v>116</v>
      </c>
      <c r="AC10" s="1367"/>
      <c r="AD10" s="1367">
        <v>-0.31865828092243198</v>
      </c>
      <c r="AE10" s="1367" t="s">
        <v>1770</v>
      </c>
      <c r="AF10" s="1367" t="s">
        <v>116</v>
      </c>
      <c r="AG10" s="1347">
        <v>1</v>
      </c>
      <c r="AZ10" s="1790"/>
      <c r="BZ10" s="1790"/>
      <c r="CA10" s="1350"/>
      <c r="CB10" s="1350" t="s">
        <v>155</v>
      </c>
      <c r="CC10" s="1350" t="s">
        <v>165</v>
      </c>
      <c r="CD10" s="1350" t="s">
        <v>159</v>
      </c>
      <c r="CE10" s="1350"/>
      <c r="CF10" s="1350">
        <v>250</v>
      </c>
      <c r="CG10" s="1350"/>
      <c r="CH10" s="1350"/>
      <c r="CI10" s="1350"/>
      <c r="CJ10" s="1350"/>
      <c r="CK10" s="1350"/>
      <c r="CL10" s="1350"/>
      <c r="CM10" s="1350"/>
      <c r="CN10" s="1350"/>
      <c r="CO10" s="1350"/>
      <c r="CZ10" s="1790"/>
      <c r="DZ10" s="1790"/>
    </row>
    <row r="11" spans="1:133" x14ac:dyDescent="0.2">
      <c r="A11" s="1364" t="s">
        <v>1496</v>
      </c>
      <c r="B11" s="1365">
        <v>2</v>
      </c>
      <c r="C11" s="1364" t="s">
        <v>1765</v>
      </c>
      <c r="D11" s="1365">
        <v>59</v>
      </c>
      <c r="E11" s="1366">
        <v>7.5</v>
      </c>
      <c r="F11" s="1365">
        <v>4</v>
      </c>
      <c r="G11" s="1366">
        <v>11.125</v>
      </c>
      <c r="H11" s="1366"/>
      <c r="I11" s="1367" t="s">
        <v>1766</v>
      </c>
      <c r="J11" s="1366">
        <v>5</v>
      </c>
      <c r="K11" s="1366"/>
      <c r="L11" s="1366"/>
      <c r="M11" s="1366"/>
      <c r="N11" s="1365"/>
      <c r="O11" s="1366"/>
      <c r="P11" s="1366"/>
      <c r="Q11" s="1367"/>
      <c r="R11" s="1366">
        <v>14</v>
      </c>
      <c r="S11" s="1366">
        <v>10</v>
      </c>
      <c r="T11" s="1366"/>
      <c r="U11" s="1366" t="s">
        <v>1766</v>
      </c>
      <c r="V11" s="1366">
        <v>5.5</v>
      </c>
      <c r="W11" s="1367"/>
      <c r="X11" s="1367"/>
      <c r="Y11" s="1367"/>
      <c r="Z11" s="1367"/>
      <c r="AA11" s="1367"/>
      <c r="AB11" s="1367" t="s">
        <v>116</v>
      </c>
      <c r="AC11" s="1367"/>
      <c r="AD11" s="1367">
        <v>-0.31865828092243198</v>
      </c>
      <c r="AE11" s="1367" t="s">
        <v>1770</v>
      </c>
      <c r="AF11" s="1367" t="s">
        <v>116</v>
      </c>
      <c r="AG11" s="1347">
        <v>1</v>
      </c>
      <c r="AZ11" s="1790"/>
      <c r="BZ11" s="1790"/>
      <c r="CA11" s="1350"/>
      <c r="CB11" s="1350" t="s">
        <v>154</v>
      </c>
      <c r="CC11" s="1350" t="s">
        <v>165</v>
      </c>
      <c r="CD11" s="1350" t="s">
        <v>145</v>
      </c>
      <c r="CE11" s="1350"/>
      <c r="CF11" s="1350">
        <v>1500</v>
      </c>
      <c r="CG11" s="1350"/>
      <c r="CH11" s="1350"/>
      <c r="CI11" s="1350"/>
      <c r="CJ11" s="1350"/>
      <c r="CK11" s="1350"/>
      <c r="CL11" s="1350"/>
      <c r="CM11" s="1350"/>
      <c r="CN11" s="1350"/>
      <c r="CO11" s="1350"/>
      <c r="CZ11" s="1790"/>
      <c r="DZ11" s="1790"/>
    </row>
    <row r="12" spans="1:133" x14ac:dyDescent="0.2">
      <c r="A12" s="1364" t="s">
        <v>1497</v>
      </c>
      <c r="B12" s="1365">
        <v>2</v>
      </c>
      <c r="C12" s="1364" t="s">
        <v>1765</v>
      </c>
      <c r="D12" s="1365">
        <v>59</v>
      </c>
      <c r="E12" s="1366">
        <v>7.5</v>
      </c>
      <c r="F12" s="1365">
        <v>4</v>
      </c>
      <c r="G12" s="1366">
        <v>11.125</v>
      </c>
      <c r="H12" s="1366"/>
      <c r="I12" s="1367"/>
      <c r="J12" s="1366"/>
      <c r="K12" s="1366"/>
      <c r="L12" s="1366"/>
      <c r="M12" s="1366"/>
      <c r="N12" s="1365"/>
      <c r="O12" s="1366"/>
      <c r="P12" s="1366"/>
      <c r="Q12" s="1367"/>
      <c r="R12" s="1366">
        <v>14</v>
      </c>
      <c r="S12" s="1366">
        <v>10</v>
      </c>
      <c r="T12" s="1366"/>
      <c r="U12" s="1366"/>
      <c r="V12" s="1366"/>
      <c r="W12" s="1367"/>
      <c r="X12" s="1367"/>
      <c r="Y12" s="1367"/>
      <c r="Z12" s="1367"/>
      <c r="AA12" s="1367"/>
      <c r="AB12" s="1367" t="s">
        <v>116</v>
      </c>
      <c r="AC12" s="1367"/>
      <c r="AD12" s="1367">
        <v>-0.31865828092243198</v>
      </c>
      <c r="AE12" s="1367" t="s">
        <v>1772</v>
      </c>
      <c r="AF12" s="1367" t="s">
        <v>116</v>
      </c>
      <c r="AG12" s="1347">
        <v>1</v>
      </c>
      <c r="AZ12" s="1790"/>
      <c r="BZ12" s="1790"/>
      <c r="CA12" s="1350"/>
      <c r="CB12" s="1350" t="s">
        <v>157</v>
      </c>
      <c r="CC12" s="1350" t="s">
        <v>167</v>
      </c>
      <c r="CD12" s="1350" t="s">
        <v>145</v>
      </c>
      <c r="CE12" s="1350"/>
      <c r="CF12" s="1350">
        <v>45000</v>
      </c>
      <c r="CG12" s="1350"/>
      <c r="CH12" s="1350"/>
      <c r="CI12" s="1350"/>
      <c r="CJ12" s="1350"/>
      <c r="CK12" s="1350"/>
      <c r="CL12" s="1350"/>
      <c r="CM12" s="1350"/>
      <c r="CN12" s="1350"/>
      <c r="CO12" s="1350"/>
      <c r="CZ12" s="1790"/>
      <c r="DZ12" s="1790"/>
    </row>
    <row r="13" spans="1:133" x14ac:dyDescent="0.2">
      <c r="A13" s="1368" t="s">
        <v>1498</v>
      </c>
      <c r="B13" s="1369">
        <v>1</v>
      </c>
      <c r="C13" s="1368" t="s">
        <v>1765</v>
      </c>
      <c r="D13" s="1369">
        <v>59</v>
      </c>
      <c r="E13" s="1370">
        <v>3</v>
      </c>
      <c r="F13" s="1369">
        <v>4</v>
      </c>
      <c r="G13" s="1370">
        <v>11.125</v>
      </c>
      <c r="R13" s="1370">
        <v>1</v>
      </c>
      <c r="AB13" s="1371" t="s">
        <v>116</v>
      </c>
      <c r="AD13" s="1371">
        <v>-0.21097046413502099</v>
      </c>
      <c r="AE13" s="1371" t="s">
        <v>1773</v>
      </c>
      <c r="AF13" s="1371" t="s">
        <v>32</v>
      </c>
      <c r="AG13" s="1347">
        <v>1</v>
      </c>
      <c r="AZ13" s="1790"/>
      <c r="BZ13" s="1790"/>
      <c r="CA13" s="1350"/>
      <c r="CB13" s="1350" t="s">
        <v>157</v>
      </c>
      <c r="CC13" s="1350" t="s">
        <v>142</v>
      </c>
      <c r="CD13" s="1350" t="s">
        <v>145</v>
      </c>
      <c r="CE13" s="1350"/>
      <c r="CF13" s="1350">
        <v>45000</v>
      </c>
      <c r="CG13" s="1350"/>
      <c r="CH13" s="1350"/>
      <c r="CI13" s="1350"/>
      <c r="CJ13" s="1350"/>
      <c r="CK13" s="1350"/>
      <c r="CL13" s="1350"/>
      <c r="CM13" s="1350" t="s">
        <v>1625</v>
      </c>
      <c r="CN13" s="1350"/>
      <c r="CO13" s="1350"/>
      <c r="CZ13" s="1790"/>
      <c r="DZ13" s="1790"/>
    </row>
    <row r="14" spans="1:133" x14ac:dyDescent="0.2">
      <c r="A14" s="1368" t="s">
        <v>1499</v>
      </c>
      <c r="B14" s="1369">
        <v>18</v>
      </c>
      <c r="C14" s="1368" t="s">
        <v>1765</v>
      </c>
      <c r="D14" s="1369">
        <v>59</v>
      </c>
      <c r="E14" s="1370">
        <v>3</v>
      </c>
      <c r="F14" s="1369">
        <v>4</v>
      </c>
      <c r="G14" s="1370">
        <v>11.125</v>
      </c>
      <c r="R14" s="1370">
        <v>1</v>
      </c>
      <c r="AB14" s="1371" t="s">
        <v>116</v>
      </c>
      <c r="AD14" s="1371">
        <v>-0.21097046413502099</v>
      </c>
      <c r="AE14" s="1371" t="s">
        <v>1392</v>
      </c>
      <c r="AF14" s="1371" t="s">
        <v>32</v>
      </c>
      <c r="AG14" s="1347">
        <v>1</v>
      </c>
      <c r="AZ14" s="1790"/>
      <c r="BZ14" s="1790"/>
      <c r="CA14" s="1350">
        <v>3</v>
      </c>
      <c r="CB14" s="1350" t="s">
        <v>154</v>
      </c>
      <c r="CC14" s="1350" t="s">
        <v>167</v>
      </c>
      <c r="CD14" s="1350" t="s">
        <v>145</v>
      </c>
      <c r="CE14" s="1350"/>
      <c r="CF14" s="1350">
        <v>4000</v>
      </c>
      <c r="CG14" s="1350"/>
      <c r="CH14" s="1350"/>
      <c r="CI14" s="1350"/>
      <c r="CJ14" s="1350"/>
      <c r="CK14" s="1350"/>
      <c r="CL14" s="1350"/>
      <c r="CM14" s="1350"/>
      <c r="CN14" s="1350" t="s">
        <v>1627</v>
      </c>
      <c r="CO14" s="1350">
        <v>4</v>
      </c>
      <c r="CZ14" s="1790"/>
      <c r="DZ14" s="1790"/>
    </row>
    <row r="15" spans="1:133" x14ac:dyDescent="0.2">
      <c r="A15" s="1368" t="s">
        <v>1500</v>
      </c>
      <c r="B15" s="1369">
        <v>5</v>
      </c>
      <c r="C15" s="1368" t="s">
        <v>1765</v>
      </c>
      <c r="D15" s="1369">
        <v>59</v>
      </c>
      <c r="E15" s="1370">
        <v>3</v>
      </c>
      <c r="F15" s="1369">
        <v>4</v>
      </c>
      <c r="G15" s="1370">
        <v>11.125</v>
      </c>
      <c r="I15" s="1371" t="s">
        <v>1766</v>
      </c>
      <c r="J15" s="1370">
        <v>5</v>
      </c>
      <c r="R15" s="1370">
        <v>1</v>
      </c>
      <c r="U15" s="1370" t="s">
        <v>1766</v>
      </c>
      <c r="AB15" s="1371" t="s">
        <v>116</v>
      </c>
      <c r="AD15" s="1371">
        <v>-0.21097046413502099</v>
      </c>
      <c r="AE15" s="1371" t="s">
        <v>1392</v>
      </c>
      <c r="AF15" s="1371" t="s">
        <v>32</v>
      </c>
      <c r="AG15" s="1347">
        <v>1</v>
      </c>
      <c r="AZ15" s="1790"/>
      <c r="BZ15" s="1790"/>
      <c r="CA15" s="1350"/>
      <c r="CB15" s="1350" t="s">
        <v>154</v>
      </c>
      <c r="CC15" s="1350" t="s">
        <v>167</v>
      </c>
      <c r="CD15" s="1350" t="s">
        <v>145</v>
      </c>
      <c r="CE15" s="1350"/>
      <c r="CF15" s="1350">
        <v>-4000</v>
      </c>
      <c r="CG15" s="1350"/>
      <c r="CH15" s="1350"/>
      <c r="CI15" s="1350"/>
      <c r="CJ15" s="1350"/>
      <c r="CK15" s="1350"/>
      <c r="CL15" s="1350"/>
      <c r="CM15" s="1350">
        <v>2</v>
      </c>
      <c r="CN15" s="1350"/>
      <c r="CO15" s="1350"/>
      <c r="CZ15" s="1790"/>
      <c r="DZ15" s="1790"/>
    </row>
    <row r="16" spans="1:133" x14ac:dyDescent="0.2">
      <c r="A16" s="1368" t="s">
        <v>1501</v>
      </c>
      <c r="B16" s="1369">
        <v>1</v>
      </c>
      <c r="C16" s="1368" t="s">
        <v>1765</v>
      </c>
      <c r="D16" s="1369">
        <v>59</v>
      </c>
      <c r="E16" s="1370">
        <v>3</v>
      </c>
      <c r="F16" s="1369">
        <v>4</v>
      </c>
      <c r="G16" s="1370">
        <v>11.125</v>
      </c>
      <c r="R16" s="1370">
        <v>1</v>
      </c>
      <c r="AB16" s="1371" t="s">
        <v>116</v>
      </c>
      <c r="AD16" s="1371">
        <v>-0.21097046413502099</v>
      </c>
      <c r="AE16" s="1371" t="s">
        <v>1769</v>
      </c>
      <c r="AF16" s="1371" t="s">
        <v>32</v>
      </c>
      <c r="AG16" s="1347">
        <v>1</v>
      </c>
      <c r="AZ16" s="1790"/>
      <c r="BZ16" s="1790"/>
      <c r="CA16" s="1350"/>
      <c r="CB16" s="1350" t="s">
        <v>151</v>
      </c>
      <c r="CC16" s="1350" t="s">
        <v>167</v>
      </c>
      <c r="CD16" s="1350" t="s">
        <v>145</v>
      </c>
      <c r="CE16" s="1350"/>
      <c r="CF16" s="1350">
        <v>400</v>
      </c>
      <c r="CG16" s="1350"/>
      <c r="CH16" s="1350"/>
      <c r="CI16" s="1350"/>
      <c r="CJ16" s="1350"/>
      <c r="CK16" s="1350"/>
      <c r="CL16" s="1350"/>
      <c r="CM16" s="1350"/>
      <c r="CN16" s="1350"/>
      <c r="CO16" s="1350"/>
      <c r="CZ16" s="1790"/>
      <c r="DZ16" s="1790"/>
    </row>
    <row r="17" spans="1:130" x14ac:dyDescent="0.2">
      <c r="A17" s="1368" t="s">
        <v>1502</v>
      </c>
      <c r="B17" s="1369">
        <v>2</v>
      </c>
      <c r="C17" s="1368" t="s">
        <v>1765</v>
      </c>
      <c r="D17" s="1369">
        <v>59</v>
      </c>
      <c r="E17" s="1370">
        <v>3</v>
      </c>
      <c r="F17" s="1369">
        <v>4</v>
      </c>
      <c r="G17" s="1370">
        <v>11.125</v>
      </c>
      <c r="R17" s="1370">
        <v>1</v>
      </c>
      <c r="AB17" s="1371" t="s">
        <v>116</v>
      </c>
      <c r="AD17" s="1371">
        <v>-0.21097046413502099</v>
      </c>
      <c r="AE17" s="1371" t="s">
        <v>1774</v>
      </c>
      <c r="AF17" s="1371" t="s">
        <v>32</v>
      </c>
      <c r="AG17" s="1347">
        <v>1</v>
      </c>
      <c r="AZ17" s="1790"/>
      <c r="BZ17" s="1790"/>
      <c r="CA17" s="1350"/>
      <c r="CB17" s="1350" t="s">
        <v>151</v>
      </c>
      <c r="CC17" s="1350" t="s">
        <v>167</v>
      </c>
      <c r="CD17" s="1350" t="s">
        <v>145</v>
      </c>
      <c r="CE17" s="1350"/>
      <c r="CF17" s="1350">
        <v>-400</v>
      </c>
      <c r="CG17" s="1350"/>
      <c r="CH17" s="1350"/>
      <c r="CI17" s="1350"/>
      <c r="CJ17" s="1350"/>
      <c r="CK17" s="1350"/>
      <c r="CL17" s="1350"/>
      <c r="CM17" s="1350">
        <v>2</v>
      </c>
      <c r="CN17" s="1350"/>
      <c r="CO17" s="1350"/>
      <c r="CZ17" s="1790"/>
      <c r="DZ17" s="1790"/>
    </row>
    <row r="18" spans="1:130" x14ac:dyDescent="0.2">
      <c r="A18" s="1368" t="s">
        <v>1503</v>
      </c>
      <c r="B18" s="1369">
        <v>30</v>
      </c>
      <c r="C18" s="1368" t="s">
        <v>1765</v>
      </c>
      <c r="D18" s="1369">
        <v>59</v>
      </c>
      <c r="E18" s="1370">
        <v>3</v>
      </c>
      <c r="F18" s="1369">
        <v>4</v>
      </c>
      <c r="G18" s="1370">
        <v>11.125</v>
      </c>
      <c r="R18" s="1370">
        <v>1</v>
      </c>
      <c r="AB18" s="1371" t="s">
        <v>116</v>
      </c>
      <c r="AD18" s="1371">
        <v>-0.21097046413502099</v>
      </c>
      <c r="AE18" s="1371" t="s">
        <v>1775</v>
      </c>
      <c r="AF18" s="1371" t="s">
        <v>32</v>
      </c>
      <c r="AG18" s="1347">
        <v>1</v>
      </c>
      <c r="AZ18" s="1790"/>
      <c r="BZ18" s="1790"/>
      <c r="CA18" s="1350">
        <v>4</v>
      </c>
      <c r="CB18" s="1350" t="s">
        <v>154</v>
      </c>
      <c r="CC18" s="1350" t="s">
        <v>167</v>
      </c>
      <c r="CD18" s="1350" t="s">
        <v>145</v>
      </c>
      <c r="CE18" s="1350"/>
      <c r="CF18" s="1350">
        <v>4000</v>
      </c>
      <c r="CG18" s="1350"/>
      <c r="CH18" s="1350"/>
      <c r="CI18" s="1350"/>
      <c r="CJ18" s="1350"/>
      <c r="CK18" s="1350"/>
      <c r="CL18" s="1350"/>
      <c r="CM18" s="1350"/>
      <c r="CN18" s="1350" t="s">
        <v>1628</v>
      </c>
      <c r="CO18" s="1350">
        <v>4</v>
      </c>
      <c r="CZ18" s="1790"/>
      <c r="DZ18" s="1790"/>
    </row>
    <row r="19" spans="1:130" x14ac:dyDescent="0.2">
      <c r="A19" s="1368" t="s">
        <v>1504</v>
      </c>
      <c r="B19" s="1369">
        <v>3</v>
      </c>
      <c r="C19" s="1368" t="s">
        <v>1765</v>
      </c>
      <c r="D19" s="1369">
        <v>59</v>
      </c>
      <c r="E19" s="1370">
        <v>3</v>
      </c>
      <c r="F19" s="1369">
        <v>5</v>
      </c>
      <c r="G19" s="1370">
        <v>11.125</v>
      </c>
      <c r="I19" s="1371" t="s">
        <v>1766</v>
      </c>
      <c r="J19" s="1370">
        <v>5</v>
      </c>
      <c r="N19" s="1369" t="s">
        <v>1766</v>
      </c>
      <c r="R19" s="1370">
        <v>12</v>
      </c>
      <c r="U19" s="1370" t="s">
        <v>1766</v>
      </c>
      <c r="AB19" s="1371" t="s">
        <v>116</v>
      </c>
      <c r="AD19" s="1371">
        <v>-0.21097046413502099</v>
      </c>
      <c r="AE19" s="1371" t="s">
        <v>1775</v>
      </c>
      <c r="AF19" s="1371" t="s">
        <v>32</v>
      </c>
      <c r="AG19" s="1347">
        <v>1</v>
      </c>
      <c r="AZ19" s="1790"/>
      <c r="BZ19" s="1790"/>
      <c r="CA19" s="1350"/>
      <c r="CB19" s="1350" t="s">
        <v>154</v>
      </c>
      <c r="CC19" s="1350" t="s">
        <v>167</v>
      </c>
      <c r="CD19" s="1350" t="s">
        <v>145</v>
      </c>
      <c r="CE19" s="1350"/>
      <c r="CF19" s="1350">
        <v>-4000</v>
      </c>
      <c r="CG19" s="1350"/>
      <c r="CH19" s="1350"/>
      <c r="CI19" s="1350"/>
      <c r="CJ19" s="1350"/>
      <c r="CK19" s="1350"/>
      <c r="CL19" s="1350"/>
      <c r="CM19" s="1350">
        <v>2</v>
      </c>
      <c r="CN19" s="1350"/>
      <c r="CO19" s="1350"/>
      <c r="CZ19" s="1790"/>
      <c r="DZ19" s="1790"/>
    </row>
    <row r="20" spans="1:130" x14ac:dyDescent="0.2">
      <c r="A20" s="1368" t="s">
        <v>1505</v>
      </c>
      <c r="B20" s="1369">
        <v>3</v>
      </c>
      <c r="C20" s="1368" t="s">
        <v>1765</v>
      </c>
      <c r="D20" s="1369">
        <v>59</v>
      </c>
      <c r="E20" s="1370">
        <v>3</v>
      </c>
      <c r="F20" s="1369">
        <v>4</v>
      </c>
      <c r="G20" s="1370">
        <v>11.125</v>
      </c>
      <c r="R20" s="1370">
        <v>1</v>
      </c>
      <c r="AB20" s="1371" t="s">
        <v>116</v>
      </c>
      <c r="AD20" s="1371">
        <v>-0.21097046413502099</v>
      </c>
      <c r="AE20" s="1371" t="s">
        <v>1776</v>
      </c>
      <c r="AF20" s="1371" t="s">
        <v>32</v>
      </c>
      <c r="AG20" s="1347">
        <v>1</v>
      </c>
      <c r="CA20" s="1350"/>
      <c r="CB20" s="1350" t="s">
        <v>151</v>
      </c>
      <c r="CC20" s="1350" t="s">
        <v>167</v>
      </c>
      <c r="CD20" s="1350" t="s">
        <v>145</v>
      </c>
      <c r="CE20" s="1350"/>
      <c r="CF20" s="1350">
        <v>267</v>
      </c>
      <c r="CG20" s="1350"/>
      <c r="CH20" s="1350"/>
      <c r="CI20" s="1350"/>
      <c r="CJ20" s="1350"/>
      <c r="CK20" s="1350"/>
      <c r="CL20" s="1350"/>
      <c r="CM20" s="1350"/>
      <c r="CN20" s="1350"/>
      <c r="CO20" s="1350"/>
    </row>
    <row r="21" spans="1:130" x14ac:dyDescent="0.2">
      <c r="A21" s="1368" t="s">
        <v>1506</v>
      </c>
      <c r="B21" s="1369">
        <v>4</v>
      </c>
      <c r="C21" s="1368" t="s">
        <v>1765</v>
      </c>
      <c r="D21" s="1369">
        <v>59</v>
      </c>
      <c r="E21" s="1370">
        <v>3</v>
      </c>
      <c r="F21" s="1369">
        <v>4</v>
      </c>
      <c r="G21" s="1370">
        <v>11.125</v>
      </c>
      <c r="I21" s="1371" t="s">
        <v>1766</v>
      </c>
      <c r="J21" s="1370">
        <v>5</v>
      </c>
      <c r="R21" s="1370">
        <v>1</v>
      </c>
      <c r="U21" s="1370" t="s">
        <v>1766</v>
      </c>
      <c r="AB21" s="1371" t="s">
        <v>116</v>
      </c>
      <c r="AD21" s="1371">
        <v>-0.21097046413502099</v>
      </c>
      <c r="AE21" s="1371" t="s">
        <v>1775</v>
      </c>
      <c r="AF21" s="1371" t="s">
        <v>32</v>
      </c>
      <c r="AG21" s="1347">
        <v>1</v>
      </c>
      <c r="CA21" s="1350"/>
      <c r="CB21" s="1350" t="s">
        <v>151</v>
      </c>
      <c r="CC21" s="1350" t="s">
        <v>167</v>
      </c>
      <c r="CD21" s="1350" t="s">
        <v>145</v>
      </c>
      <c r="CE21" s="1350"/>
      <c r="CF21" s="1350">
        <v>-267</v>
      </c>
      <c r="CG21" s="1350"/>
      <c r="CH21" s="1350"/>
      <c r="CI21" s="1350"/>
      <c r="CJ21" s="1350"/>
      <c r="CK21" s="1350"/>
      <c r="CL21" s="1350"/>
      <c r="CM21" s="1350">
        <v>2</v>
      </c>
      <c r="CN21" s="1350"/>
      <c r="CO21" s="1350"/>
    </row>
    <row r="22" spans="1:130" x14ac:dyDescent="0.2">
      <c r="A22" s="1368" t="s">
        <v>1507</v>
      </c>
      <c r="B22" s="1369">
        <v>7</v>
      </c>
      <c r="C22" s="1368" t="s">
        <v>1765</v>
      </c>
      <c r="D22" s="1369">
        <v>59</v>
      </c>
      <c r="E22" s="1370">
        <v>3</v>
      </c>
      <c r="F22" s="1369">
        <v>4</v>
      </c>
      <c r="G22" s="1370">
        <v>11.125</v>
      </c>
      <c r="R22" s="1370">
        <v>1</v>
      </c>
      <c r="AB22" s="1371" t="s">
        <v>116</v>
      </c>
      <c r="AD22" s="1371">
        <v>-0.21097046413502099</v>
      </c>
      <c r="AE22" s="1371" t="s">
        <v>1777</v>
      </c>
      <c r="AF22" s="1371" t="s">
        <v>32</v>
      </c>
      <c r="AG22" s="1347">
        <v>1</v>
      </c>
      <c r="CA22" s="1350">
        <v>5</v>
      </c>
      <c r="CB22" s="1350" t="s">
        <v>148</v>
      </c>
      <c r="CC22" s="1350" t="s">
        <v>167</v>
      </c>
      <c r="CD22" s="1350" t="s">
        <v>145</v>
      </c>
      <c r="CE22" s="1350"/>
      <c r="CF22" s="1350">
        <v>24000</v>
      </c>
      <c r="CG22" s="1350">
        <v>44</v>
      </c>
      <c r="CH22" s="1350">
        <v>0</v>
      </c>
      <c r="CI22" s="1350"/>
      <c r="CJ22" s="1350"/>
      <c r="CK22" s="1350"/>
      <c r="CL22" s="1350" t="s">
        <v>700</v>
      </c>
      <c r="CM22" s="1350"/>
      <c r="CN22" s="1350" t="s">
        <v>1630</v>
      </c>
      <c r="CO22" s="1350">
        <v>2</v>
      </c>
    </row>
    <row r="23" spans="1:130" x14ac:dyDescent="0.2">
      <c r="A23" s="1368" t="s">
        <v>1508</v>
      </c>
      <c r="B23" s="1369">
        <v>3</v>
      </c>
      <c r="C23" s="1368" t="s">
        <v>1765</v>
      </c>
      <c r="D23" s="1369">
        <v>59</v>
      </c>
      <c r="E23" s="1370">
        <v>3</v>
      </c>
      <c r="F23" s="1369">
        <v>4</v>
      </c>
      <c r="G23" s="1370">
        <v>11.125</v>
      </c>
      <c r="I23" s="1371" t="s">
        <v>1766</v>
      </c>
      <c r="J23" s="1370">
        <v>5</v>
      </c>
      <c r="R23" s="1370">
        <v>1</v>
      </c>
      <c r="U23" s="1370" t="s">
        <v>1766</v>
      </c>
      <c r="AB23" s="1371" t="s">
        <v>116</v>
      </c>
      <c r="AD23" s="1371">
        <v>-0.21097046413502099</v>
      </c>
      <c r="AE23" s="1371" t="s">
        <v>1777</v>
      </c>
      <c r="AF23" s="1371" t="s">
        <v>32</v>
      </c>
      <c r="AG23" s="1347">
        <v>1</v>
      </c>
      <c r="CA23" s="1350"/>
      <c r="CB23" s="1350" t="s">
        <v>148</v>
      </c>
      <c r="CC23" s="1350" t="s">
        <v>167</v>
      </c>
      <c r="CD23" s="1350" t="s">
        <v>145</v>
      </c>
      <c r="CE23" s="1350"/>
      <c r="CF23" s="1350">
        <v>-24000</v>
      </c>
      <c r="CG23" s="1350">
        <v>44</v>
      </c>
      <c r="CH23" s="1350">
        <v>0</v>
      </c>
      <c r="CI23" s="1350"/>
      <c r="CJ23" s="1350"/>
      <c r="CK23" s="1350"/>
      <c r="CL23" s="1350" t="s">
        <v>700</v>
      </c>
      <c r="CM23" s="1350">
        <v>2</v>
      </c>
      <c r="CN23" s="1350"/>
      <c r="CO23" s="1350"/>
    </row>
    <row r="24" spans="1:130" x14ac:dyDescent="0.2">
      <c r="A24" s="1368" t="s">
        <v>1509</v>
      </c>
      <c r="B24" s="1369">
        <v>7</v>
      </c>
      <c r="C24" s="1368" t="s">
        <v>1765</v>
      </c>
      <c r="D24" s="1369">
        <v>59</v>
      </c>
      <c r="E24" s="1370">
        <v>3</v>
      </c>
      <c r="F24" s="1369">
        <v>4</v>
      </c>
      <c r="G24" s="1370">
        <v>11.125</v>
      </c>
      <c r="R24" s="1370">
        <v>1</v>
      </c>
      <c r="AB24" s="1371" t="s">
        <v>116</v>
      </c>
      <c r="AD24" s="1371">
        <v>-0.21097046413502099</v>
      </c>
      <c r="AE24" s="1371" t="s">
        <v>1778</v>
      </c>
      <c r="AF24" s="1371" t="s">
        <v>32</v>
      </c>
      <c r="AG24" s="1347">
        <v>1</v>
      </c>
      <c r="CA24" s="1350">
        <v>6</v>
      </c>
      <c r="CB24" s="1350" t="s">
        <v>148</v>
      </c>
      <c r="CC24" s="1350" t="s">
        <v>167</v>
      </c>
      <c r="CD24" s="1350" t="s">
        <v>145</v>
      </c>
      <c r="CE24" s="1350"/>
      <c r="CF24" s="1350">
        <v>16000</v>
      </c>
      <c r="CG24" s="1350">
        <v>48</v>
      </c>
      <c r="CH24" s="1350">
        <v>0</v>
      </c>
      <c r="CI24" s="1350"/>
      <c r="CJ24" s="1350"/>
      <c r="CK24" s="1350"/>
      <c r="CL24" s="1350" t="s">
        <v>700</v>
      </c>
      <c r="CM24" s="1350"/>
      <c r="CN24" s="1350" t="s">
        <v>1630</v>
      </c>
      <c r="CO24" s="1350">
        <v>2</v>
      </c>
    </row>
    <row r="25" spans="1:130" x14ac:dyDescent="0.2">
      <c r="A25" s="1368" t="s">
        <v>1510</v>
      </c>
      <c r="B25" s="1369">
        <v>1</v>
      </c>
      <c r="C25" s="1368" t="s">
        <v>1765</v>
      </c>
      <c r="D25" s="1369">
        <v>59</v>
      </c>
      <c r="E25" s="1370">
        <v>3</v>
      </c>
      <c r="F25" s="1369">
        <v>5</v>
      </c>
      <c r="G25" s="1370">
        <v>11.125</v>
      </c>
      <c r="I25" s="1371" t="s">
        <v>1766</v>
      </c>
      <c r="J25" s="1370">
        <v>5</v>
      </c>
      <c r="N25" s="1369" t="s">
        <v>1766</v>
      </c>
      <c r="R25" s="1370">
        <v>12</v>
      </c>
      <c r="U25" s="1370" t="s">
        <v>1766</v>
      </c>
      <c r="AB25" s="1371" t="s">
        <v>116</v>
      </c>
      <c r="AD25" s="1371">
        <v>-0.21097046413502099</v>
      </c>
      <c r="AE25" s="1371" t="s">
        <v>1777</v>
      </c>
      <c r="AF25" s="1371" t="s">
        <v>32</v>
      </c>
      <c r="AG25" s="1347">
        <v>1</v>
      </c>
      <c r="CA25" s="1350"/>
      <c r="CB25" s="1350" t="s">
        <v>148</v>
      </c>
      <c r="CC25" s="1350" t="s">
        <v>167</v>
      </c>
      <c r="CD25" s="1350" t="s">
        <v>145</v>
      </c>
      <c r="CE25" s="1350"/>
      <c r="CF25" s="1350">
        <v>-16000</v>
      </c>
      <c r="CG25" s="1350">
        <v>48</v>
      </c>
      <c r="CH25" s="1350">
        <v>0</v>
      </c>
      <c r="CI25" s="1350"/>
      <c r="CJ25" s="1350"/>
      <c r="CK25" s="1350"/>
      <c r="CL25" s="1350" t="s">
        <v>700</v>
      </c>
      <c r="CM25" s="1350">
        <v>2</v>
      </c>
      <c r="CN25" s="1350"/>
      <c r="CO25" s="1350"/>
    </row>
    <row r="26" spans="1:130" x14ac:dyDescent="0.2">
      <c r="A26" s="1368" t="s">
        <v>1511</v>
      </c>
      <c r="B26" s="1369">
        <v>24</v>
      </c>
      <c r="C26" s="1368" t="s">
        <v>1765</v>
      </c>
      <c r="D26" s="1369">
        <v>59</v>
      </c>
      <c r="E26" s="1370">
        <v>3</v>
      </c>
      <c r="F26" s="1369">
        <v>4</v>
      </c>
      <c r="G26" s="1370">
        <v>11.125</v>
      </c>
      <c r="R26" s="1370">
        <v>1</v>
      </c>
      <c r="AB26" s="1371" t="s">
        <v>116</v>
      </c>
      <c r="AD26" s="1371">
        <v>-0.21097046413502099</v>
      </c>
      <c r="AE26" s="1371" t="s">
        <v>1779</v>
      </c>
      <c r="AF26" s="1371" t="s">
        <v>32</v>
      </c>
      <c r="AG26" s="1347">
        <v>1</v>
      </c>
      <c r="CA26" s="1350">
        <v>8</v>
      </c>
      <c r="CB26" s="1350" t="s">
        <v>155</v>
      </c>
      <c r="CC26" s="1350" t="s">
        <v>165</v>
      </c>
      <c r="CD26" s="1350" t="s">
        <v>145</v>
      </c>
      <c r="CE26" s="1350"/>
      <c r="CF26" s="1350">
        <v>250</v>
      </c>
      <c r="CG26" s="1350"/>
      <c r="CH26" s="1350"/>
      <c r="CI26" s="1350"/>
      <c r="CJ26" s="1350"/>
      <c r="CK26" s="1350"/>
      <c r="CL26" s="1350"/>
      <c r="CM26" s="1350"/>
      <c r="CN26" s="1350" t="s">
        <v>1632</v>
      </c>
      <c r="CO26" s="1350">
        <v>5</v>
      </c>
    </row>
    <row r="27" spans="1:130" x14ac:dyDescent="0.2">
      <c r="A27" s="1368" t="s">
        <v>1512</v>
      </c>
      <c r="B27" s="1369">
        <v>2</v>
      </c>
      <c r="C27" s="1368" t="s">
        <v>1765</v>
      </c>
      <c r="D27" s="1369">
        <v>59</v>
      </c>
      <c r="E27" s="1370">
        <v>3</v>
      </c>
      <c r="F27" s="1369">
        <v>4</v>
      </c>
      <c r="G27" s="1370">
        <v>11.125</v>
      </c>
      <c r="R27" s="1370">
        <v>1</v>
      </c>
      <c r="AB27" s="1371" t="s">
        <v>116</v>
      </c>
      <c r="AD27" s="1371">
        <v>-0.21097046413502099</v>
      </c>
      <c r="AE27" s="1371" t="s">
        <v>1780</v>
      </c>
      <c r="AF27" s="1371" t="s">
        <v>32</v>
      </c>
      <c r="AG27" s="1347">
        <v>1</v>
      </c>
      <c r="CA27" s="1350"/>
      <c r="CB27" s="1350" t="s">
        <v>155</v>
      </c>
      <c r="CC27" s="1350" t="s">
        <v>165</v>
      </c>
      <c r="CD27" s="1350" t="s">
        <v>159</v>
      </c>
      <c r="CE27" s="1350"/>
      <c r="CF27" s="1350">
        <v>250</v>
      </c>
      <c r="CG27" s="1350"/>
      <c r="CH27" s="1350"/>
      <c r="CI27" s="1350"/>
      <c r="CJ27" s="1350"/>
      <c r="CK27" s="1350"/>
      <c r="CL27" s="1350"/>
      <c r="CM27" s="1350"/>
      <c r="CN27" s="1350"/>
      <c r="CO27" s="1350"/>
    </row>
    <row r="28" spans="1:130" x14ac:dyDescent="0.2">
      <c r="A28" s="1368" t="s">
        <v>1513</v>
      </c>
      <c r="B28" s="1369">
        <v>2</v>
      </c>
      <c r="C28" s="1368" t="s">
        <v>1765</v>
      </c>
      <c r="D28" s="1369">
        <v>59</v>
      </c>
      <c r="E28" s="1370">
        <v>3</v>
      </c>
      <c r="F28" s="1369">
        <v>5</v>
      </c>
      <c r="G28" s="1370">
        <v>11.125</v>
      </c>
      <c r="I28" s="1371" t="s">
        <v>1766</v>
      </c>
      <c r="J28" s="1370">
        <v>5</v>
      </c>
      <c r="N28" s="1369" t="s">
        <v>1766</v>
      </c>
      <c r="R28" s="1370">
        <v>12</v>
      </c>
      <c r="U28" s="1370" t="s">
        <v>1766</v>
      </c>
      <c r="AB28" s="1371" t="s">
        <v>116</v>
      </c>
      <c r="AD28" s="1371">
        <v>-0.21097046413502099</v>
      </c>
      <c r="AE28" s="1371" t="s">
        <v>1779</v>
      </c>
      <c r="AF28" s="1371" t="s">
        <v>32</v>
      </c>
      <c r="AG28" s="1347">
        <v>1</v>
      </c>
      <c r="CA28" s="1350"/>
      <c r="CB28" s="1350" t="s">
        <v>154</v>
      </c>
      <c r="CC28" s="1350" t="s">
        <v>165</v>
      </c>
      <c r="CD28" s="1350" t="s">
        <v>145</v>
      </c>
      <c r="CE28" s="1350"/>
      <c r="CF28" s="1350">
        <v>1500</v>
      </c>
      <c r="CG28" s="1350"/>
      <c r="CH28" s="1350"/>
      <c r="CI28" s="1350"/>
      <c r="CJ28" s="1350"/>
      <c r="CK28" s="1350"/>
      <c r="CL28" s="1350"/>
      <c r="CM28" s="1350"/>
      <c r="CN28" s="1350"/>
      <c r="CO28" s="1350"/>
    </row>
    <row r="29" spans="1:130" x14ac:dyDescent="0.2">
      <c r="A29" s="1368" t="s">
        <v>1514</v>
      </c>
      <c r="B29" s="1369">
        <v>3</v>
      </c>
      <c r="C29" s="1368" t="s">
        <v>1765</v>
      </c>
      <c r="D29" s="1369">
        <v>59</v>
      </c>
      <c r="E29" s="1370">
        <v>3</v>
      </c>
      <c r="F29" s="1369">
        <v>4</v>
      </c>
      <c r="G29" s="1370">
        <v>11.125</v>
      </c>
      <c r="R29" s="1370">
        <v>1</v>
      </c>
      <c r="AB29" s="1371" t="s">
        <v>116</v>
      </c>
      <c r="AD29" s="1371">
        <v>-0.21097046413502099</v>
      </c>
      <c r="AE29" s="1371" t="s">
        <v>1781</v>
      </c>
      <c r="AF29" s="1371" t="s">
        <v>32</v>
      </c>
      <c r="AG29" s="1347">
        <v>1</v>
      </c>
      <c r="CA29" s="1350"/>
      <c r="CB29" s="1350" t="s">
        <v>157</v>
      </c>
      <c r="CC29" s="1350" t="s">
        <v>167</v>
      </c>
      <c r="CD29" s="1350" t="s">
        <v>145</v>
      </c>
      <c r="CE29" s="1350"/>
      <c r="CF29" s="1350">
        <v>55000</v>
      </c>
      <c r="CG29" s="1350"/>
      <c r="CH29" s="1350"/>
      <c r="CI29" s="1350"/>
      <c r="CJ29" s="1350"/>
      <c r="CK29" s="1350"/>
      <c r="CL29" s="1350"/>
      <c r="CM29" s="1350"/>
      <c r="CN29" s="1350" t="s">
        <v>1633</v>
      </c>
      <c r="CO29" s="1350"/>
    </row>
    <row r="30" spans="1:130" x14ac:dyDescent="0.2">
      <c r="A30" s="1368" t="s">
        <v>1515</v>
      </c>
      <c r="B30" s="1369">
        <v>1</v>
      </c>
      <c r="C30" s="1368" t="s">
        <v>1765</v>
      </c>
      <c r="D30" s="1369">
        <v>59</v>
      </c>
      <c r="E30" s="1370">
        <v>3</v>
      </c>
      <c r="F30" s="1369">
        <v>4</v>
      </c>
      <c r="G30" s="1370">
        <v>11.125</v>
      </c>
      <c r="I30" s="1371" t="s">
        <v>1766</v>
      </c>
      <c r="J30" s="1370">
        <v>5</v>
      </c>
      <c r="R30" s="1370">
        <v>1</v>
      </c>
      <c r="U30" s="1370" t="s">
        <v>1766</v>
      </c>
      <c r="AB30" s="1371" t="s">
        <v>116</v>
      </c>
      <c r="AD30" s="1371">
        <v>-0.21097046413502099</v>
      </c>
      <c r="AE30" s="1371" t="s">
        <v>1781</v>
      </c>
      <c r="AF30" s="1371" t="s">
        <v>32</v>
      </c>
      <c r="AG30" s="1347">
        <v>1</v>
      </c>
      <c r="CA30" s="1350"/>
      <c r="CB30" s="1350" t="s">
        <v>157</v>
      </c>
      <c r="CC30" s="1350" t="s">
        <v>142</v>
      </c>
      <c r="CD30" s="1350" t="s">
        <v>145</v>
      </c>
      <c r="CE30" s="1350"/>
      <c r="CF30" s="1350">
        <v>55000</v>
      </c>
      <c r="CG30" s="1350"/>
      <c r="CH30" s="1350"/>
      <c r="CI30" s="1350"/>
      <c r="CJ30" s="1350"/>
      <c r="CK30" s="1350"/>
      <c r="CL30" s="1350"/>
      <c r="CM30" s="1350" t="s">
        <v>1625</v>
      </c>
      <c r="CN30" s="1350"/>
      <c r="CO30" s="1350"/>
    </row>
    <row r="31" spans="1:130" x14ac:dyDescent="0.2">
      <c r="A31" s="1368" t="s">
        <v>1516</v>
      </c>
      <c r="B31" s="1369">
        <v>3</v>
      </c>
      <c r="C31" s="1368" t="s">
        <v>1765</v>
      </c>
      <c r="D31" s="1369">
        <v>59</v>
      </c>
      <c r="E31" s="1370">
        <v>3</v>
      </c>
      <c r="F31" s="1369">
        <v>4</v>
      </c>
      <c r="G31" s="1370">
        <v>11.125</v>
      </c>
      <c r="I31" s="1371" t="s">
        <v>1766</v>
      </c>
      <c r="J31" s="1370">
        <v>5</v>
      </c>
      <c r="R31" s="1370">
        <v>1</v>
      </c>
      <c r="U31" s="1370" t="s">
        <v>1766</v>
      </c>
      <c r="AB31" s="1371" t="s">
        <v>116</v>
      </c>
      <c r="AD31" s="1371">
        <v>-0.21097046413502099</v>
      </c>
      <c r="AE31" s="1371" t="s">
        <v>1779</v>
      </c>
      <c r="AF31" s="1371" t="s">
        <v>32</v>
      </c>
      <c r="AG31" s="1347">
        <v>1</v>
      </c>
      <c r="CA31" s="1350">
        <v>9</v>
      </c>
      <c r="CB31" s="1350" t="s">
        <v>155</v>
      </c>
      <c r="CC31" s="1350" t="s">
        <v>165</v>
      </c>
      <c r="CD31" s="1350" t="s">
        <v>145</v>
      </c>
      <c r="CE31" s="1350"/>
      <c r="CF31" s="1350">
        <v>250</v>
      </c>
      <c r="CG31" s="1350"/>
      <c r="CH31" s="1350"/>
      <c r="CI31" s="1350"/>
      <c r="CJ31" s="1350"/>
      <c r="CK31" s="1350"/>
      <c r="CL31" s="1350"/>
      <c r="CM31" s="1350"/>
      <c r="CN31" s="1350" t="s">
        <v>1632</v>
      </c>
      <c r="CO31" s="1350">
        <v>5</v>
      </c>
    </row>
    <row r="32" spans="1:130" x14ac:dyDescent="0.2">
      <c r="A32" s="1368" t="s">
        <v>1517</v>
      </c>
      <c r="B32" s="1369">
        <v>1</v>
      </c>
      <c r="C32" s="1368" t="s">
        <v>1765</v>
      </c>
      <c r="D32" s="1369">
        <v>59</v>
      </c>
      <c r="E32" s="1370">
        <v>3</v>
      </c>
      <c r="F32" s="1369">
        <v>4</v>
      </c>
      <c r="G32" s="1370">
        <v>11.125</v>
      </c>
      <c r="R32" s="1370">
        <v>1</v>
      </c>
      <c r="AB32" s="1371" t="s">
        <v>116</v>
      </c>
      <c r="AD32" s="1371">
        <v>-0.21097046413502099</v>
      </c>
      <c r="AE32" s="1371" t="s">
        <v>1782</v>
      </c>
      <c r="AF32" s="1371" t="s">
        <v>32</v>
      </c>
      <c r="AG32" s="1347">
        <v>1</v>
      </c>
      <c r="CA32" s="1350"/>
      <c r="CB32" s="1350" t="s">
        <v>155</v>
      </c>
      <c r="CC32" s="1350" t="s">
        <v>165</v>
      </c>
      <c r="CD32" s="1350" t="s">
        <v>159</v>
      </c>
      <c r="CE32" s="1350"/>
      <c r="CF32" s="1350">
        <v>250</v>
      </c>
      <c r="CG32" s="1350"/>
      <c r="CH32" s="1350"/>
      <c r="CI32" s="1350"/>
      <c r="CJ32" s="1350"/>
      <c r="CK32" s="1350"/>
      <c r="CL32" s="1350"/>
      <c r="CM32" s="1350"/>
      <c r="CN32" s="1350"/>
      <c r="CO32" s="1350"/>
    </row>
    <row r="33" spans="1:93" x14ac:dyDescent="0.2">
      <c r="A33" s="1368" t="s">
        <v>1518</v>
      </c>
      <c r="B33" s="1369">
        <v>1</v>
      </c>
      <c r="C33" s="1368" t="s">
        <v>1765</v>
      </c>
      <c r="D33" s="1369">
        <v>59</v>
      </c>
      <c r="E33" s="1370">
        <v>3</v>
      </c>
      <c r="F33" s="1369">
        <v>5</v>
      </c>
      <c r="G33" s="1370">
        <v>11.125</v>
      </c>
      <c r="I33" s="1371" t="s">
        <v>1766</v>
      </c>
      <c r="J33" s="1370">
        <v>5</v>
      </c>
      <c r="N33" s="1369" t="s">
        <v>1766</v>
      </c>
      <c r="R33" s="1370">
        <v>12</v>
      </c>
      <c r="U33" s="1370" t="s">
        <v>1766</v>
      </c>
      <c r="AB33" s="1371" t="s">
        <v>116</v>
      </c>
      <c r="AD33" s="1371">
        <v>-0.21097046413502099</v>
      </c>
      <c r="AE33" s="1371" t="s">
        <v>1782</v>
      </c>
      <c r="AF33" s="1371" t="s">
        <v>32</v>
      </c>
      <c r="AG33" s="1347">
        <v>1</v>
      </c>
      <c r="CA33" s="1350"/>
      <c r="CB33" s="1350" t="s">
        <v>154</v>
      </c>
      <c r="CC33" s="1350" t="s">
        <v>165</v>
      </c>
      <c r="CD33" s="1350" t="s">
        <v>145</v>
      </c>
      <c r="CE33" s="1350"/>
      <c r="CF33" s="1350">
        <v>1500</v>
      </c>
      <c r="CG33" s="1350"/>
      <c r="CH33" s="1350"/>
      <c r="CI33" s="1350"/>
      <c r="CJ33" s="1350"/>
      <c r="CK33" s="1350"/>
      <c r="CL33" s="1350"/>
      <c r="CM33" s="1350"/>
      <c r="CN33" s="1350"/>
      <c r="CO33" s="1350"/>
    </row>
    <row r="34" spans="1:93" x14ac:dyDescent="0.2">
      <c r="A34" s="1368" t="s">
        <v>1519</v>
      </c>
      <c r="B34" s="1369">
        <v>1</v>
      </c>
      <c r="C34" s="1368" t="s">
        <v>1765</v>
      </c>
      <c r="D34" s="1369">
        <v>59</v>
      </c>
      <c r="E34" s="1370">
        <v>3</v>
      </c>
      <c r="F34" s="1369">
        <v>4</v>
      </c>
      <c r="G34" s="1370">
        <v>11.125</v>
      </c>
      <c r="I34" s="1371" t="s">
        <v>1766</v>
      </c>
      <c r="J34" s="1370">
        <v>5</v>
      </c>
      <c r="R34" s="1370">
        <v>1</v>
      </c>
      <c r="U34" s="1370" t="s">
        <v>1766</v>
      </c>
      <c r="AB34" s="1371" t="s">
        <v>116</v>
      </c>
      <c r="AD34" s="1371">
        <v>-0.21097046413502099</v>
      </c>
      <c r="AE34" s="1371" t="s">
        <v>1778</v>
      </c>
      <c r="AF34" s="1371" t="s">
        <v>32</v>
      </c>
      <c r="AG34" s="1347">
        <v>1</v>
      </c>
      <c r="CA34" s="1350"/>
      <c r="CB34" s="1350" t="s">
        <v>157</v>
      </c>
      <c r="CC34" s="1350" t="s">
        <v>167</v>
      </c>
      <c r="CD34" s="1350" t="s">
        <v>145</v>
      </c>
      <c r="CE34" s="1350"/>
      <c r="CF34" s="1350">
        <v>80000</v>
      </c>
      <c r="CG34" s="1350"/>
      <c r="CH34" s="1350"/>
      <c r="CI34" s="1350"/>
      <c r="CJ34" s="1350"/>
      <c r="CK34" s="1350"/>
      <c r="CL34" s="1350"/>
      <c r="CM34" s="1350"/>
      <c r="CN34" s="1350" t="s">
        <v>1633</v>
      </c>
      <c r="CO34" s="1350"/>
    </row>
    <row r="35" spans="1:93" x14ac:dyDescent="0.2">
      <c r="A35" s="1368" t="s">
        <v>1520</v>
      </c>
      <c r="B35" s="1369">
        <v>1</v>
      </c>
      <c r="C35" s="1368" t="s">
        <v>1765</v>
      </c>
      <c r="D35" s="1369">
        <v>59</v>
      </c>
      <c r="E35" s="1370">
        <v>3</v>
      </c>
      <c r="F35" s="1369">
        <v>5</v>
      </c>
      <c r="G35" s="1370">
        <v>11.125</v>
      </c>
      <c r="I35" s="1371" t="s">
        <v>1766</v>
      </c>
      <c r="J35" s="1370">
        <v>5</v>
      </c>
      <c r="N35" s="1369" t="s">
        <v>1766</v>
      </c>
      <c r="R35" s="1370">
        <v>12</v>
      </c>
      <c r="U35" s="1370" t="s">
        <v>1766</v>
      </c>
      <c r="AB35" s="1371" t="s">
        <v>116</v>
      </c>
      <c r="AD35" s="1371">
        <v>-0.21097046413502099</v>
      </c>
      <c r="AE35" s="1371" t="s">
        <v>1776</v>
      </c>
      <c r="AF35" s="1371" t="s">
        <v>32</v>
      </c>
      <c r="AG35" s="1347">
        <v>1</v>
      </c>
      <c r="CA35" s="1350"/>
      <c r="CB35" s="1350" t="s">
        <v>157</v>
      </c>
      <c r="CC35" s="1350" t="s">
        <v>142</v>
      </c>
      <c r="CD35" s="1350" t="s">
        <v>145</v>
      </c>
      <c r="CE35" s="1350"/>
      <c r="CF35" s="1350">
        <v>80000</v>
      </c>
      <c r="CG35" s="1350"/>
      <c r="CH35" s="1350"/>
      <c r="CI35" s="1350"/>
      <c r="CJ35" s="1350"/>
      <c r="CK35" s="1350"/>
      <c r="CL35" s="1350"/>
      <c r="CM35" s="1350" t="s">
        <v>1625</v>
      </c>
      <c r="CN35" s="1350"/>
      <c r="CO35" s="1350"/>
    </row>
    <row r="36" spans="1:93" x14ac:dyDescent="0.2">
      <c r="A36" s="1368" t="s">
        <v>1521</v>
      </c>
      <c r="B36" s="1369">
        <v>1</v>
      </c>
      <c r="C36" s="1368" t="s">
        <v>1765</v>
      </c>
      <c r="D36" s="1369">
        <v>59</v>
      </c>
      <c r="E36" s="1370">
        <v>3</v>
      </c>
      <c r="F36" s="1369">
        <v>4</v>
      </c>
      <c r="G36" s="1370">
        <v>11.125</v>
      </c>
      <c r="I36" s="1371" t="s">
        <v>1766</v>
      </c>
      <c r="J36" s="1370">
        <v>5</v>
      </c>
      <c r="R36" s="1370">
        <v>1</v>
      </c>
      <c r="U36" s="1370" t="s">
        <v>1766</v>
      </c>
      <c r="AB36" s="1371" t="s">
        <v>116</v>
      </c>
      <c r="AD36" s="1371">
        <v>-0.21097046413502099</v>
      </c>
      <c r="AE36" s="1371" t="s">
        <v>1774</v>
      </c>
      <c r="AF36" s="1371" t="s">
        <v>32</v>
      </c>
      <c r="AG36" s="1347">
        <v>1</v>
      </c>
      <c r="CA36" s="1350">
        <v>10</v>
      </c>
      <c r="CB36" s="1350" t="s">
        <v>155</v>
      </c>
      <c r="CC36" s="1350" t="s">
        <v>165</v>
      </c>
      <c r="CD36" s="1350" t="s">
        <v>145</v>
      </c>
      <c r="CE36" s="1350"/>
      <c r="CF36" s="1350">
        <v>250</v>
      </c>
      <c r="CG36" s="1350"/>
      <c r="CH36" s="1350"/>
      <c r="CI36" s="1350"/>
      <c r="CJ36" s="1350"/>
      <c r="CK36" s="1350"/>
      <c r="CL36" s="1350"/>
      <c r="CM36" s="1350"/>
      <c r="CN36" s="1350" t="s">
        <v>1632</v>
      </c>
      <c r="CO36" s="1350">
        <v>2</v>
      </c>
    </row>
    <row r="37" spans="1:93" x14ac:dyDescent="0.2">
      <c r="A37" s="1368" t="s">
        <v>1522</v>
      </c>
      <c r="B37" s="1369">
        <v>1</v>
      </c>
      <c r="C37" s="1368" t="s">
        <v>1765</v>
      </c>
      <c r="D37" s="1369">
        <v>59</v>
      </c>
      <c r="E37" s="1370">
        <v>3</v>
      </c>
      <c r="F37" s="1369">
        <v>5</v>
      </c>
      <c r="G37" s="1370">
        <v>11.125</v>
      </c>
      <c r="I37" s="1371" t="s">
        <v>1766</v>
      </c>
      <c r="J37" s="1370">
        <v>5</v>
      </c>
      <c r="N37" s="1369" t="s">
        <v>1766</v>
      </c>
      <c r="R37" s="1370">
        <v>12</v>
      </c>
      <c r="U37" s="1370" t="s">
        <v>1766</v>
      </c>
      <c r="AB37" s="1371" t="s">
        <v>116</v>
      </c>
      <c r="AD37" s="1371">
        <v>-0.21097046413502099</v>
      </c>
      <c r="AE37" s="1371" t="s">
        <v>1392</v>
      </c>
      <c r="AF37" s="1371" t="s">
        <v>32</v>
      </c>
      <c r="AG37" s="1347">
        <v>1</v>
      </c>
      <c r="CA37" s="1350"/>
      <c r="CB37" s="1350" t="s">
        <v>157</v>
      </c>
      <c r="CC37" s="1350" t="s">
        <v>142</v>
      </c>
      <c r="CD37" s="1350" t="s">
        <v>145</v>
      </c>
      <c r="CE37" s="1350"/>
      <c r="CF37" s="1350">
        <v>95000</v>
      </c>
      <c r="CG37" s="1350"/>
      <c r="CH37" s="1350"/>
      <c r="CI37" s="1350"/>
      <c r="CJ37" s="1350"/>
      <c r="CK37" s="1350"/>
      <c r="CL37" s="1350"/>
      <c r="CM37" s="1350" t="s">
        <v>1625</v>
      </c>
      <c r="CN37" s="1350"/>
      <c r="CO37" s="1350"/>
    </row>
    <row r="38" spans="1:93" x14ac:dyDescent="0.2">
      <c r="A38" s="1368" t="s">
        <v>1523</v>
      </c>
      <c r="B38" s="1369">
        <v>1</v>
      </c>
      <c r="C38" s="1368" t="s">
        <v>1765</v>
      </c>
      <c r="D38" s="1369">
        <v>59</v>
      </c>
      <c r="E38" s="1370">
        <v>3</v>
      </c>
      <c r="F38" s="1369">
        <v>4</v>
      </c>
      <c r="G38" s="1370">
        <v>11.125</v>
      </c>
      <c r="R38" s="1370">
        <v>1</v>
      </c>
      <c r="AB38" s="1371" t="s">
        <v>116</v>
      </c>
      <c r="AD38" s="1371">
        <v>-0.21097046413502099</v>
      </c>
      <c r="AE38" s="1371" t="s">
        <v>1674</v>
      </c>
      <c r="AF38" s="1371" t="s">
        <v>32</v>
      </c>
      <c r="AG38" s="1347">
        <v>1</v>
      </c>
      <c r="CA38" s="1350">
        <v>11</v>
      </c>
      <c r="CB38" s="1350" t="s">
        <v>155</v>
      </c>
      <c r="CC38" s="1350" t="s">
        <v>165</v>
      </c>
      <c r="CD38" s="1350" t="s">
        <v>145</v>
      </c>
      <c r="CE38" s="1350"/>
      <c r="CF38" s="1350">
        <v>250</v>
      </c>
      <c r="CG38" s="1350"/>
      <c r="CH38" s="1350"/>
      <c r="CI38" s="1350"/>
      <c r="CJ38" s="1350"/>
      <c r="CK38" s="1350"/>
      <c r="CL38" s="1350"/>
      <c r="CM38" s="1350"/>
      <c r="CN38" s="1350" t="s">
        <v>1632</v>
      </c>
      <c r="CO38" s="1350">
        <v>5</v>
      </c>
    </row>
    <row r="39" spans="1:93" x14ac:dyDescent="0.2">
      <c r="A39" s="1368" t="s">
        <v>1524</v>
      </c>
      <c r="B39" s="1369">
        <v>2</v>
      </c>
      <c r="C39" s="1368" t="s">
        <v>1765</v>
      </c>
      <c r="D39" s="1369">
        <v>59</v>
      </c>
      <c r="E39" s="1370">
        <v>3</v>
      </c>
      <c r="F39" s="1369">
        <v>4</v>
      </c>
      <c r="G39" s="1370">
        <v>11.125</v>
      </c>
      <c r="R39" s="1370">
        <v>1</v>
      </c>
      <c r="AB39" s="1371" t="s">
        <v>116</v>
      </c>
      <c r="AD39" s="1371">
        <v>-0.21097046413502099</v>
      </c>
      <c r="AE39" s="1371" t="s">
        <v>1768</v>
      </c>
      <c r="AF39" s="1371" t="s">
        <v>32</v>
      </c>
      <c r="AG39" s="1347">
        <v>1</v>
      </c>
      <c r="CA39" s="1350"/>
      <c r="CB39" s="1350" t="s">
        <v>155</v>
      </c>
      <c r="CC39" s="1350" t="s">
        <v>165</v>
      </c>
      <c r="CD39" s="1350" t="s">
        <v>159</v>
      </c>
      <c r="CE39" s="1350"/>
      <c r="CF39" s="1350">
        <v>250</v>
      </c>
      <c r="CG39" s="1350"/>
      <c r="CH39" s="1350"/>
      <c r="CI39" s="1350"/>
      <c r="CJ39" s="1350"/>
      <c r="CK39" s="1350"/>
      <c r="CL39" s="1350"/>
      <c r="CM39" s="1350"/>
      <c r="CN39" s="1350"/>
      <c r="CO39" s="1350"/>
    </row>
    <row r="40" spans="1:93" x14ac:dyDescent="0.2">
      <c r="A40" s="1368" t="s">
        <v>1525</v>
      </c>
      <c r="B40" s="1369">
        <v>1</v>
      </c>
      <c r="C40" s="1368" t="s">
        <v>1783</v>
      </c>
      <c r="D40" s="1369">
        <v>14</v>
      </c>
      <c r="E40" s="1370">
        <v>4.125</v>
      </c>
      <c r="F40" s="1369">
        <v>8</v>
      </c>
      <c r="G40" s="1370">
        <v>11.125</v>
      </c>
      <c r="R40" s="1370">
        <v>10</v>
      </c>
      <c r="X40" s="1371">
        <v>44</v>
      </c>
      <c r="AB40" s="1371" t="s">
        <v>116</v>
      </c>
      <c r="AD40" s="1371">
        <v>0.386455334009497</v>
      </c>
      <c r="AE40" s="1371" t="s">
        <v>1784</v>
      </c>
      <c r="AF40" s="1371" t="s">
        <v>1785</v>
      </c>
      <c r="AG40" s="1347">
        <v>1</v>
      </c>
      <c r="CA40" s="1350"/>
      <c r="CB40" s="1350" t="s">
        <v>154</v>
      </c>
      <c r="CC40" s="1350" t="s">
        <v>165</v>
      </c>
      <c r="CD40" s="1350" t="s">
        <v>145</v>
      </c>
      <c r="CE40" s="1350"/>
      <c r="CF40" s="1350">
        <v>1500</v>
      </c>
      <c r="CG40" s="1350"/>
      <c r="CH40" s="1350"/>
      <c r="CI40" s="1350"/>
      <c r="CJ40" s="1350"/>
      <c r="CK40" s="1350"/>
      <c r="CL40" s="1350"/>
      <c r="CM40" s="1350"/>
      <c r="CN40" s="1350"/>
      <c r="CO40" s="1350"/>
    </row>
    <row r="41" spans="1:93" x14ac:dyDescent="0.2">
      <c r="A41" s="1368" t="s">
        <v>1526</v>
      </c>
      <c r="B41" s="1369">
        <v>1</v>
      </c>
      <c r="C41" s="1368" t="s">
        <v>1786</v>
      </c>
      <c r="D41" s="1369">
        <v>22</v>
      </c>
      <c r="E41" s="1370">
        <v>0.5</v>
      </c>
      <c r="F41" s="1369">
        <v>8</v>
      </c>
      <c r="G41" s="1370">
        <v>11.125</v>
      </c>
      <c r="R41" s="1370">
        <v>10</v>
      </c>
      <c r="X41" s="1371">
        <v>44</v>
      </c>
      <c r="AB41" s="1371" t="s">
        <v>116</v>
      </c>
      <c r="AD41" s="1371">
        <v>0.38351776132361598</v>
      </c>
      <c r="AE41" s="1371" t="s">
        <v>1784</v>
      </c>
      <c r="AF41" s="1371" t="s">
        <v>1787</v>
      </c>
      <c r="AG41" s="1347">
        <v>1</v>
      </c>
      <c r="CA41" s="1350"/>
      <c r="CB41" s="1350" t="s">
        <v>157</v>
      </c>
      <c r="CC41" s="1350" t="s">
        <v>167</v>
      </c>
      <c r="CD41" s="1350" t="s">
        <v>145</v>
      </c>
      <c r="CE41" s="1350"/>
      <c r="CF41" s="1350">
        <v>60000</v>
      </c>
      <c r="CG41" s="1350"/>
      <c r="CH41" s="1350"/>
      <c r="CI41" s="1350"/>
      <c r="CJ41" s="1350"/>
      <c r="CK41" s="1350"/>
      <c r="CL41" s="1350"/>
      <c r="CM41" s="1350"/>
      <c r="CN41" s="1350" t="s">
        <v>1636</v>
      </c>
      <c r="CO41" s="1350"/>
    </row>
    <row r="42" spans="1:93" x14ac:dyDescent="0.2">
      <c r="A42" s="1368" t="s">
        <v>1527</v>
      </c>
      <c r="B42" s="1369">
        <v>1</v>
      </c>
      <c r="C42" s="1368" t="s">
        <v>1788</v>
      </c>
      <c r="D42" s="1369">
        <v>29</v>
      </c>
      <c r="E42" s="1370">
        <v>8.75</v>
      </c>
      <c r="F42" s="1369">
        <v>8</v>
      </c>
      <c r="G42" s="1370">
        <v>11.125</v>
      </c>
      <c r="R42" s="1370">
        <v>10</v>
      </c>
      <c r="X42" s="1371">
        <v>44</v>
      </c>
      <c r="AB42" s="1371" t="s">
        <v>116</v>
      </c>
      <c r="AD42" s="1371">
        <v>0.38210036960015797</v>
      </c>
      <c r="AE42" s="1371" t="s">
        <v>1789</v>
      </c>
      <c r="AF42" s="1371" t="s">
        <v>1790</v>
      </c>
      <c r="AG42" s="1347">
        <v>1</v>
      </c>
      <c r="CA42" s="1350"/>
      <c r="CB42" s="1350" t="s">
        <v>157</v>
      </c>
      <c r="CC42" s="1350" t="s">
        <v>142</v>
      </c>
      <c r="CD42" s="1350" t="s">
        <v>145</v>
      </c>
      <c r="CE42" s="1350"/>
      <c r="CF42" s="1350">
        <v>60000</v>
      </c>
      <c r="CG42" s="1350"/>
      <c r="CH42" s="1350"/>
      <c r="CI42" s="1350"/>
      <c r="CJ42" s="1350"/>
      <c r="CK42" s="1350"/>
      <c r="CL42" s="1350"/>
      <c r="CM42" s="1350" t="s">
        <v>1625</v>
      </c>
      <c r="CN42" s="1350"/>
      <c r="CO42" s="1350"/>
    </row>
    <row r="43" spans="1:93" x14ac:dyDescent="0.2">
      <c r="A43" s="1368" t="s">
        <v>1528</v>
      </c>
      <c r="B43" s="1369">
        <v>1</v>
      </c>
      <c r="C43" s="1368" t="s">
        <v>1791</v>
      </c>
      <c r="D43" s="1369">
        <v>37</v>
      </c>
      <c r="E43" s="1370">
        <v>5</v>
      </c>
      <c r="F43" s="1369">
        <v>8</v>
      </c>
      <c r="G43" s="1370">
        <v>11.125</v>
      </c>
      <c r="R43" s="1370">
        <v>13</v>
      </c>
      <c r="X43" s="1371">
        <v>44</v>
      </c>
      <c r="AB43" s="1371" t="s">
        <v>116</v>
      </c>
      <c r="AD43" s="1371">
        <v>0.381265706862497</v>
      </c>
      <c r="AE43" s="1371" t="s">
        <v>1789</v>
      </c>
      <c r="AF43" s="1371" t="s">
        <v>1792</v>
      </c>
      <c r="AG43" s="1347">
        <v>1</v>
      </c>
      <c r="CA43" s="34">
        <v>12</v>
      </c>
      <c r="CB43" s="34" t="s">
        <v>155</v>
      </c>
      <c r="CC43" s="34" t="s">
        <v>165</v>
      </c>
      <c r="CD43" s="34" t="s">
        <v>145</v>
      </c>
      <c r="CF43" s="34">
        <v>250</v>
      </c>
      <c r="CN43" s="34" t="s">
        <v>1632</v>
      </c>
      <c r="CO43" s="34">
        <v>5</v>
      </c>
    </row>
    <row r="44" spans="1:93" x14ac:dyDescent="0.2">
      <c r="A44" s="1368" t="s">
        <v>1529</v>
      </c>
      <c r="B44" s="1369">
        <v>1</v>
      </c>
      <c r="C44" s="1368" t="s">
        <v>1793</v>
      </c>
      <c r="D44" s="1369">
        <v>45</v>
      </c>
      <c r="E44" s="1370">
        <v>1.375</v>
      </c>
      <c r="F44" s="1369">
        <v>8</v>
      </c>
      <c r="G44" s="1370">
        <v>11.125</v>
      </c>
      <c r="I44" s="1371" t="s">
        <v>1766</v>
      </c>
      <c r="J44" s="1370">
        <v>5</v>
      </c>
      <c r="R44" s="1370">
        <v>10</v>
      </c>
      <c r="U44" s="1370" t="s">
        <v>1766</v>
      </c>
      <c r="X44" s="1371">
        <v>44</v>
      </c>
      <c r="AB44" s="1371" t="s">
        <v>116</v>
      </c>
      <c r="AD44" s="1371">
        <v>0.38071568171849302</v>
      </c>
      <c r="AE44" s="1371" t="s">
        <v>1794</v>
      </c>
      <c r="AF44" s="1371" t="s">
        <v>1795</v>
      </c>
      <c r="AG44" s="1347">
        <v>1</v>
      </c>
      <c r="CB44" s="34" t="s">
        <v>155</v>
      </c>
      <c r="CC44" s="34" t="s">
        <v>165</v>
      </c>
      <c r="CD44" s="34" t="s">
        <v>159</v>
      </c>
      <c r="CF44" s="34">
        <v>250</v>
      </c>
    </row>
    <row r="45" spans="1:93" x14ac:dyDescent="0.2">
      <c r="A45" s="1368" t="s">
        <v>1530</v>
      </c>
      <c r="B45" s="1369">
        <v>1</v>
      </c>
      <c r="C45" s="1368" t="s">
        <v>1796</v>
      </c>
      <c r="D45" s="1369">
        <v>50</v>
      </c>
      <c r="E45" s="1370">
        <v>0</v>
      </c>
      <c r="F45" s="1369">
        <v>8</v>
      </c>
      <c r="G45" s="1370">
        <v>11.125</v>
      </c>
      <c r="I45" s="1371" t="s">
        <v>1766</v>
      </c>
      <c r="J45" s="1370">
        <v>5</v>
      </c>
      <c r="R45" s="1370">
        <v>8</v>
      </c>
      <c r="S45" s="1370">
        <v>11.125</v>
      </c>
      <c r="U45" s="1370" t="s">
        <v>1766</v>
      </c>
      <c r="V45" s="1370">
        <v>5</v>
      </c>
      <c r="AB45" s="1371" t="s">
        <v>116</v>
      </c>
      <c r="AD45" s="1371">
        <v>0.38</v>
      </c>
      <c r="AE45" s="1371" t="s">
        <v>1797</v>
      </c>
      <c r="AF45" s="1371" t="s">
        <v>1683</v>
      </c>
      <c r="AG45" s="1347">
        <v>1</v>
      </c>
      <c r="CB45" s="34" t="s">
        <v>154</v>
      </c>
      <c r="CC45" s="34" t="s">
        <v>165</v>
      </c>
      <c r="CD45" s="34" t="s">
        <v>145</v>
      </c>
      <c r="CF45" s="34">
        <v>1500</v>
      </c>
    </row>
    <row r="46" spans="1:93" x14ac:dyDescent="0.2">
      <c r="A46" s="1368" t="s">
        <v>1531</v>
      </c>
      <c r="B46" s="1369">
        <v>3</v>
      </c>
      <c r="C46" s="1368" t="s">
        <v>1796</v>
      </c>
      <c r="D46" s="1369">
        <v>50</v>
      </c>
      <c r="E46" s="1370">
        <v>0</v>
      </c>
      <c r="F46" s="1369">
        <v>8</v>
      </c>
      <c r="G46" s="1370">
        <v>11.125</v>
      </c>
      <c r="R46" s="1370">
        <v>8</v>
      </c>
      <c r="S46" s="1370">
        <v>11.125</v>
      </c>
      <c r="AB46" s="1371" t="s">
        <v>116</v>
      </c>
      <c r="AD46" s="1371">
        <v>0.38</v>
      </c>
      <c r="AE46" s="1371" t="s">
        <v>1797</v>
      </c>
      <c r="AF46" s="1371" t="s">
        <v>1683</v>
      </c>
      <c r="AG46" s="1347">
        <v>1</v>
      </c>
      <c r="CB46" s="34" t="s">
        <v>157</v>
      </c>
      <c r="CC46" s="34" t="s">
        <v>167</v>
      </c>
      <c r="CD46" s="34" t="s">
        <v>145</v>
      </c>
      <c r="CF46" s="34">
        <v>65000</v>
      </c>
      <c r="CN46" s="34" t="s">
        <v>1636</v>
      </c>
    </row>
    <row r="47" spans="1:93" x14ac:dyDescent="0.2">
      <c r="A47" s="1368" t="s">
        <v>1532</v>
      </c>
      <c r="B47" s="1369">
        <v>159</v>
      </c>
      <c r="C47" s="1368" t="s">
        <v>1796</v>
      </c>
      <c r="D47" s="1369">
        <v>50</v>
      </c>
      <c r="E47" s="1370">
        <v>0</v>
      </c>
      <c r="F47" s="1369">
        <v>8</v>
      </c>
      <c r="G47" s="1370">
        <v>11.125</v>
      </c>
      <c r="R47" s="1370">
        <v>8</v>
      </c>
      <c r="S47" s="1370">
        <v>11.125</v>
      </c>
      <c r="AB47" s="1371" t="s">
        <v>116</v>
      </c>
      <c r="AD47" s="1371">
        <v>0.38</v>
      </c>
      <c r="AE47" s="1371" t="s">
        <v>1392</v>
      </c>
      <c r="AF47" s="1371" t="s">
        <v>1683</v>
      </c>
      <c r="AG47" s="1347">
        <v>1</v>
      </c>
      <c r="CB47" s="34" t="s">
        <v>157</v>
      </c>
      <c r="CC47" s="34" t="s">
        <v>142</v>
      </c>
      <c r="CD47" s="34" t="s">
        <v>145</v>
      </c>
      <c r="CF47" s="34">
        <v>65000</v>
      </c>
      <c r="CM47" s="34" t="s">
        <v>1625</v>
      </c>
    </row>
    <row r="48" spans="1:93" x14ac:dyDescent="0.2">
      <c r="A48" s="1368" t="s">
        <v>1533</v>
      </c>
      <c r="B48" s="1369">
        <v>3</v>
      </c>
      <c r="C48" s="1368" t="s">
        <v>1796</v>
      </c>
      <c r="D48" s="1369">
        <v>50</v>
      </c>
      <c r="E48" s="1370">
        <v>0</v>
      </c>
      <c r="F48" s="1369">
        <v>8</v>
      </c>
      <c r="G48" s="1370">
        <v>11.125</v>
      </c>
      <c r="R48" s="1370">
        <v>8</v>
      </c>
      <c r="S48" s="1370">
        <v>11.125</v>
      </c>
      <c r="AB48" s="1371" t="s">
        <v>116</v>
      </c>
      <c r="AD48" s="1371">
        <v>0.38</v>
      </c>
      <c r="AE48" s="1371" t="s">
        <v>1798</v>
      </c>
      <c r="AF48" s="1371" t="s">
        <v>1683</v>
      </c>
      <c r="AG48" s="1347">
        <v>1</v>
      </c>
      <c r="CA48" s="34">
        <v>13</v>
      </c>
      <c r="CB48" s="34" t="s">
        <v>155</v>
      </c>
      <c r="CC48" s="34" t="s">
        <v>165</v>
      </c>
      <c r="CD48" s="34" t="s">
        <v>145</v>
      </c>
      <c r="CF48" s="34">
        <v>250</v>
      </c>
      <c r="CN48" s="34" t="s">
        <v>1632</v>
      </c>
      <c r="CO48" s="34">
        <v>5</v>
      </c>
    </row>
    <row r="49" spans="1:93" x14ac:dyDescent="0.2">
      <c r="A49" s="1368" t="s">
        <v>1534</v>
      </c>
      <c r="B49" s="1369">
        <v>30</v>
      </c>
      <c r="C49" s="1368" t="s">
        <v>1796</v>
      </c>
      <c r="D49" s="1369">
        <v>50</v>
      </c>
      <c r="E49" s="1370">
        <v>0</v>
      </c>
      <c r="F49" s="1369">
        <v>8</v>
      </c>
      <c r="G49" s="1370">
        <v>11.125</v>
      </c>
      <c r="I49" s="1371" t="s">
        <v>1766</v>
      </c>
      <c r="J49" s="1370">
        <v>5</v>
      </c>
      <c r="R49" s="1370">
        <v>8</v>
      </c>
      <c r="S49" s="1370">
        <v>11.125</v>
      </c>
      <c r="U49" s="1370" t="s">
        <v>1766</v>
      </c>
      <c r="V49" s="1370">
        <v>5</v>
      </c>
      <c r="AB49" s="1371" t="s">
        <v>116</v>
      </c>
      <c r="AD49" s="1371">
        <v>0.38</v>
      </c>
      <c r="AE49" s="1371" t="s">
        <v>1392</v>
      </c>
      <c r="AF49" s="1371" t="s">
        <v>1683</v>
      </c>
      <c r="AG49" s="1347">
        <v>1</v>
      </c>
      <c r="CB49" s="34" t="s">
        <v>155</v>
      </c>
      <c r="CC49" s="34" t="s">
        <v>165</v>
      </c>
      <c r="CD49" s="34" t="s">
        <v>159</v>
      </c>
      <c r="CF49" s="34">
        <v>250</v>
      </c>
    </row>
    <row r="50" spans="1:93" x14ac:dyDescent="0.2">
      <c r="A50" s="1368" t="s">
        <v>1535</v>
      </c>
      <c r="B50" s="1369">
        <v>20</v>
      </c>
      <c r="C50" s="1368" t="s">
        <v>1796</v>
      </c>
      <c r="D50" s="1369">
        <v>50</v>
      </c>
      <c r="E50" s="1370">
        <v>0</v>
      </c>
      <c r="F50" s="1369">
        <v>8</v>
      </c>
      <c r="G50" s="1370">
        <v>11.125</v>
      </c>
      <c r="R50" s="1370">
        <v>8</v>
      </c>
      <c r="S50" s="1370">
        <v>11.125</v>
      </c>
      <c r="AB50" s="1371" t="s">
        <v>116</v>
      </c>
      <c r="AD50" s="1371">
        <v>0.38</v>
      </c>
      <c r="AE50" s="1371" t="s">
        <v>1769</v>
      </c>
      <c r="AF50" s="1371" t="s">
        <v>1683</v>
      </c>
      <c r="AG50" s="1347">
        <v>1</v>
      </c>
      <c r="CB50" s="34" t="s">
        <v>154</v>
      </c>
      <c r="CC50" s="34" t="s">
        <v>165</v>
      </c>
      <c r="CD50" s="34" t="s">
        <v>145</v>
      </c>
      <c r="CF50" s="34">
        <v>1500</v>
      </c>
    </row>
    <row r="51" spans="1:93" x14ac:dyDescent="0.2">
      <c r="A51" s="1368" t="s">
        <v>1536</v>
      </c>
      <c r="B51" s="1369">
        <v>16</v>
      </c>
      <c r="C51" s="1368" t="s">
        <v>1796</v>
      </c>
      <c r="D51" s="1369">
        <v>50</v>
      </c>
      <c r="E51" s="1370">
        <v>0</v>
      </c>
      <c r="F51" s="1369">
        <v>9</v>
      </c>
      <c r="G51" s="1370">
        <v>11.125</v>
      </c>
      <c r="I51" s="1371" t="s">
        <v>1766</v>
      </c>
      <c r="J51" s="1370">
        <v>5</v>
      </c>
      <c r="N51" s="1369" t="s">
        <v>1766</v>
      </c>
      <c r="R51" s="1370">
        <v>9</v>
      </c>
      <c r="S51" s="1370">
        <v>11.125</v>
      </c>
      <c r="U51" s="1370" t="s">
        <v>1766</v>
      </c>
      <c r="V51" s="1370">
        <v>5</v>
      </c>
      <c r="Z51" s="1371" t="s">
        <v>1766</v>
      </c>
      <c r="AB51" s="1371" t="s">
        <v>116</v>
      </c>
      <c r="AD51" s="1371">
        <v>0.38</v>
      </c>
      <c r="AE51" s="1371" t="s">
        <v>1392</v>
      </c>
      <c r="AF51" s="1371" t="s">
        <v>1683</v>
      </c>
      <c r="AG51" s="1347">
        <v>1</v>
      </c>
      <c r="CB51" s="34" t="s">
        <v>157</v>
      </c>
      <c r="CC51" s="34" t="s">
        <v>167</v>
      </c>
      <c r="CD51" s="34" t="s">
        <v>145</v>
      </c>
      <c r="CF51" s="34">
        <v>90000</v>
      </c>
      <c r="CN51" s="34" t="s">
        <v>1636</v>
      </c>
    </row>
    <row r="52" spans="1:93" x14ac:dyDescent="0.2">
      <c r="A52" s="1368" t="s">
        <v>1537</v>
      </c>
      <c r="B52" s="1369">
        <v>16</v>
      </c>
      <c r="C52" s="1368" t="s">
        <v>1796</v>
      </c>
      <c r="D52" s="1369">
        <v>50</v>
      </c>
      <c r="E52" s="1370">
        <v>0</v>
      </c>
      <c r="F52" s="1369">
        <v>8</v>
      </c>
      <c r="G52" s="1370">
        <v>11.125</v>
      </c>
      <c r="R52" s="1370">
        <v>8</v>
      </c>
      <c r="S52" s="1370">
        <v>11.125</v>
      </c>
      <c r="AB52" s="1371" t="s">
        <v>116</v>
      </c>
      <c r="AD52" s="1371">
        <v>0.38</v>
      </c>
      <c r="AE52" s="1371" t="s">
        <v>1768</v>
      </c>
      <c r="AF52" s="1371" t="s">
        <v>1683</v>
      </c>
      <c r="AG52" s="1347">
        <v>1</v>
      </c>
      <c r="CB52" s="34" t="s">
        <v>157</v>
      </c>
      <c r="CC52" s="34" t="s">
        <v>142</v>
      </c>
      <c r="CD52" s="34" t="s">
        <v>145</v>
      </c>
      <c r="CF52" s="34">
        <v>90000</v>
      </c>
      <c r="CM52" s="34" t="s">
        <v>1625</v>
      </c>
    </row>
    <row r="53" spans="1:93" x14ac:dyDescent="0.2">
      <c r="A53" s="1368" t="s">
        <v>1538</v>
      </c>
      <c r="B53" s="1369">
        <v>2</v>
      </c>
      <c r="C53" s="1368" t="s">
        <v>1796</v>
      </c>
      <c r="D53" s="1369">
        <v>50</v>
      </c>
      <c r="E53" s="1370">
        <v>0</v>
      </c>
      <c r="F53" s="1369">
        <v>8</v>
      </c>
      <c r="G53" s="1370">
        <v>11.125</v>
      </c>
      <c r="I53" s="1371" t="s">
        <v>1766</v>
      </c>
      <c r="J53" s="1370">
        <v>5</v>
      </c>
      <c r="R53" s="1370">
        <v>8</v>
      </c>
      <c r="S53" s="1370">
        <v>11.125</v>
      </c>
      <c r="U53" s="1370" t="s">
        <v>1766</v>
      </c>
      <c r="V53" s="1370">
        <v>5</v>
      </c>
      <c r="AB53" s="1371" t="s">
        <v>116</v>
      </c>
      <c r="AD53" s="1371">
        <v>0.38</v>
      </c>
      <c r="AE53" s="1371" t="s">
        <v>1768</v>
      </c>
      <c r="AF53" s="1371" t="s">
        <v>1683</v>
      </c>
      <c r="AG53" s="1347">
        <v>1</v>
      </c>
      <c r="CA53" s="34">
        <v>14</v>
      </c>
      <c r="CB53" s="34" t="s">
        <v>155</v>
      </c>
      <c r="CC53" s="34" t="s">
        <v>165</v>
      </c>
      <c r="CD53" s="34" t="s">
        <v>145</v>
      </c>
      <c r="CF53" s="34">
        <v>250</v>
      </c>
      <c r="CN53" s="34" t="s">
        <v>1632</v>
      </c>
      <c r="CO53" s="34">
        <v>5</v>
      </c>
    </row>
    <row r="54" spans="1:93" x14ac:dyDescent="0.2">
      <c r="A54" s="1368" t="s">
        <v>1539</v>
      </c>
      <c r="B54" s="1369">
        <v>4</v>
      </c>
      <c r="C54" s="1368" t="s">
        <v>1796</v>
      </c>
      <c r="D54" s="1369">
        <v>50</v>
      </c>
      <c r="E54" s="1370">
        <v>0</v>
      </c>
      <c r="F54" s="1369">
        <v>8</v>
      </c>
      <c r="G54" s="1370">
        <v>11.125</v>
      </c>
      <c r="I54" s="1371" t="s">
        <v>1766</v>
      </c>
      <c r="J54" s="1370">
        <v>5</v>
      </c>
      <c r="R54" s="1370">
        <v>8</v>
      </c>
      <c r="S54" s="1370">
        <v>11.125</v>
      </c>
      <c r="U54" s="1370" t="s">
        <v>1766</v>
      </c>
      <c r="V54" s="1370">
        <v>5</v>
      </c>
      <c r="AB54" s="1371" t="s">
        <v>116</v>
      </c>
      <c r="AD54" s="1371">
        <v>0.38</v>
      </c>
      <c r="AE54" s="1371" t="s">
        <v>1769</v>
      </c>
      <c r="AF54" s="1371" t="s">
        <v>1683</v>
      </c>
      <c r="AG54" s="1347">
        <v>1</v>
      </c>
      <c r="CB54" s="34" t="s">
        <v>155</v>
      </c>
      <c r="CC54" s="34" t="s">
        <v>165</v>
      </c>
      <c r="CD54" s="34" t="s">
        <v>159</v>
      </c>
      <c r="CF54" s="34">
        <v>250</v>
      </c>
    </row>
    <row r="55" spans="1:93" x14ac:dyDescent="0.2">
      <c r="A55" s="1368" t="s">
        <v>1540</v>
      </c>
      <c r="B55" s="1369">
        <v>2</v>
      </c>
      <c r="C55" s="1368" t="s">
        <v>1796</v>
      </c>
      <c r="D55" s="1369">
        <v>50</v>
      </c>
      <c r="E55" s="1370">
        <v>0</v>
      </c>
      <c r="F55" s="1369">
        <v>9</v>
      </c>
      <c r="G55" s="1370">
        <v>11.125</v>
      </c>
      <c r="I55" s="1371" t="s">
        <v>1766</v>
      </c>
      <c r="J55" s="1370">
        <v>5</v>
      </c>
      <c r="N55" s="1369" t="s">
        <v>1766</v>
      </c>
      <c r="R55" s="1370">
        <v>9</v>
      </c>
      <c r="S55" s="1370">
        <v>11.125</v>
      </c>
      <c r="U55" s="1370" t="s">
        <v>1766</v>
      </c>
      <c r="V55" s="1370">
        <v>5</v>
      </c>
      <c r="Z55" s="1371" t="s">
        <v>1766</v>
      </c>
      <c r="AB55" s="1371" t="s">
        <v>116</v>
      </c>
      <c r="AD55" s="1371">
        <v>0.38</v>
      </c>
      <c r="AE55" s="1371" t="s">
        <v>1768</v>
      </c>
      <c r="AF55" s="1371" t="s">
        <v>1683</v>
      </c>
      <c r="AG55" s="1347">
        <v>1</v>
      </c>
      <c r="CB55" s="34" t="s">
        <v>154</v>
      </c>
      <c r="CC55" s="34" t="s">
        <v>165</v>
      </c>
      <c r="CD55" s="34" t="s">
        <v>145</v>
      </c>
      <c r="CF55" s="34">
        <v>1500</v>
      </c>
    </row>
    <row r="56" spans="1:93" x14ac:dyDescent="0.2">
      <c r="A56" s="1368" t="s">
        <v>1541</v>
      </c>
      <c r="B56" s="1369">
        <v>2</v>
      </c>
      <c r="C56" s="1368" t="s">
        <v>1796</v>
      </c>
      <c r="D56" s="1369">
        <v>50</v>
      </c>
      <c r="E56" s="1370">
        <v>0</v>
      </c>
      <c r="F56" s="1369">
        <v>8</v>
      </c>
      <c r="G56" s="1370">
        <v>11.125</v>
      </c>
      <c r="R56" s="1370">
        <v>8</v>
      </c>
      <c r="S56" s="1370">
        <v>11.125</v>
      </c>
      <c r="AB56" s="1371" t="s">
        <v>116</v>
      </c>
      <c r="AD56" s="1371">
        <v>0.38</v>
      </c>
      <c r="AE56" s="1371" t="s">
        <v>1674</v>
      </c>
      <c r="AF56" s="1371" t="s">
        <v>1683</v>
      </c>
      <c r="AG56" s="1347">
        <v>1</v>
      </c>
      <c r="CB56" s="34" t="s">
        <v>157</v>
      </c>
      <c r="CC56" s="34" t="s">
        <v>167</v>
      </c>
      <c r="CD56" s="34" t="s">
        <v>145</v>
      </c>
      <c r="CF56" s="34">
        <v>75000</v>
      </c>
      <c r="CN56" s="34" t="s">
        <v>1636</v>
      </c>
    </row>
    <row r="57" spans="1:93" x14ac:dyDescent="0.2">
      <c r="A57" s="1368" t="s">
        <v>1542</v>
      </c>
      <c r="B57" s="1369">
        <v>1</v>
      </c>
      <c r="C57" s="1368" t="s">
        <v>1799</v>
      </c>
      <c r="D57" s="1369">
        <v>10</v>
      </c>
      <c r="E57" s="1370">
        <v>6</v>
      </c>
      <c r="F57" s="1369">
        <v>8</v>
      </c>
      <c r="G57" s="1370">
        <v>11.125</v>
      </c>
      <c r="R57" s="1370">
        <v>10</v>
      </c>
      <c r="X57" s="1371">
        <v>44</v>
      </c>
      <c r="AB57" s="1371" t="s">
        <v>116</v>
      </c>
      <c r="AD57" s="1371">
        <v>-0.38217436147821499</v>
      </c>
      <c r="AE57" s="1371" t="s">
        <v>1392</v>
      </c>
      <c r="AF57" s="1371" t="s">
        <v>1785</v>
      </c>
      <c r="AG57" s="1347">
        <v>1</v>
      </c>
      <c r="CB57" s="34" t="s">
        <v>157</v>
      </c>
      <c r="CC57" s="34" t="s">
        <v>142</v>
      </c>
      <c r="CD57" s="34" t="s">
        <v>145</v>
      </c>
      <c r="CF57" s="34">
        <v>75000</v>
      </c>
      <c r="CM57" s="34" t="s">
        <v>1625</v>
      </c>
    </row>
    <row r="58" spans="1:93" x14ac:dyDescent="0.2">
      <c r="A58" s="1368" t="s">
        <v>1543</v>
      </c>
      <c r="B58" s="1369">
        <v>1</v>
      </c>
      <c r="C58" s="1368" t="s">
        <v>1800</v>
      </c>
      <c r="D58" s="1369">
        <v>18</v>
      </c>
      <c r="E58" s="1370">
        <v>2.25</v>
      </c>
      <c r="F58" s="1369">
        <v>8</v>
      </c>
      <c r="G58" s="1370">
        <v>11.125</v>
      </c>
      <c r="R58" s="1370">
        <v>10</v>
      </c>
      <c r="X58" s="1371">
        <v>44</v>
      </c>
      <c r="AB58" s="1371" t="s">
        <v>116</v>
      </c>
      <c r="AD58" s="1371">
        <v>-0.38125485512712598</v>
      </c>
      <c r="AE58" s="1371" t="s">
        <v>1801</v>
      </c>
      <c r="AF58" s="1371" t="s">
        <v>1787</v>
      </c>
      <c r="AG58" s="1347">
        <v>1</v>
      </c>
      <c r="CA58" s="34">
        <v>15</v>
      </c>
      <c r="CB58" s="34" t="s">
        <v>155</v>
      </c>
      <c r="CC58" s="34" t="s">
        <v>165</v>
      </c>
      <c r="CD58" s="34" t="s">
        <v>145</v>
      </c>
      <c r="CF58" s="34">
        <v>250</v>
      </c>
      <c r="CN58" s="34" t="s">
        <v>1632</v>
      </c>
      <c r="CO58" s="34">
        <v>5</v>
      </c>
    </row>
    <row r="59" spans="1:93" x14ac:dyDescent="0.2">
      <c r="A59" s="1368" t="s">
        <v>1544</v>
      </c>
      <c r="B59" s="1369">
        <v>1</v>
      </c>
      <c r="C59" s="1368" t="s">
        <v>1802</v>
      </c>
      <c r="D59" s="1369">
        <v>25</v>
      </c>
      <c r="E59" s="1370">
        <v>10.625</v>
      </c>
      <c r="F59" s="1369">
        <v>8</v>
      </c>
      <c r="G59" s="1370">
        <v>11.125</v>
      </c>
      <c r="R59" s="1370">
        <v>10</v>
      </c>
      <c r="X59" s="1371">
        <v>44</v>
      </c>
      <c r="AB59" s="1371" t="s">
        <v>116</v>
      </c>
      <c r="AD59" s="1371">
        <v>-0.38088191527001802</v>
      </c>
      <c r="AE59" s="1371" t="s">
        <v>1801</v>
      </c>
      <c r="AF59" s="1371" t="s">
        <v>1790</v>
      </c>
      <c r="AG59" s="1347">
        <v>1</v>
      </c>
      <c r="CB59" s="34" t="s">
        <v>155</v>
      </c>
      <c r="CC59" s="34" t="s">
        <v>165</v>
      </c>
      <c r="CD59" s="34" t="s">
        <v>159</v>
      </c>
      <c r="CF59" s="34">
        <v>250</v>
      </c>
    </row>
    <row r="60" spans="1:93" x14ac:dyDescent="0.2">
      <c r="A60" s="1368" t="s">
        <v>1545</v>
      </c>
      <c r="B60" s="1369">
        <v>1</v>
      </c>
      <c r="C60" s="1368" t="s">
        <v>1791</v>
      </c>
      <c r="D60" s="1369">
        <v>33</v>
      </c>
      <c r="E60" s="1370">
        <v>6.875</v>
      </c>
      <c r="F60" s="1369">
        <v>8</v>
      </c>
      <c r="G60" s="1370">
        <v>11.125</v>
      </c>
      <c r="R60" s="1370">
        <v>10</v>
      </c>
      <c r="X60" s="1371">
        <v>44</v>
      </c>
      <c r="AB60" s="1371" t="s">
        <v>116</v>
      </c>
      <c r="AD60" s="1371">
        <v>-0.38067986950050198</v>
      </c>
      <c r="AE60" s="1371" t="s">
        <v>1794</v>
      </c>
      <c r="AF60" s="1371" t="s">
        <v>1790</v>
      </c>
      <c r="AG60" s="1347">
        <v>1</v>
      </c>
      <c r="CB60" s="34" t="s">
        <v>154</v>
      </c>
      <c r="CC60" s="34" t="s">
        <v>165</v>
      </c>
      <c r="CD60" s="34" t="s">
        <v>145</v>
      </c>
      <c r="CF60" s="34">
        <v>1500</v>
      </c>
    </row>
    <row r="61" spans="1:93" x14ac:dyDescent="0.2">
      <c r="A61" s="1368" t="s">
        <v>1546</v>
      </c>
      <c r="B61" s="1369">
        <v>1</v>
      </c>
      <c r="C61" s="1368" t="s">
        <v>1793</v>
      </c>
      <c r="D61" s="1369">
        <v>41</v>
      </c>
      <c r="E61" s="1370">
        <v>3.25</v>
      </c>
      <c r="F61" s="1369">
        <v>8</v>
      </c>
      <c r="G61" s="1370">
        <v>11.125</v>
      </c>
      <c r="R61" s="1370">
        <v>10</v>
      </c>
      <c r="X61" s="1371">
        <v>44</v>
      </c>
      <c r="AB61" s="1371" t="s">
        <v>116</v>
      </c>
      <c r="AD61" s="1371">
        <v>-0.38055314201512302</v>
      </c>
      <c r="AE61" s="1371" t="s">
        <v>1803</v>
      </c>
      <c r="AF61" s="1371" t="s">
        <v>1792</v>
      </c>
      <c r="AG61" s="1347">
        <v>1</v>
      </c>
      <c r="CB61" s="34" t="s">
        <v>157</v>
      </c>
      <c r="CC61" s="34" t="s">
        <v>167</v>
      </c>
      <c r="CD61" s="34" t="s">
        <v>145</v>
      </c>
      <c r="CF61" s="34">
        <v>105000</v>
      </c>
      <c r="CN61" s="34" t="s">
        <v>1636</v>
      </c>
    </row>
    <row r="62" spans="1:93" x14ac:dyDescent="0.2">
      <c r="A62" s="1368" t="s">
        <v>1547</v>
      </c>
      <c r="B62" s="1369">
        <v>1</v>
      </c>
      <c r="C62" s="1368" t="s">
        <v>1796</v>
      </c>
      <c r="D62" s="1369">
        <v>50</v>
      </c>
      <c r="E62" s="1370">
        <v>0</v>
      </c>
      <c r="F62" s="1369">
        <v>8</v>
      </c>
      <c r="G62" s="1370">
        <v>11.125</v>
      </c>
      <c r="R62" s="1370">
        <v>8</v>
      </c>
      <c r="S62" s="1370">
        <v>11.125</v>
      </c>
      <c r="AB62" s="1371" t="s">
        <v>116</v>
      </c>
      <c r="AD62" s="1371">
        <v>0.38</v>
      </c>
      <c r="AE62" s="1371" t="s">
        <v>1804</v>
      </c>
      <c r="AF62" s="1371" t="s">
        <v>1683</v>
      </c>
      <c r="AG62" s="1347">
        <v>1</v>
      </c>
      <c r="CB62" s="34" t="s">
        <v>157</v>
      </c>
      <c r="CC62" s="34" t="s">
        <v>142</v>
      </c>
      <c r="CD62" s="34" t="s">
        <v>145</v>
      </c>
      <c r="CF62" s="34">
        <v>105000</v>
      </c>
      <c r="CM62" s="34" t="s">
        <v>1625</v>
      </c>
    </row>
    <row r="63" spans="1:93" x14ac:dyDescent="0.2">
      <c r="A63" s="1368" t="s">
        <v>1548</v>
      </c>
      <c r="B63" s="1369">
        <v>3</v>
      </c>
      <c r="C63" s="1368" t="s">
        <v>1796</v>
      </c>
      <c r="D63" s="1369">
        <v>50</v>
      </c>
      <c r="E63" s="1370">
        <v>0</v>
      </c>
      <c r="F63" s="1369">
        <v>8</v>
      </c>
      <c r="G63" s="1370">
        <v>11.125</v>
      </c>
      <c r="R63" s="1370">
        <v>8</v>
      </c>
      <c r="S63" s="1370">
        <v>11.125</v>
      </c>
      <c r="AB63" s="1371" t="s">
        <v>116</v>
      </c>
      <c r="AD63" s="1371">
        <v>0.38</v>
      </c>
      <c r="AE63" s="1371" t="s">
        <v>1805</v>
      </c>
      <c r="AF63" s="1371" t="s">
        <v>1683</v>
      </c>
      <c r="AG63" s="1347">
        <v>1</v>
      </c>
      <c r="CA63" s="34">
        <v>16</v>
      </c>
      <c r="CB63" s="34" t="s">
        <v>154</v>
      </c>
      <c r="CC63" s="34" t="s">
        <v>167</v>
      </c>
      <c r="CD63" s="34" t="s">
        <v>145</v>
      </c>
      <c r="CF63" s="34">
        <v>560</v>
      </c>
      <c r="CN63" s="34" t="s">
        <v>1642</v>
      </c>
      <c r="CO63" s="34">
        <v>6</v>
      </c>
    </row>
    <row r="64" spans="1:93" x14ac:dyDescent="0.2">
      <c r="A64" s="1368" t="s">
        <v>1549</v>
      </c>
      <c r="B64" s="1369">
        <v>2</v>
      </c>
      <c r="C64" s="1368" t="s">
        <v>1796</v>
      </c>
      <c r="D64" s="1369">
        <v>50</v>
      </c>
      <c r="E64" s="1370">
        <v>0</v>
      </c>
      <c r="F64" s="1369">
        <v>8</v>
      </c>
      <c r="G64" s="1370">
        <v>11.125</v>
      </c>
      <c r="R64" s="1370">
        <v>8</v>
      </c>
      <c r="S64" s="1370">
        <v>11.125</v>
      </c>
      <c r="AB64" s="1371" t="s">
        <v>116</v>
      </c>
      <c r="AD64" s="1371">
        <v>0.38</v>
      </c>
      <c r="AE64" s="1371" t="s">
        <v>1773</v>
      </c>
      <c r="AF64" s="1371" t="s">
        <v>1683</v>
      </c>
      <c r="AG64" s="1347">
        <v>1</v>
      </c>
      <c r="CB64" s="34" t="s">
        <v>154</v>
      </c>
      <c r="CC64" s="34" t="s">
        <v>167</v>
      </c>
      <c r="CD64" s="34" t="s">
        <v>145</v>
      </c>
      <c r="CF64" s="34">
        <v>-560</v>
      </c>
      <c r="CM64" s="34">
        <v>2</v>
      </c>
    </row>
    <row r="65" spans="1:93" x14ac:dyDescent="0.2">
      <c r="A65" s="1368" t="s">
        <v>1550</v>
      </c>
      <c r="B65" s="1369">
        <v>1</v>
      </c>
      <c r="C65" s="1368" t="s">
        <v>1783</v>
      </c>
      <c r="D65" s="1369">
        <v>14</v>
      </c>
      <c r="E65" s="1370">
        <v>4.125</v>
      </c>
      <c r="F65" s="1369">
        <v>8</v>
      </c>
      <c r="G65" s="1370">
        <v>11.125</v>
      </c>
      <c r="R65" s="1370">
        <v>10</v>
      </c>
      <c r="X65" s="1371">
        <v>44</v>
      </c>
      <c r="AB65" s="1371" t="s">
        <v>116</v>
      </c>
      <c r="AD65" s="1371">
        <v>-0.366392815713592</v>
      </c>
      <c r="AE65" s="1371" t="s">
        <v>1392</v>
      </c>
      <c r="AF65" s="1371" t="s">
        <v>1785</v>
      </c>
      <c r="AG65" s="1347">
        <v>1</v>
      </c>
      <c r="CB65" s="34" t="s">
        <v>151</v>
      </c>
      <c r="CC65" s="34" t="s">
        <v>167</v>
      </c>
      <c r="CD65" s="34" t="s">
        <v>145</v>
      </c>
      <c r="CF65" s="34">
        <v>10</v>
      </c>
    </row>
    <row r="66" spans="1:93" x14ac:dyDescent="0.2">
      <c r="A66" s="1368" t="s">
        <v>1551</v>
      </c>
      <c r="B66" s="1369">
        <v>1</v>
      </c>
      <c r="C66" s="1368" t="s">
        <v>1786</v>
      </c>
      <c r="D66" s="1369">
        <v>22</v>
      </c>
      <c r="E66" s="1370">
        <v>0.5</v>
      </c>
      <c r="F66" s="1369">
        <v>8</v>
      </c>
      <c r="G66" s="1370">
        <v>11.125</v>
      </c>
      <c r="R66" s="1370">
        <v>10</v>
      </c>
      <c r="X66" s="1371">
        <v>44</v>
      </c>
      <c r="AB66" s="1371" t="s">
        <v>116</v>
      </c>
      <c r="AD66" s="1371">
        <v>-0.36585945417386201</v>
      </c>
      <c r="AE66" s="1371" t="s">
        <v>1768</v>
      </c>
      <c r="AF66" s="1371" t="s">
        <v>1787</v>
      </c>
      <c r="AG66" s="1347">
        <v>1</v>
      </c>
      <c r="CB66" s="34" t="s">
        <v>151</v>
      </c>
      <c r="CC66" s="34" t="s">
        <v>167</v>
      </c>
      <c r="CD66" s="34" t="s">
        <v>145</v>
      </c>
      <c r="CF66" s="34">
        <v>-10</v>
      </c>
      <c r="CM66" s="34">
        <v>2</v>
      </c>
    </row>
    <row r="67" spans="1:93" x14ac:dyDescent="0.2">
      <c r="A67" s="1368" t="s">
        <v>1552</v>
      </c>
      <c r="B67" s="1369">
        <v>1</v>
      </c>
      <c r="C67" s="1368" t="s">
        <v>1788</v>
      </c>
      <c r="D67" s="1369">
        <v>29</v>
      </c>
      <c r="E67" s="1370">
        <v>8.75</v>
      </c>
      <c r="F67" s="1369">
        <v>8</v>
      </c>
      <c r="G67" s="1370">
        <v>11.125</v>
      </c>
      <c r="R67" s="1370">
        <v>10</v>
      </c>
      <c r="X67" s="1371">
        <v>44</v>
      </c>
      <c r="AB67" s="1371" t="s">
        <v>116</v>
      </c>
      <c r="AD67" s="1371">
        <v>-0.36560209658472198</v>
      </c>
      <c r="AE67" s="1371" t="s">
        <v>1806</v>
      </c>
      <c r="AF67" s="1371" t="s">
        <v>1790</v>
      </c>
      <c r="AG67" s="1347">
        <v>1</v>
      </c>
      <c r="CB67" s="34" t="s">
        <v>157</v>
      </c>
      <c r="CC67" s="34" t="s">
        <v>167</v>
      </c>
      <c r="CD67" s="34" t="s">
        <v>145</v>
      </c>
      <c r="CF67" s="34">
        <v>966</v>
      </c>
    </row>
    <row r="68" spans="1:93" x14ac:dyDescent="0.2">
      <c r="A68" s="1368" t="s">
        <v>1553</v>
      </c>
      <c r="B68" s="1369">
        <v>1</v>
      </c>
      <c r="C68" s="1368" t="s">
        <v>1791</v>
      </c>
      <c r="D68" s="1369">
        <v>37</v>
      </c>
      <c r="E68" s="1370">
        <v>5</v>
      </c>
      <c r="F68" s="1369">
        <v>8</v>
      </c>
      <c r="G68" s="1370">
        <v>11.125</v>
      </c>
      <c r="R68" s="1370">
        <v>10</v>
      </c>
      <c r="X68" s="1371">
        <v>44</v>
      </c>
      <c r="AB68" s="1371" t="s">
        <v>116</v>
      </c>
      <c r="AD68" s="1371">
        <v>-0.365450558055122</v>
      </c>
      <c r="AE68" s="1371" t="s">
        <v>1807</v>
      </c>
      <c r="AF68" s="1371" t="s">
        <v>1792</v>
      </c>
      <c r="AG68" s="1347">
        <v>1</v>
      </c>
      <c r="CB68" s="34" t="s">
        <v>151</v>
      </c>
      <c r="CC68" s="34" t="s">
        <v>165</v>
      </c>
      <c r="CD68" s="34" t="s">
        <v>145</v>
      </c>
      <c r="CF68" s="34">
        <v>12</v>
      </c>
    </row>
    <row r="69" spans="1:93" x14ac:dyDescent="0.2">
      <c r="A69" s="1368" t="s">
        <v>1554</v>
      </c>
      <c r="B69" s="1369">
        <v>1</v>
      </c>
      <c r="C69" s="1368" t="s">
        <v>1793</v>
      </c>
      <c r="D69" s="1369">
        <v>45</v>
      </c>
      <c r="E69" s="1370">
        <v>1.375</v>
      </c>
      <c r="F69" s="1369">
        <v>8</v>
      </c>
      <c r="G69" s="1370">
        <v>11.125</v>
      </c>
      <c r="I69" s="1371" t="s">
        <v>1766</v>
      </c>
      <c r="J69" s="1370">
        <v>5</v>
      </c>
      <c r="R69" s="1370">
        <v>10</v>
      </c>
      <c r="U69" s="1370" t="s">
        <v>1766</v>
      </c>
      <c r="X69" s="1371">
        <v>44</v>
      </c>
      <c r="AB69" s="1371" t="s">
        <v>116</v>
      </c>
      <c r="AD69" s="1371">
        <v>-0.36535069268813503</v>
      </c>
      <c r="AE69" s="1371" t="s">
        <v>1807</v>
      </c>
      <c r="AF69" s="1371" t="s">
        <v>1795</v>
      </c>
      <c r="AG69" s="1347">
        <v>1</v>
      </c>
      <c r="CA69" s="34">
        <v>17</v>
      </c>
      <c r="CB69" s="34" t="s">
        <v>154</v>
      </c>
      <c r="CC69" s="34" t="s">
        <v>167</v>
      </c>
      <c r="CD69" s="34" t="s">
        <v>145</v>
      </c>
      <c r="CF69" s="34">
        <v>1121</v>
      </c>
      <c r="CN69" s="34" t="s">
        <v>1644</v>
      </c>
      <c r="CO69" s="34">
        <v>2</v>
      </c>
    </row>
    <row r="70" spans="1:93" x14ac:dyDescent="0.2">
      <c r="A70" s="1368" t="s">
        <v>1555</v>
      </c>
      <c r="B70" s="1369">
        <v>1</v>
      </c>
      <c r="C70" s="1368" t="s">
        <v>1796</v>
      </c>
      <c r="D70" s="1369">
        <v>49</v>
      </c>
      <c r="E70" s="1370">
        <v>3</v>
      </c>
      <c r="F70" s="1369">
        <v>8</v>
      </c>
      <c r="G70" s="1370">
        <v>11.125</v>
      </c>
      <c r="I70" s="1371" t="s">
        <v>1766</v>
      </c>
      <c r="J70" s="1370">
        <v>5</v>
      </c>
      <c r="R70" s="1370">
        <v>10</v>
      </c>
      <c r="U70" s="1370" t="s">
        <v>1766</v>
      </c>
      <c r="AB70" s="1371" t="s">
        <v>116</v>
      </c>
      <c r="AD70" s="1371">
        <v>-0.38452209093974499</v>
      </c>
      <c r="AE70" s="1371" t="s">
        <v>1806</v>
      </c>
      <c r="AF70" s="1371" t="s">
        <v>1808</v>
      </c>
      <c r="AG70" s="1347">
        <v>1</v>
      </c>
      <c r="CB70" s="34" t="s">
        <v>154</v>
      </c>
      <c r="CC70" s="34" t="s">
        <v>165</v>
      </c>
      <c r="CD70" s="34" t="s">
        <v>145</v>
      </c>
      <c r="CF70" s="34">
        <v>720</v>
      </c>
    </row>
    <row r="71" spans="1:93" x14ac:dyDescent="0.2">
      <c r="A71" s="1368" t="s">
        <v>1556</v>
      </c>
      <c r="B71" s="1369">
        <v>1</v>
      </c>
      <c r="C71" s="1368" t="s">
        <v>1796</v>
      </c>
      <c r="D71" s="1369">
        <v>49</v>
      </c>
      <c r="E71" s="1370">
        <v>3</v>
      </c>
      <c r="F71" s="1369">
        <v>8</v>
      </c>
      <c r="G71" s="1370">
        <v>11.125</v>
      </c>
      <c r="R71" s="1370">
        <v>10</v>
      </c>
      <c r="AB71" s="1371" t="s">
        <v>116</v>
      </c>
      <c r="AD71" s="1371">
        <v>-0.42534201317736797</v>
      </c>
      <c r="AE71" s="1371" t="s">
        <v>1806</v>
      </c>
      <c r="AF71" s="1371" t="s">
        <v>1808</v>
      </c>
      <c r="AG71" s="1347">
        <v>1</v>
      </c>
      <c r="CA71" s="34">
        <v>18</v>
      </c>
      <c r="CB71" s="34" t="s">
        <v>146</v>
      </c>
      <c r="CC71" s="34" t="s">
        <v>167</v>
      </c>
      <c r="CD71" s="34" t="s">
        <v>145</v>
      </c>
      <c r="CF71" s="34">
        <v>966</v>
      </c>
      <c r="CG71" s="34">
        <v>8</v>
      </c>
      <c r="CH71" s="34">
        <v>0</v>
      </c>
      <c r="CL71" s="34" t="s">
        <v>700</v>
      </c>
      <c r="CN71" s="34" t="s">
        <v>1646</v>
      </c>
      <c r="CO71" s="34">
        <v>4</v>
      </c>
    </row>
    <row r="72" spans="1:93" x14ac:dyDescent="0.2">
      <c r="A72" s="1368" t="s">
        <v>1557</v>
      </c>
      <c r="B72" s="1369">
        <v>3</v>
      </c>
      <c r="C72" s="1368" t="s">
        <v>1796</v>
      </c>
      <c r="D72" s="1369">
        <v>49</v>
      </c>
      <c r="E72" s="1370">
        <v>3</v>
      </c>
      <c r="F72" s="1369">
        <v>8</v>
      </c>
      <c r="G72" s="1370">
        <v>11.125</v>
      </c>
      <c r="R72" s="1370">
        <v>10</v>
      </c>
      <c r="AB72" s="1371" t="s">
        <v>116</v>
      </c>
      <c r="AD72" s="1371">
        <v>-0.508754532721162</v>
      </c>
      <c r="AE72" s="1371" t="s">
        <v>1392</v>
      </c>
      <c r="AF72" s="1371" t="s">
        <v>1808</v>
      </c>
      <c r="AG72" s="1347">
        <v>1</v>
      </c>
      <c r="CB72" s="34" t="s">
        <v>146</v>
      </c>
      <c r="CC72" s="34" t="s">
        <v>167</v>
      </c>
      <c r="CD72" s="34" t="s">
        <v>145</v>
      </c>
      <c r="CF72" s="34">
        <v>-966</v>
      </c>
      <c r="CG72" s="34">
        <v>8</v>
      </c>
      <c r="CH72" s="34">
        <v>0</v>
      </c>
      <c r="CL72" s="34" t="s">
        <v>700</v>
      </c>
      <c r="CM72" s="34">
        <v>2</v>
      </c>
    </row>
    <row r="73" spans="1:93" x14ac:dyDescent="0.2">
      <c r="A73" s="1368" t="s">
        <v>1558</v>
      </c>
      <c r="B73" s="1369">
        <v>2</v>
      </c>
      <c r="C73" s="1368" t="s">
        <v>1796</v>
      </c>
      <c r="D73" s="1369">
        <v>49</v>
      </c>
      <c r="E73" s="1370">
        <v>3</v>
      </c>
      <c r="F73" s="1369">
        <v>8</v>
      </c>
      <c r="G73" s="1370">
        <v>11.125</v>
      </c>
      <c r="R73" s="1370">
        <v>10</v>
      </c>
      <c r="AB73" s="1371" t="s">
        <v>116</v>
      </c>
      <c r="AD73" s="1371">
        <v>-0.52739181877142505</v>
      </c>
      <c r="AE73" s="1371" t="s">
        <v>1769</v>
      </c>
      <c r="AF73" s="1371" t="s">
        <v>1808</v>
      </c>
      <c r="AG73" s="1347">
        <v>1</v>
      </c>
      <c r="CB73" s="34" t="s">
        <v>157</v>
      </c>
      <c r="CC73" s="34" t="s">
        <v>167</v>
      </c>
      <c r="CD73" s="34" t="s">
        <v>145</v>
      </c>
      <c r="CF73" s="34">
        <v>966</v>
      </c>
    </row>
    <row r="74" spans="1:93" x14ac:dyDescent="0.2">
      <c r="A74" s="1368" t="s">
        <v>1559</v>
      </c>
      <c r="B74" s="1369">
        <v>1</v>
      </c>
      <c r="C74" s="1368" t="s">
        <v>1796</v>
      </c>
      <c r="D74" s="1369">
        <v>49</v>
      </c>
      <c r="E74" s="1370">
        <v>3</v>
      </c>
      <c r="F74" s="1369">
        <v>8</v>
      </c>
      <c r="G74" s="1370">
        <v>11.125</v>
      </c>
      <c r="R74" s="1370">
        <v>10</v>
      </c>
      <c r="AB74" s="1371" t="s">
        <v>116</v>
      </c>
      <c r="AD74" s="1371">
        <v>-0.58862170212785903</v>
      </c>
      <c r="AE74" s="1371" t="s">
        <v>1392</v>
      </c>
      <c r="AF74" s="1371" t="s">
        <v>1808</v>
      </c>
      <c r="AG74" s="1347">
        <v>1</v>
      </c>
      <c r="CB74" s="34" t="s">
        <v>146</v>
      </c>
      <c r="CC74" s="34" t="s">
        <v>165</v>
      </c>
      <c r="CD74" s="34" t="s">
        <v>145</v>
      </c>
      <c r="CF74" s="34">
        <v>96</v>
      </c>
      <c r="CG74" s="34">
        <v>8</v>
      </c>
      <c r="CH74" s="34">
        <v>0</v>
      </c>
      <c r="CL74" s="34" t="s">
        <v>700</v>
      </c>
    </row>
    <row r="75" spans="1:93" x14ac:dyDescent="0.2">
      <c r="A75" s="1368" t="s">
        <v>1560</v>
      </c>
      <c r="B75" s="1369">
        <v>1</v>
      </c>
      <c r="C75" s="1368" t="s">
        <v>1796</v>
      </c>
      <c r="D75" s="1369">
        <v>49</v>
      </c>
      <c r="E75" s="1370">
        <v>3</v>
      </c>
      <c r="F75" s="1369">
        <v>9</v>
      </c>
      <c r="G75" s="1370">
        <v>11.125</v>
      </c>
      <c r="I75" s="1371" t="s">
        <v>1766</v>
      </c>
      <c r="J75" s="1370">
        <v>5</v>
      </c>
      <c r="N75" s="1369" t="s">
        <v>1766</v>
      </c>
      <c r="R75" s="1370">
        <v>13</v>
      </c>
      <c r="U75" s="1370" t="s">
        <v>1766</v>
      </c>
      <c r="AB75" s="1371" t="s">
        <v>116</v>
      </c>
      <c r="AD75" s="1371">
        <v>-0.62944162436548201</v>
      </c>
      <c r="AE75" s="1371" t="s">
        <v>1392</v>
      </c>
      <c r="AF75" s="1371" t="s">
        <v>1808</v>
      </c>
      <c r="AG75" s="1347">
        <v>1</v>
      </c>
      <c r="CA75" s="34">
        <v>19</v>
      </c>
      <c r="CB75" s="34" t="s">
        <v>146</v>
      </c>
      <c r="CC75" s="34" t="s">
        <v>167</v>
      </c>
      <c r="CD75" s="34" t="s">
        <v>145</v>
      </c>
      <c r="CF75" s="34">
        <v>966</v>
      </c>
      <c r="CG75" s="34">
        <v>8</v>
      </c>
      <c r="CH75" s="34">
        <v>0</v>
      </c>
      <c r="CI75" s="34">
        <v>966</v>
      </c>
      <c r="CJ75" s="34">
        <v>27</v>
      </c>
      <c r="CK75" s="34">
        <v>0</v>
      </c>
      <c r="CL75" s="34" t="s">
        <v>700</v>
      </c>
      <c r="CN75" s="34" t="s">
        <v>1646</v>
      </c>
      <c r="CO75" s="34">
        <v>4</v>
      </c>
    </row>
    <row r="76" spans="1:93" x14ac:dyDescent="0.2">
      <c r="A76" s="1368" t="s">
        <v>1561</v>
      </c>
      <c r="B76" s="1369">
        <v>1</v>
      </c>
      <c r="C76" s="1368" t="s">
        <v>1796</v>
      </c>
      <c r="D76" s="1369">
        <v>49</v>
      </c>
      <c r="E76" s="1370">
        <v>3</v>
      </c>
      <c r="F76" s="1369">
        <v>8</v>
      </c>
      <c r="G76" s="1370">
        <v>11.125</v>
      </c>
      <c r="R76" s="1370">
        <v>10</v>
      </c>
      <c r="AB76" s="1371" t="s">
        <v>116</v>
      </c>
      <c r="AD76" s="1371">
        <v>-0.395158141351035</v>
      </c>
      <c r="AE76" s="1371" t="s">
        <v>1768</v>
      </c>
      <c r="AF76" s="1371" t="s">
        <v>1808</v>
      </c>
      <c r="AG76" s="1347">
        <v>1</v>
      </c>
      <c r="CB76" s="34" t="s">
        <v>146</v>
      </c>
      <c r="CC76" s="34" t="s">
        <v>167</v>
      </c>
      <c r="CD76" s="34" t="s">
        <v>145</v>
      </c>
      <c r="CF76" s="34">
        <v>-966</v>
      </c>
      <c r="CG76" s="34">
        <v>8</v>
      </c>
      <c r="CH76" s="34">
        <v>0</v>
      </c>
      <c r="CI76" s="34">
        <v>-966</v>
      </c>
      <c r="CJ76" s="34">
        <v>27</v>
      </c>
      <c r="CK76" s="34">
        <v>0</v>
      </c>
      <c r="CL76" s="34" t="s">
        <v>700</v>
      </c>
      <c r="CM76" s="34">
        <v>2</v>
      </c>
    </row>
    <row r="77" spans="1:93" x14ac:dyDescent="0.2">
      <c r="A77" s="1368" t="s">
        <v>1562</v>
      </c>
      <c r="B77" s="1369">
        <v>7</v>
      </c>
      <c r="C77" s="1368" t="s">
        <v>1796</v>
      </c>
      <c r="D77" s="1369">
        <v>49</v>
      </c>
      <c r="E77" s="1370">
        <v>3</v>
      </c>
      <c r="F77" s="1369">
        <v>8</v>
      </c>
      <c r="G77" s="1370">
        <v>11.125</v>
      </c>
      <c r="R77" s="1370">
        <v>10</v>
      </c>
      <c r="AB77" s="1371" t="s">
        <v>116</v>
      </c>
      <c r="AD77" s="1371">
        <v>-0.285435376805935</v>
      </c>
      <c r="AE77" s="1371" t="s">
        <v>1768</v>
      </c>
      <c r="AF77" s="1371" t="s">
        <v>1808</v>
      </c>
      <c r="AG77" s="1347">
        <v>1</v>
      </c>
      <c r="CB77" s="34" t="s">
        <v>157</v>
      </c>
      <c r="CC77" s="34" t="s">
        <v>167</v>
      </c>
      <c r="CD77" s="34" t="s">
        <v>145</v>
      </c>
      <c r="CF77" s="34">
        <v>966</v>
      </c>
    </row>
    <row r="78" spans="1:93" x14ac:dyDescent="0.2">
      <c r="A78" s="1368" t="s">
        <v>1563</v>
      </c>
      <c r="B78" s="1369">
        <v>71</v>
      </c>
      <c r="C78" s="1368" t="s">
        <v>1796</v>
      </c>
      <c r="D78" s="1369">
        <v>49</v>
      </c>
      <c r="E78" s="1370">
        <v>3</v>
      </c>
      <c r="F78" s="1369">
        <v>8</v>
      </c>
      <c r="G78" s="1370">
        <v>11.125</v>
      </c>
      <c r="R78" s="1370">
        <v>10</v>
      </c>
      <c r="AB78" s="1371" t="s">
        <v>116</v>
      </c>
      <c r="AD78" s="1371">
        <v>-0.18781725888324899</v>
      </c>
      <c r="AE78" s="1371" t="s">
        <v>1392</v>
      </c>
      <c r="AF78" s="1371" t="s">
        <v>1808</v>
      </c>
      <c r="AG78" s="1347">
        <v>1</v>
      </c>
      <c r="CB78" s="34" t="s">
        <v>146</v>
      </c>
      <c r="CC78" s="34" t="s">
        <v>165</v>
      </c>
      <c r="CD78" s="34" t="s">
        <v>145</v>
      </c>
      <c r="CF78" s="34">
        <v>96</v>
      </c>
      <c r="CG78" s="34">
        <v>8</v>
      </c>
      <c r="CH78" s="34">
        <v>0</v>
      </c>
      <c r="CI78" s="34">
        <v>96</v>
      </c>
      <c r="CJ78" s="34">
        <v>27</v>
      </c>
      <c r="CK78" s="34">
        <v>0</v>
      </c>
      <c r="CL78" s="34" t="s">
        <v>700</v>
      </c>
    </row>
    <row r="79" spans="1:93" x14ac:dyDescent="0.2">
      <c r="A79" s="1368" t="s">
        <v>1564</v>
      </c>
      <c r="B79" s="1369">
        <v>13</v>
      </c>
      <c r="C79" s="1368" t="s">
        <v>1796</v>
      </c>
      <c r="D79" s="1369">
        <v>49</v>
      </c>
      <c r="E79" s="1370">
        <v>3</v>
      </c>
      <c r="F79" s="1369">
        <v>8</v>
      </c>
      <c r="G79" s="1370">
        <v>11.125</v>
      </c>
      <c r="I79" s="1371" t="s">
        <v>1766</v>
      </c>
      <c r="J79" s="1370">
        <v>5</v>
      </c>
      <c r="R79" s="1370">
        <v>10</v>
      </c>
      <c r="U79" s="1370" t="s">
        <v>1766</v>
      </c>
      <c r="AB79" s="1371" t="s">
        <v>116</v>
      </c>
      <c r="AD79" s="1371">
        <v>-0.18781725888324899</v>
      </c>
      <c r="AE79" s="1371" t="s">
        <v>1392</v>
      </c>
      <c r="AF79" s="1371" t="s">
        <v>1808</v>
      </c>
      <c r="AG79" s="1347">
        <v>1</v>
      </c>
      <c r="CA79" s="34">
        <v>20</v>
      </c>
      <c r="CB79" s="34" t="s">
        <v>146</v>
      </c>
      <c r="CC79" s="34" t="s">
        <v>167</v>
      </c>
      <c r="CD79" s="34" t="s">
        <v>145</v>
      </c>
      <c r="CF79" s="34">
        <v>966</v>
      </c>
      <c r="CG79" s="34">
        <v>17</v>
      </c>
      <c r="CH79" s="34">
        <v>0</v>
      </c>
      <c r="CL79" s="34" t="s">
        <v>700</v>
      </c>
      <c r="CN79" s="34" t="s">
        <v>1646</v>
      </c>
      <c r="CO79" s="34">
        <v>4</v>
      </c>
    </row>
    <row r="80" spans="1:93" x14ac:dyDescent="0.2">
      <c r="A80" s="1368" t="s">
        <v>1565</v>
      </c>
      <c r="B80" s="1369">
        <v>7</v>
      </c>
      <c r="C80" s="1368" t="s">
        <v>1796</v>
      </c>
      <c r="D80" s="1369">
        <v>49</v>
      </c>
      <c r="E80" s="1370">
        <v>3</v>
      </c>
      <c r="F80" s="1369">
        <v>9</v>
      </c>
      <c r="G80" s="1370">
        <v>11.125</v>
      </c>
      <c r="I80" s="1371" t="s">
        <v>1766</v>
      </c>
      <c r="J80" s="1370">
        <v>5</v>
      </c>
      <c r="N80" s="1369" t="s">
        <v>1766</v>
      </c>
      <c r="R80" s="1370">
        <v>13</v>
      </c>
      <c r="U80" s="1370" t="s">
        <v>1766</v>
      </c>
      <c r="AB80" s="1371" t="s">
        <v>116</v>
      </c>
      <c r="AD80" s="1371">
        <v>-0.18781725888324899</v>
      </c>
      <c r="AE80" s="1371" t="s">
        <v>1392</v>
      </c>
      <c r="AF80" s="1371" t="s">
        <v>1808</v>
      </c>
      <c r="AG80" s="1347">
        <v>1</v>
      </c>
      <c r="CB80" s="34" t="s">
        <v>146</v>
      </c>
      <c r="CC80" s="34" t="s">
        <v>167</v>
      </c>
      <c r="CD80" s="34" t="s">
        <v>145</v>
      </c>
      <c r="CF80" s="34">
        <v>-966</v>
      </c>
      <c r="CG80" s="34">
        <v>17</v>
      </c>
      <c r="CH80" s="34">
        <v>0</v>
      </c>
      <c r="CL80" s="34" t="s">
        <v>700</v>
      </c>
      <c r="CM80" s="34">
        <v>2</v>
      </c>
    </row>
    <row r="81" spans="1:93" x14ac:dyDescent="0.2">
      <c r="A81" s="1368" t="s">
        <v>1566</v>
      </c>
      <c r="B81" s="1369">
        <v>8</v>
      </c>
      <c r="C81" s="1368" t="s">
        <v>1796</v>
      </c>
      <c r="D81" s="1369">
        <v>49</v>
      </c>
      <c r="E81" s="1370">
        <v>3</v>
      </c>
      <c r="F81" s="1369">
        <v>8</v>
      </c>
      <c r="G81" s="1370">
        <v>11.125</v>
      </c>
      <c r="R81" s="1370">
        <v>10</v>
      </c>
      <c r="AB81" s="1371" t="s">
        <v>116</v>
      </c>
      <c r="AD81" s="1371">
        <v>-0.18781725888324899</v>
      </c>
      <c r="AE81" s="1371" t="s">
        <v>1769</v>
      </c>
      <c r="AF81" s="1371" t="s">
        <v>1808</v>
      </c>
      <c r="AG81" s="1347">
        <v>1</v>
      </c>
      <c r="CB81" s="34" t="s">
        <v>157</v>
      </c>
      <c r="CC81" s="34" t="s">
        <v>167</v>
      </c>
      <c r="CD81" s="34" t="s">
        <v>145</v>
      </c>
      <c r="CF81" s="34">
        <v>966</v>
      </c>
    </row>
    <row r="82" spans="1:93" x14ac:dyDescent="0.2">
      <c r="A82" s="1368" t="s">
        <v>1567</v>
      </c>
      <c r="B82" s="1369">
        <v>2</v>
      </c>
      <c r="C82" s="1368" t="s">
        <v>1796</v>
      </c>
      <c r="D82" s="1369">
        <v>49</v>
      </c>
      <c r="E82" s="1370">
        <v>3</v>
      </c>
      <c r="F82" s="1369">
        <v>8</v>
      </c>
      <c r="G82" s="1370">
        <v>11.125</v>
      </c>
      <c r="R82" s="1370">
        <v>10</v>
      </c>
      <c r="AB82" s="1371" t="s">
        <v>116</v>
      </c>
      <c r="AD82" s="1371">
        <v>-0.18781725888324899</v>
      </c>
      <c r="AE82" s="1371" t="s">
        <v>1773</v>
      </c>
      <c r="AF82" s="1371" t="s">
        <v>1808</v>
      </c>
      <c r="AG82" s="1347">
        <v>1</v>
      </c>
      <c r="CB82" s="34" t="s">
        <v>146</v>
      </c>
      <c r="CC82" s="34" t="s">
        <v>165</v>
      </c>
      <c r="CD82" s="34" t="s">
        <v>145</v>
      </c>
      <c r="CF82" s="34">
        <v>96</v>
      </c>
      <c r="CG82" s="34">
        <v>17</v>
      </c>
      <c r="CH82" s="34">
        <v>0</v>
      </c>
      <c r="CL82" s="34" t="s">
        <v>700</v>
      </c>
    </row>
    <row r="83" spans="1:93" x14ac:dyDescent="0.2">
      <c r="A83" s="1368" t="s">
        <v>1568</v>
      </c>
      <c r="B83" s="1369">
        <v>1</v>
      </c>
      <c r="C83" s="1368" t="s">
        <v>1796</v>
      </c>
      <c r="D83" s="1369">
        <v>49</v>
      </c>
      <c r="E83" s="1370">
        <v>3</v>
      </c>
      <c r="F83" s="1369">
        <v>8</v>
      </c>
      <c r="G83" s="1370">
        <v>11.125</v>
      </c>
      <c r="I83" s="1371" t="s">
        <v>1766</v>
      </c>
      <c r="J83" s="1370">
        <v>5</v>
      </c>
      <c r="R83" s="1370">
        <v>10</v>
      </c>
      <c r="U83" s="1370" t="s">
        <v>1766</v>
      </c>
      <c r="AB83" s="1371" t="s">
        <v>116</v>
      </c>
      <c r="AD83" s="1371">
        <v>-0.25380710659898498</v>
      </c>
      <c r="AE83" s="1371" t="s">
        <v>1768</v>
      </c>
      <c r="AF83" s="1371" t="s">
        <v>1808</v>
      </c>
      <c r="AG83" s="1347">
        <v>1</v>
      </c>
      <c r="CA83" s="34">
        <v>21</v>
      </c>
      <c r="CB83" s="34" t="s">
        <v>146</v>
      </c>
      <c r="CC83" s="34" t="s">
        <v>167</v>
      </c>
      <c r="CD83" s="34" t="s">
        <v>145</v>
      </c>
      <c r="CF83" s="34">
        <v>966</v>
      </c>
      <c r="CG83" s="34">
        <v>17</v>
      </c>
      <c r="CH83" s="34">
        <v>0</v>
      </c>
      <c r="CI83" s="34">
        <v>966</v>
      </c>
      <c r="CJ83" s="34">
        <v>38</v>
      </c>
      <c r="CK83" s="34">
        <v>6</v>
      </c>
      <c r="CL83" s="34" t="s">
        <v>700</v>
      </c>
      <c r="CN83" s="34" t="s">
        <v>1646</v>
      </c>
      <c r="CO83" s="34">
        <v>4</v>
      </c>
    </row>
    <row r="84" spans="1:93" x14ac:dyDescent="0.2">
      <c r="A84" s="1368" t="s">
        <v>1569</v>
      </c>
      <c r="B84" s="1369">
        <v>2</v>
      </c>
      <c r="C84" s="1368" t="s">
        <v>1796</v>
      </c>
      <c r="D84" s="1369">
        <v>49</v>
      </c>
      <c r="E84" s="1370">
        <v>3</v>
      </c>
      <c r="F84" s="1369">
        <v>8</v>
      </c>
      <c r="G84" s="1370">
        <v>11.125</v>
      </c>
      <c r="I84" s="1371" t="s">
        <v>1766</v>
      </c>
      <c r="J84" s="1370">
        <v>5</v>
      </c>
      <c r="R84" s="1370">
        <v>10</v>
      </c>
      <c r="U84" s="1370" t="s">
        <v>1766</v>
      </c>
      <c r="AB84" s="1371" t="s">
        <v>116</v>
      </c>
      <c r="AD84" s="1371">
        <v>-0.25380710659898498</v>
      </c>
      <c r="AE84" s="1371" t="s">
        <v>1769</v>
      </c>
      <c r="AF84" s="1371" t="s">
        <v>1808</v>
      </c>
      <c r="AG84" s="1347">
        <v>1</v>
      </c>
      <c r="CB84" s="34" t="s">
        <v>146</v>
      </c>
      <c r="CC84" s="34" t="s">
        <v>167</v>
      </c>
      <c r="CD84" s="34" t="s">
        <v>145</v>
      </c>
      <c r="CF84" s="34">
        <v>-966</v>
      </c>
      <c r="CG84" s="34">
        <v>17</v>
      </c>
      <c r="CH84" s="34">
        <v>0</v>
      </c>
      <c r="CI84" s="34">
        <v>-966</v>
      </c>
      <c r="CJ84" s="34">
        <v>38</v>
      </c>
      <c r="CK84" s="34">
        <v>6</v>
      </c>
      <c r="CL84" s="34" t="s">
        <v>700</v>
      </c>
      <c r="CM84" s="34">
        <v>2</v>
      </c>
    </row>
    <row r="85" spans="1:93" x14ac:dyDescent="0.2">
      <c r="A85" s="1368" t="s">
        <v>1570</v>
      </c>
      <c r="B85" s="1369">
        <v>1</v>
      </c>
      <c r="C85" s="1368" t="s">
        <v>1796</v>
      </c>
      <c r="D85" s="1369">
        <v>49</v>
      </c>
      <c r="E85" s="1370">
        <v>3</v>
      </c>
      <c r="F85" s="1369">
        <v>9</v>
      </c>
      <c r="G85" s="1370">
        <v>11.125</v>
      </c>
      <c r="I85" s="1371" t="s">
        <v>1766</v>
      </c>
      <c r="J85" s="1370">
        <v>5</v>
      </c>
      <c r="N85" s="1369" t="s">
        <v>1766</v>
      </c>
      <c r="R85" s="1370">
        <v>13</v>
      </c>
      <c r="U85" s="1370" t="s">
        <v>1766</v>
      </c>
      <c r="AB85" s="1371" t="s">
        <v>116</v>
      </c>
      <c r="AD85" s="1371">
        <v>-0.25380710659898498</v>
      </c>
      <c r="AE85" s="1371" t="s">
        <v>1768</v>
      </c>
      <c r="AF85" s="1371" t="s">
        <v>1808</v>
      </c>
      <c r="AG85" s="1347">
        <v>1</v>
      </c>
      <c r="CB85" s="34" t="s">
        <v>157</v>
      </c>
      <c r="CC85" s="34" t="s">
        <v>167</v>
      </c>
      <c r="CD85" s="34" t="s">
        <v>145</v>
      </c>
      <c r="CF85" s="34">
        <v>966</v>
      </c>
    </row>
    <row r="86" spans="1:93" x14ac:dyDescent="0.2">
      <c r="A86" s="1368" t="s">
        <v>1571</v>
      </c>
      <c r="B86" s="1369">
        <v>1</v>
      </c>
      <c r="C86" s="1368" t="s">
        <v>1796</v>
      </c>
      <c r="D86" s="1369">
        <v>49</v>
      </c>
      <c r="E86" s="1370">
        <v>3</v>
      </c>
      <c r="F86" s="1369">
        <v>8</v>
      </c>
      <c r="G86" s="1370">
        <v>11.125</v>
      </c>
      <c r="R86" s="1370">
        <v>10</v>
      </c>
      <c r="AB86" s="1371" t="s">
        <v>116</v>
      </c>
      <c r="AD86" s="1371">
        <v>-0.25380710659898498</v>
      </c>
      <c r="AE86" s="1371" t="s">
        <v>1674</v>
      </c>
      <c r="AF86" s="1371" t="s">
        <v>1808</v>
      </c>
      <c r="AG86" s="1347">
        <v>1</v>
      </c>
      <c r="CB86" s="34" t="s">
        <v>146</v>
      </c>
      <c r="CC86" s="34" t="s">
        <v>165</v>
      </c>
      <c r="CD86" s="34" t="s">
        <v>145</v>
      </c>
      <c r="CF86" s="34">
        <v>96</v>
      </c>
      <c r="CG86" s="34">
        <v>17</v>
      </c>
      <c r="CH86" s="34">
        <v>0</v>
      </c>
      <c r="CI86" s="34">
        <v>96</v>
      </c>
      <c r="CJ86" s="34">
        <v>38</v>
      </c>
      <c r="CK86" s="34">
        <v>6</v>
      </c>
      <c r="CL86" s="34" t="s">
        <v>700</v>
      </c>
    </row>
    <row r="87" spans="1:93" x14ac:dyDescent="0.2">
      <c r="A87" s="1368" t="s">
        <v>1572</v>
      </c>
      <c r="B87" s="1369">
        <v>3</v>
      </c>
      <c r="C87" s="1368" t="s">
        <v>1800</v>
      </c>
      <c r="D87" s="1369">
        <v>16</v>
      </c>
      <c r="E87" s="1370">
        <v>9</v>
      </c>
      <c r="F87" s="1369">
        <v>10</v>
      </c>
      <c r="R87" s="1370">
        <v>10</v>
      </c>
      <c r="AB87" s="1371" t="s">
        <v>116</v>
      </c>
      <c r="AE87" s="1371" t="s">
        <v>1392</v>
      </c>
      <c r="AF87" s="1371" t="s">
        <v>35</v>
      </c>
      <c r="AG87" s="1347">
        <v>1</v>
      </c>
      <c r="CA87" s="34">
        <v>22</v>
      </c>
      <c r="CB87" s="34" t="s">
        <v>146</v>
      </c>
      <c r="CC87" s="34" t="s">
        <v>167</v>
      </c>
      <c r="CD87" s="34" t="s">
        <v>145</v>
      </c>
      <c r="CF87" s="34">
        <v>966</v>
      </c>
      <c r="CG87" s="34">
        <v>3</v>
      </c>
      <c r="CH87" s="34">
        <v>0</v>
      </c>
      <c r="CL87" s="34" t="s">
        <v>702</v>
      </c>
      <c r="CN87" s="34" t="s">
        <v>1646</v>
      </c>
      <c r="CO87" s="34">
        <v>4</v>
      </c>
    </row>
    <row r="88" spans="1:93" x14ac:dyDescent="0.2">
      <c r="A88" s="1368" t="s">
        <v>1573</v>
      </c>
      <c r="B88" s="1369">
        <v>1</v>
      </c>
      <c r="C88" s="1368" t="s">
        <v>1809</v>
      </c>
      <c r="D88" s="1369">
        <v>6</v>
      </c>
      <c r="E88" s="1370">
        <v>7.875</v>
      </c>
      <c r="F88" s="1369">
        <v>8</v>
      </c>
      <c r="G88" s="1370">
        <v>11.125</v>
      </c>
      <c r="R88" s="1370">
        <v>10</v>
      </c>
      <c r="X88" s="1371">
        <v>44</v>
      </c>
      <c r="AB88" s="1371" t="s">
        <v>116</v>
      </c>
      <c r="AD88" s="1371">
        <v>0.39618702544089002</v>
      </c>
      <c r="AE88" s="1371" t="s">
        <v>1392</v>
      </c>
      <c r="AF88" s="1371" t="s">
        <v>1810</v>
      </c>
      <c r="AG88" s="1347">
        <v>1</v>
      </c>
      <c r="CB88" s="34" t="s">
        <v>146</v>
      </c>
      <c r="CC88" s="34" t="s">
        <v>167</v>
      </c>
      <c r="CD88" s="34" t="s">
        <v>145</v>
      </c>
      <c r="CF88" s="34">
        <v>-966</v>
      </c>
      <c r="CG88" s="34">
        <v>3</v>
      </c>
      <c r="CH88" s="34">
        <v>0</v>
      </c>
      <c r="CL88" s="34" t="s">
        <v>702</v>
      </c>
      <c r="CM88" s="34">
        <v>2</v>
      </c>
    </row>
    <row r="89" spans="1:93" x14ac:dyDescent="0.2">
      <c r="A89" s="1368" t="s">
        <v>1574</v>
      </c>
      <c r="B89" s="1369">
        <v>1</v>
      </c>
      <c r="C89" s="1368" t="s">
        <v>1809</v>
      </c>
      <c r="D89" s="1369">
        <v>2</v>
      </c>
      <c r="E89" s="1370">
        <v>9.625</v>
      </c>
      <c r="F89" s="1369">
        <v>8</v>
      </c>
      <c r="G89" s="1370">
        <v>11.125</v>
      </c>
      <c r="R89" s="1370">
        <v>10</v>
      </c>
      <c r="X89" s="1371">
        <v>44</v>
      </c>
      <c r="AB89" s="1371" t="s">
        <v>116</v>
      </c>
      <c r="AD89" s="1371">
        <v>-0.38813573962828302</v>
      </c>
      <c r="AE89" s="1371" t="s">
        <v>1392</v>
      </c>
      <c r="AF89" s="1371" t="s">
        <v>1810</v>
      </c>
      <c r="AG89" s="1347">
        <v>1</v>
      </c>
      <c r="CB89" s="34" t="s">
        <v>157</v>
      </c>
      <c r="CC89" s="34" t="s">
        <v>167</v>
      </c>
      <c r="CD89" s="34" t="s">
        <v>145</v>
      </c>
      <c r="CF89" s="34">
        <v>966</v>
      </c>
    </row>
    <row r="90" spans="1:93" x14ac:dyDescent="0.2">
      <c r="A90" s="1368" t="s">
        <v>1575</v>
      </c>
      <c r="B90" s="1369">
        <v>1</v>
      </c>
      <c r="C90" s="1368" t="s">
        <v>1809</v>
      </c>
      <c r="D90" s="1369">
        <v>6</v>
      </c>
      <c r="E90" s="1370">
        <v>7.875</v>
      </c>
      <c r="F90" s="1369">
        <v>8</v>
      </c>
      <c r="G90" s="1370">
        <v>11.125</v>
      </c>
      <c r="R90" s="1370">
        <v>10</v>
      </c>
      <c r="X90" s="1371">
        <v>44</v>
      </c>
      <c r="AB90" s="1371" t="s">
        <v>116</v>
      </c>
      <c r="AD90" s="1371">
        <v>-0.36815975409471502</v>
      </c>
      <c r="AE90" s="1371" t="s">
        <v>1392</v>
      </c>
      <c r="AF90" s="1371" t="s">
        <v>1810</v>
      </c>
      <c r="AG90" s="1347">
        <v>1</v>
      </c>
      <c r="CB90" s="34" t="s">
        <v>146</v>
      </c>
      <c r="CC90" s="34" t="s">
        <v>165</v>
      </c>
      <c r="CD90" s="34" t="s">
        <v>145</v>
      </c>
      <c r="CF90" s="34">
        <v>96</v>
      </c>
      <c r="CG90" s="34">
        <v>3</v>
      </c>
      <c r="CH90" s="34">
        <v>0</v>
      </c>
      <c r="CL90" s="34" t="s">
        <v>702</v>
      </c>
    </row>
    <row r="91" spans="1:93" x14ac:dyDescent="0.2">
      <c r="A91" s="1368" t="s">
        <v>1576</v>
      </c>
      <c r="B91" s="1369">
        <v>99</v>
      </c>
      <c r="C91" s="1368" t="s">
        <v>1796</v>
      </c>
      <c r="D91" s="1369">
        <v>49</v>
      </c>
      <c r="E91" s="1370">
        <v>2.25</v>
      </c>
      <c r="F91" s="1369">
        <v>8</v>
      </c>
      <c r="G91" s="1370">
        <v>11.125</v>
      </c>
      <c r="R91" s="1370">
        <v>10</v>
      </c>
      <c r="AB91" s="1371" t="s">
        <v>116</v>
      </c>
      <c r="AD91" s="1371">
        <v>-0.25412960609911101</v>
      </c>
      <c r="AE91" s="1371" t="s">
        <v>1392</v>
      </c>
      <c r="AF91" s="1371" t="s">
        <v>1808</v>
      </c>
      <c r="AG91" s="1347">
        <v>1</v>
      </c>
      <c r="CA91" s="34">
        <v>23</v>
      </c>
      <c r="CB91" s="34" t="s">
        <v>146</v>
      </c>
      <c r="CC91" s="34" t="s">
        <v>167</v>
      </c>
      <c r="CD91" s="34" t="s">
        <v>145</v>
      </c>
      <c r="CF91" s="34">
        <v>966</v>
      </c>
      <c r="CG91" s="34">
        <v>28</v>
      </c>
      <c r="CH91" s="34">
        <v>0</v>
      </c>
      <c r="CL91" s="34" t="s">
        <v>700</v>
      </c>
      <c r="CN91" s="34" t="s">
        <v>1646</v>
      </c>
      <c r="CO91" s="34">
        <v>4</v>
      </c>
    </row>
    <row r="92" spans="1:93" x14ac:dyDescent="0.2">
      <c r="A92" s="1368" t="s">
        <v>1577</v>
      </c>
      <c r="B92" s="1369">
        <v>10</v>
      </c>
      <c r="C92" s="1368" t="s">
        <v>1796</v>
      </c>
      <c r="D92" s="1369">
        <v>49</v>
      </c>
      <c r="E92" s="1370">
        <v>2.25</v>
      </c>
      <c r="F92" s="1369">
        <v>8</v>
      </c>
      <c r="G92" s="1370">
        <v>11.125</v>
      </c>
      <c r="R92" s="1370">
        <v>10</v>
      </c>
      <c r="AB92" s="1371" t="s">
        <v>116</v>
      </c>
      <c r="AD92" s="1371">
        <v>-0.25412960609911101</v>
      </c>
      <c r="AE92" s="1371" t="s">
        <v>1768</v>
      </c>
      <c r="AF92" s="1371" t="s">
        <v>1808</v>
      </c>
      <c r="AG92" s="1347">
        <v>1</v>
      </c>
      <c r="CB92" s="34" t="s">
        <v>146</v>
      </c>
      <c r="CC92" s="34" t="s">
        <v>167</v>
      </c>
      <c r="CD92" s="34" t="s">
        <v>145</v>
      </c>
      <c r="CF92" s="34">
        <v>-966</v>
      </c>
      <c r="CG92" s="34">
        <v>28</v>
      </c>
      <c r="CH92" s="34">
        <v>0</v>
      </c>
      <c r="CL92" s="34" t="s">
        <v>700</v>
      </c>
      <c r="CM92" s="34">
        <v>2</v>
      </c>
    </row>
    <row r="93" spans="1:93" x14ac:dyDescent="0.2">
      <c r="A93" s="1368" t="s">
        <v>1578</v>
      </c>
      <c r="B93" s="1369">
        <v>4</v>
      </c>
      <c r="C93" s="1368" t="s">
        <v>1796</v>
      </c>
      <c r="D93" s="1369">
        <v>49</v>
      </c>
      <c r="E93" s="1370">
        <v>2.25</v>
      </c>
      <c r="F93" s="1369">
        <v>8</v>
      </c>
      <c r="G93" s="1370">
        <v>11.125</v>
      </c>
      <c r="I93" s="1371" t="s">
        <v>1766</v>
      </c>
      <c r="J93" s="1370">
        <v>5</v>
      </c>
      <c r="R93" s="1370">
        <v>10</v>
      </c>
      <c r="U93" s="1370" t="s">
        <v>1766</v>
      </c>
      <c r="AB93" s="1371" t="s">
        <v>116</v>
      </c>
      <c r="AD93" s="1371">
        <v>-0.25412960609911101</v>
      </c>
      <c r="AE93" s="1371" t="s">
        <v>1392</v>
      </c>
      <c r="AF93" s="1371" t="s">
        <v>1808</v>
      </c>
      <c r="AG93" s="1347">
        <v>1</v>
      </c>
      <c r="CB93" s="34" t="s">
        <v>157</v>
      </c>
      <c r="CC93" s="34" t="s">
        <v>167</v>
      </c>
      <c r="CD93" s="34" t="s">
        <v>145</v>
      </c>
      <c r="CF93" s="34">
        <v>966</v>
      </c>
    </row>
    <row r="94" spans="1:93" x14ac:dyDescent="0.2">
      <c r="A94" s="1368" t="s">
        <v>1579</v>
      </c>
      <c r="B94" s="1369">
        <v>2</v>
      </c>
      <c r="C94" s="1368" t="s">
        <v>1796</v>
      </c>
      <c r="D94" s="1369">
        <v>49</v>
      </c>
      <c r="E94" s="1370">
        <v>2.25</v>
      </c>
      <c r="F94" s="1369">
        <v>8</v>
      </c>
      <c r="G94" s="1370">
        <v>11.125</v>
      </c>
      <c r="R94" s="1370">
        <v>10</v>
      </c>
      <c r="AB94" s="1371" t="s">
        <v>116</v>
      </c>
      <c r="AD94" s="1371">
        <v>-0.25412960609911101</v>
      </c>
      <c r="AE94" s="1371" t="s">
        <v>1773</v>
      </c>
      <c r="AF94" s="1371" t="s">
        <v>1808</v>
      </c>
      <c r="AG94" s="1347">
        <v>1</v>
      </c>
      <c r="CB94" s="34" t="s">
        <v>146</v>
      </c>
      <c r="CC94" s="34" t="s">
        <v>165</v>
      </c>
      <c r="CD94" s="34" t="s">
        <v>145</v>
      </c>
      <c r="CF94" s="34">
        <v>96</v>
      </c>
      <c r="CG94" s="34">
        <v>28</v>
      </c>
      <c r="CH94" s="34">
        <v>0</v>
      </c>
      <c r="CL94" s="34" t="s">
        <v>700</v>
      </c>
    </row>
    <row r="95" spans="1:93" x14ac:dyDescent="0.2">
      <c r="A95" s="1368" t="s">
        <v>1580</v>
      </c>
      <c r="B95" s="1369">
        <v>14</v>
      </c>
      <c r="C95" s="1368" t="s">
        <v>1796</v>
      </c>
      <c r="D95" s="1369">
        <v>49</v>
      </c>
      <c r="E95" s="1370">
        <v>2.25</v>
      </c>
      <c r="F95" s="1369">
        <v>9</v>
      </c>
      <c r="G95" s="1370">
        <v>11.125</v>
      </c>
      <c r="I95" s="1371" t="s">
        <v>1766</v>
      </c>
      <c r="J95" s="1370">
        <v>5</v>
      </c>
      <c r="N95" s="1369" t="s">
        <v>1766</v>
      </c>
      <c r="R95" s="1370">
        <v>13</v>
      </c>
      <c r="U95" s="1370" t="s">
        <v>1766</v>
      </c>
      <c r="AB95" s="1371" t="s">
        <v>116</v>
      </c>
      <c r="AD95" s="1371">
        <v>-0.25412960609911101</v>
      </c>
      <c r="AE95" s="1371" t="s">
        <v>1392</v>
      </c>
      <c r="AF95" s="1371" t="s">
        <v>1808</v>
      </c>
      <c r="AG95" s="1347">
        <v>1</v>
      </c>
      <c r="CA95" s="34">
        <v>24</v>
      </c>
      <c r="CB95" s="34" t="s">
        <v>151</v>
      </c>
      <c r="CC95" s="34" t="s">
        <v>165</v>
      </c>
      <c r="CD95" s="34" t="s">
        <v>145</v>
      </c>
      <c r="CF95" s="34">
        <v>12</v>
      </c>
      <c r="CN95" s="34" t="s">
        <v>1653</v>
      </c>
      <c r="CO95" s="34">
        <v>1</v>
      </c>
    </row>
    <row r="96" spans="1:93" x14ac:dyDescent="0.2">
      <c r="A96" s="1368" t="s">
        <v>1581</v>
      </c>
      <c r="B96" s="1369">
        <v>9</v>
      </c>
      <c r="C96" s="1368" t="s">
        <v>1796</v>
      </c>
      <c r="D96" s="1369">
        <v>49</v>
      </c>
      <c r="E96" s="1370">
        <v>2.25</v>
      </c>
      <c r="F96" s="1369">
        <v>8</v>
      </c>
      <c r="G96" s="1370">
        <v>11.125</v>
      </c>
      <c r="R96" s="1370">
        <v>10</v>
      </c>
      <c r="AB96" s="1371" t="s">
        <v>116</v>
      </c>
      <c r="AD96" s="1371">
        <v>-0.25412960609911101</v>
      </c>
      <c r="AE96" s="1371" t="s">
        <v>1769</v>
      </c>
      <c r="AF96" s="1371" t="s">
        <v>1808</v>
      </c>
      <c r="AG96" s="1347">
        <v>1</v>
      </c>
      <c r="CA96" s="34">
        <v>25</v>
      </c>
      <c r="CB96" s="34" t="s">
        <v>154</v>
      </c>
      <c r="CC96" s="34" t="s">
        <v>167</v>
      </c>
      <c r="CD96" s="34" t="s">
        <v>145</v>
      </c>
      <c r="CF96" s="34">
        <v>1070</v>
      </c>
      <c r="CN96" s="34" t="s">
        <v>1655</v>
      </c>
      <c r="CO96" s="34">
        <v>6</v>
      </c>
    </row>
    <row r="97" spans="1:93" x14ac:dyDescent="0.2">
      <c r="A97" s="1368" t="s">
        <v>1582</v>
      </c>
      <c r="B97" s="1369">
        <v>1</v>
      </c>
      <c r="C97" s="1368" t="s">
        <v>1796</v>
      </c>
      <c r="D97" s="1369">
        <v>49</v>
      </c>
      <c r="E97" s="1370">
        <v>2.25</v>
      </c>
      <c r="F97" s="1369">
        <v>9</v>
      </c>
      <c r="G97" s="1370">
        <v>11.125</v>
      </c>
      <c r="I97" s="1371" t="s">
        <v>1766</v>
      </c>
      <c r="J97" s="1370">
        <v>5</v>
      </c>
      <c r="N97" s="1369" t="s">
        <v>1766</v>
      </c>
      <c r="R97" s="1370">
        <v>13</v>
      </c>
      <c r="U97" s="1370" t="s">
        <v>1766</v>
      </c>
      <c r="AB97" s="1371" t="s">
        <v>116</v>
      </c>
      <c r="AD97" s="1371">
        <v>-0.25412960609911101</v>
      </c>
      <c r="AE97" s="1371" t="s">
        <v>1769</v>
      </c>
      <c r="AF97" s="1371" t="s">
        <v>1808</v>
      </c>
      <c r="AG97" s="1347">
        <v>1</v>
      </c>
      <c r="CB97" s="34" t="s">
        <v>154</v>
      </c>
      <c r="CC97" s="34" t="s">
        <v>167</v>
      </c>
      <c r="CD97" s="34" t="s">
        <v>145</v>
      </c>
      <c r="CF97" s="34">
        <v>-1070</v>
      </c>
      <c r="CM97" s="34">
        <v>2</v>
      </c>
    </row>
    <row r="98" spans="1:93" x14ac:dyDescent="0.2">
      <c r="A98" s="1368" t="s">
        <v>1583</v>
      </c>
      <c r="B98" s="1369">
        <v>276</v>
      </c>
      <c r="C98" s="1368" t="s">
        <v>1765</v>
      </c>
      <c r="D98" s="1369">
        <v>60</v>
      </c>
      <c r="E98" s="1370">
        <v>0</v>
      </c>
      <c r="F98" s="1369">
        <v>4</v>
      </c>
      <c r="G98" s="1370">
        <v>11.125</v>
      </c>
      <c r="R98" s="1370">
        <v>4</v>
      </c>
      <c r="S98" s="1370">
        <v>11.125</v>
      </c>
      <c r="AB98" s="1371" t="s">
        <v>116</v>
      </c>
      <c r="AD98" s="1371">
        <v>0.375</v>
      </c>
      <c r="AE98" s="1371" t="s">
        <v>1392</v>
      </c>
      <c r="AF98" s="1371" t="s">
        <v>116</v>
      </c>
      <c r="AG98" s="1347">
        <v>1</v>
      </c>
      <c r="CB98" s="34" t="s">
        <v>151</v>
      </c>
      <c r="CC98" s="34" t="s">
        <v>167</v>
      </c>
      <c r="CD98" s="34" t="s">
        <v>145</v>
      </c>
      <c r="CF98" s="34">
        <v>14</v>
      </c>
    </row>
    <row r="99" spans="1:93" x14ac:dyDescent="0.2">
      <c r="A99" s="1368" t="s">
        <v>1584</v>
      </c>
      <c r="B99" s="1369">
        <v>27</v>
      </c>
      <c r="C99" s="1368" t="s">
        <v>1765</v>
      </c>
      <c r="D99" s="1369">
        <v>60</v>
      </c>
      <c r="E99" s="1370">
        <v>0</v>
      </c>
      <c r="F99" s="1369">
        <v>4</v>
      </c>
      <c r="G99" s="1370">
        <v>11.125</v>
      </c>
      <c r="R99" s="1370">
        <v>4</v>
      </c>
      <c r="S99" s="1370">
        <v>11.125</v>
      </c>
      <c r="AB99" s="1371" t="s">
        <v>116</v>
      </c>
      <c r="AD99" s="1371">
        <v>0.375</v>
      </c>
      <c r="AE99" s="1371" t="s">
        <v>1768</v>
      </c>
      <c r="AF99" s="1371" t="s">
        <v>116</v>
      </c>
      <c r="AG99" s="1347">
        <v>1</v>
      </c>
      <c r="CB99" s="34" t="s">
        <v>151</v>
      </c>
      <c r="CC99" s="34" t="s">
        <v>167</v>
      </c>
      <c r="CD99" s="34" t="s">
        <v>145</v>
      </c>
      <c r="CF99" s="34">
        <v>-14</v>
      </c>
      <c r="CM99" s="34">
        <v>2</v>
      </c>
    </row>
    <row r="100" spans="1:93" x14ac:dyDescent="0.2">
      <c r="A100" s="1368" t="s">
        <v>1585</v>
      </c>
      <c r="B100" s="1369">
        <v>10</v>
      </c>
      <c r="C100" s="1368" t="s">
        <v>1765</v>
      </c>
      <c r="D100" s="1369">
        <v>60</v>
      </c>
      <c r="E100" s="1370">
        <v>0</v>
      </c>
      <c r="F100" s="1369">
        <v>4</v>
      </c>
      <c r="G100" s="1370">
        <v>11.125</v>
      </c>
      <c r="I100" s="1371" t="s">
        <v>1766</v>
      </c>
      <c r="J100" s="1370">
        <v>5</v>
      </c>
      <c r="R100" s="1370">
        <v>4</v>
      </c>
      <c r="S100" s="1370">
        <v>11.125</v>
      </c>
      <c r="U100" s="1370" t="s">
        <v>1766</v>
      </c>
      <c r="V100" s="1370">
        <v>5</v>
      </c>
      <c r="AB100" s="1371" t="s">
        <v>116</v>
      </c>
      <c r="AD100" s="1371">
        <v>0.375</v>
      </c>
      <c r="AE100" s="1371" t="s">
        <v>1392</v>
      </c>
      <c r="AF100" s="1371" t="s">
        <v>116</v>
      </c>
      <c r="AG100" s="1347">
        <v>1</v>
      </c>
      <c r="CB100" s="34" t="s">
        <v>157</v>
      </c>
      <c r="CC100" s="34" t="s">
        <v>167</v>
      </c>
      <c r="CD100" s="34" t="s">
        <v>145</v>
      </c>
      <c r="CF100" s="34">
        <v>1844</v>
      </c>
    </row>
    <row r="101" spans="1:93" x14ac:dyDescent="0.2">
      <c r="A101" s="1368" t="s">
        <v>1586</v>
      </c>
      <c r="B101" s="1369">
        <v>6</v>
      </c>
      <c r="C101" s="1368" t="s">
        <v>1765</v>
      </c>
      <c r="D101" s="1369">
        <v>60</v>
      </c>
      <c r="E101" s="1370">
        <v>0</v>
      </c>
      <c r="F101" s="1369">
        <v>4</v>
      </c>
      <c r="G101" s="1370">
        <v>11.125</v>
      </c>
      <c r="R101" s="1370">
        <v>4</v>
      </c>
      <c r="S101" s="1370">
        <v>11.125</v>
      </c>
      <c r="AB101" s="1371" t="s">
        <v>116</v>
      </c>
      <c r="AD101" s="1371">
        <v>0.375</v>
      </c>
      <c r="AE101" s="1371" t="s">
        <v>1773</v>
      </c>
      <c r="AF101" s="1371" t="s">
        <v>116</v>
      </c>
      <c r="AG101" s="1347">
        <v>1</v>
      </c>
      <c r="CB101" s="34" t="s">
        <v>151</v>
      </c>
      <c r="CC101" s="34" t="s">
        <v>165</v>
      </c>
      <c r="CD101" s="34" t="s">
        <v>145</v>
      </c>
      <c r="CF101" s="34">
        <v>37</v>
      </c>
    </row>
    <row r="102" spans="1:93" x14ac:dyDescent="0.2">
      <c r="A102" s="1368" t="s">
        <v>1587</v>
      </c>
      <c r="B102" s="1369">
        <v>41</v>
      </c>
      <c r="C102" s="1368" t="s">
        <v>1765</v>
      </c>
      <c r="D102" s="1369">
        <v>60</v>
      </c>
      <c r="E102" s="1370">
        <v>0</v>
      </c>
      <c r="F102" s="1369">
        <v>15</v>
      </c>
      <c r="G102" s="1370">
        <v>11.125</v>
      </c>
      <c r="I102" s="1371" t="s">
        <v>1766</v>
      </c>
      <c r="J102" s="1370">
        <v>5</v>
      </c>
      <c r="N102" s="1369" t="s">
        <v>1766</v>
      </c>
      <c r="R102" s="1370">
        <v>15</v>
      </c>
      <c r="S102" s="1370">
        <v>11.125</v>
      </c>
      <c r="U102" s="1370" t="s">
        <v>1766</v>
      </c>
      <c r="V102" s="1370">
        <v>5</v>
      </c>
      <c r="Z102" s="1371" t="s">
        <v>1766</v>
      </c>
      <c r="AB102" s="1371" t="s">
        <v>116</v>
      </c>
      <c r="AD102" s="1371">
        <v>0.375</v>
      </c>
      <c r="AE102" s="1371" t="s">
        <v>1392</v>
      </c>
      <c r="AF102" s="1371" t="s">
        <v>116</v>
      </c>
      <c r="AG102" s="1347">
        <v>1</v>
      </c>
      <c r="CA102" s="34">
        <v>26</v>
      </c>
      <c r="CB102" s="34" t="s">
        <v>154</v>
      </c>
      <c r="CC102" s="34" t="s">
        <v>167</v>
      </c>
      <c r="CD102" s="34" t="s">
        <v>145</v>
      </c>
      <c r="CF102" s="34">
        <v>1888</v>
      </c>
      <c r="CN102" s="34" t="s">
        <v>1657</v>
      </c>
      <c r="CO102" s="34">
        <v>2</v>
      </c>
    </row>
    <row r="103" spans="1:93" x14ac:dyDescent="0.2">
      <c r="A103" s="1368" t="s">
        <v>1588</v>
      </c>
      <c r="B103" s="1369">
        <v>29</v>
      </c>
      <c r="C103" s="1368" t="s">
        <v>1765</v>
      </c>
      <c r="D103" s="1369">
        <v>60</v>
      </c>
      <c r="E103" s="1370">
        <v>0</v>
      </c>
      <c r="F103" s="1369">
        <v>4</v>
      </c>
      <c r="G103" s="1370">
        <v>11.125</v>
      </c>
      <c r="R103" s="1370">
        <v>4</v>
      </c>
      <c r="S103" s="1370">
        <v>11.125</v>
      </c>
      <c r="AB103" s="1371" t="s">
        <v>116</v>
      </c>
      <c r="AD103" s="1371">
        <v>0.375</v>
      </c>
      <c r="AE103" s="1371" t="s">
        <v>1769</v>
      </c>
      <c r="AF103" s="1371" t="s">
        <v>116</v>
      </c>
      <c r="AG103" s="1347">
        <v>1</v>
      </c>
      <c r="CB103" s="34" t="s">
        <v>154</v>
      </c>
      <c r="CC103" s="34" t="s">
        <v>165</v>
      </c>
      <c r="CD103" s="34" t="s">
        <v>145</v>
      </c>
      <c r="CF103" s="34">
        <v>2220</v>
      </c>
    </row>
    <row r="104" spans="1:93" x14ac:dyDescent="0.2">
      <c r="A104" s="1368" t="s">
        <v>1589</v>
      </c>
      <c r="B104" s="1369">
        <v>3</v>
      </c>
      <c r="C104" s="1368" t="s">
        <v>1765</v>
      </c>
      <c r="D104" s="1369">
        <v>60</v>
      </c>
      <c r="E104" s="1370">
        <v>0</v>
      </c>
      <c r="F104" s="1369">
        <v>15</v>
      </c>
      <c r="G104" s="1370">
        <v>11.125</v>
      </c>
      <c r="I104" s="1371" t="s">
        <v>1766</v>
      </c>
      <c r="J104" s="1370">
        <v>5</v>
      </c>
      <c r="N104" s="1369" t="s">
        <v>1766</v>
      </c>
      <c r="R104" s="1370">
        <v>15</v>
      </c>
      <c r="S104" s="1370">
        <v>11.125</v>
      </c>
      <c r="U104" s="1370" t="s">
        <v>1766</v>
      </c>
      <c r="V104" s="1370">
        <v>5</v>
      </c>
      <c r="Z104" s="1371" t="s">
        <v>1766</v>
      </c>
      <c r="AB104" s="1371" t="s">
        <v>116</v>
      </c>
      <c r="AD104" s="1371">
        <v>0.375</v>
      </c>
      <c r="AE104" s="1371" t="s">
        <v>1769</v>
      </c>
      <c r="AF104" s="1371" t="s">
        <v>116</v>
      </c>
      <c r="AG104" s="1347">
        <v>1</v>
      </c>
      <c r="CA104" s="34">
        <v>27</v>
      </c>
      <c r="CB104" s="34" t="s">
        <v>146</v>
      </c>
      <c r="CC104" s="34" t="s">
        <v>167</v>
      </c>
      <c r="CD104" s="34" t="s">
        <v>145</v>
      </c>
      <c r="CF104" s="34">
        <v>1844</v>
      </c>
      <c r="CG104" s="34">
        <v>3</v>
      </c>
      <c r="CH104" s="34">
        <v>0</v>
      </c>
      <c r="CL104" s="34" t="s">
        <v>702</v>
      </c>
      <c r="CN104" s="34" t="s">
        <v>1659</v>
      </c>
      <c r="CO104" s="34">
        <v>4</v>
      </c>
    </row>
    <row r="105" spans="1:93" x14ac:dyDescent="0.2">
      <c r="A105" s="1368" t="s">
        <v>1590</v>
      </c>
      <c r="B105" s="1369">
        <v>2</v>
      </c>
      <c r="C105" s="1368" t="s">
        <v>1765</v>
      </c>
      <c r="D105" s="1369">
        <v>60</v>
      </c>
      <c r="E105" s="1370">
        <v>0</v>
      </c>
      <c r="F105" s="1369">
        <v>4</v>
      </c>
      <c r="G105" s="1370">
        <v>11.125</v>
      </c>
      <c r="I105" s="1371" t="s">
        <v>1766</v>
      </c>
      <c r="J105" s="1370">
        <v>5</v>
      </c>
      <c r="R105" s="1370">
        <v>4</v>
      </c>
      <c r="S105" s="1370">
        <v>11.125</v>
      </c>
      <c r="U105" s="1370" t="s">
        <v>1766</v>
      </c>
      <c r="V105" s="1370">
        <v>5</v>
      </c>
      <c r="AB105" s="1371" t="s">
        <v>116</v>
      </c>
      <c r="AD105" s="1371">
        <v>0.14178321678321601</v>
      </c>
      <c r="AE105" s="1371" t="s">
        <v>1392</v>
      </c>
      <c r="AF105" s="1371" t="s">
        <v>116</v>
      </c>
      <c r="AG105" s="1347">
        <v>1</v>
      </c>
      <c r="CB105" s="34" t="s">
        <v>146</v>
      </c>
      <c r="CC105" s="34" t="s">
        <v>167</v>
      </c>
      <c r="CD105" s="34" t="s">
        <v>145</v>
      </c>
      <c r="CF105" s="34">
        <v>-1844</v>
      </c>
      <c r="CG105" s="34">
        <v>3</v>
      </c>
      <c r="CH105" s="34">
        <v>0</v>
      </c>
      <c r="CL105" s="34" t="s">
        <v>702</v>
      </c>
      <c r="CM105" s="34">
        <v>2</v>
      </c>
    </row>
    <row r="106" spans="1:93" x14ac:dyDescent="0.2">
      <c r="A106" s="1368" t="s">
        <v>1591</v>
      </c>
      <c r="B106" s="1369">
        <v>12</v>
      </c>
      <c r="C106" s="1368" t="s">
        <v>1765</v>
      </c>
      <c r="D106" s="1369">
        <v>60</v>
      </c>
      <c r="E106" s="1370">
        <v>0</v>
      </c>
      <c r="F106" s="1369">
        <v>4</v>
      </c>
      <c r="G106" s="1370">
        <v>11.125</v>
      </c>
      <c r="R106" s="1370">
        <v>4</v>
      </c>
      <c r="S106" s="1370">
        <v>11.125</v>
      </c>
      <c r="AB106" s="1371" t="s">
        <v>116</v>
      </c>
      <c r="AD106" s="1371">
        <v>0.25926573426573502</v>
      </c>
      <c r="AE106" s="1371" t="s">
        <v>1392</v>
      </c>
      <c r="AF106" s="1371" t="s">
        <v>116</v>
      </c>
      <c r="AG106" s="1347">
        <v>1</v>
      </c>
      <c r="CB106" s="34" t="s">
        <v>157</v>
      </c>
      <c r="CC106" s="34" t="s">
        <v>167</v>
      </c>
      <c r="CD106" s="34" t="s">
        <v>145</v>
      </c>
      <c r="CF106" s="34">
        <v>1844</v>
      </c>
    </row>
    <row r="107" spans="1:93" x14ac:dyDescent="0.2">
      <c r="A107" s="1368" t="s">
        <v>1592</v>
      </c>
      <c r="B107" s="1369">
        <v>8</v>
      </c>
      <c r="C107" s="1368" t="s">
        <v>1765</v>
      </c>
      <c r="D107" s="1369">
        <v>60</v>
      </c>
      <c r="E107" s="1370">
        <v>0</v>
      </c>
      <c r="F107" s="1369">
        <v>4</v>
      </c>
      <c r="G107" s="1370">
        <v>11.125</v>
      </c>
      <c r="R107" s="1370">
        <v>4</v>
      </c>
      <c r="S107" s="1370">
        <v>11.125</v>
      </c>
      <c r="AB107" s="1371" t="s">
        <v>116</v>
      </c>
      <c r="AD107" s="1371">
        <v>0.375</v>
      </c>
      <c r="AE107" s="1371" t="s">
        <v>1811</v>
      </c>
      <c r="AF107" s="1371" t="s">
        <v>116</v>
      </c>
      <c r="AG107" s="1347">
        <v>1</v>
      </c>
      <c r="CB107" s="34" t="s">
        <v>146</v>
      </c>
      <c r="CC107" s="34" t="s">
        <v>165</v>
      </c>
      <c r="CD107" s="34" t="s">
        <v>145</v>
      </c>
      <c r="CF107" s="34">
        <v>296</v>
      </c>
      <c r="CG107" s="34">
        <v>3</v>
      </c>
      <c r="CH107" s="34">
        <v>0</v>
      </c>
      <c r="CL107" s="34" t="s">
        <v>702</v>
      </c>
    </row>
    <row r="108" spans="1:93" x14ac:dyDescent="0.2">
      <c r="A108" s="1368" t="s">
        <v>1593</v>
      </c>
      <c r="B108" s="1369">
        <v>1</v>
      </c>
      <c r="C108" s="1368" t="s">
        <v>1765</v>
      </c>
      <c r="D108" s="1369">
        <v>60</v>
      </c>
      <c r="E108" s="1370">
        <v>0</v>
      </c>
      <c r="F108" s="1369">
        <v>4</v>
      </c>
      <c r="G108" s="1370">
        <v>11.125</v>
      </c>
      <c r="R108" s="1370">
        <v>4</v>
      </c>
      <c r="S108" s="1370">
        <v>11.125</v>
      </c>
      <c r="AB108" s="1371" t="s">
        <v>116</v>
      </c>
      <c r="AD108" s="1371">
        <v>0.375</v>
      </c>
      <c r="AE108" s="1371" t="s">
        <v>1812</v>
      </c>
      <c r="AF108" s="1371" t="s">
        <v>116</v>
      </c>
      <c r="AG108" s="1347">
        <v>1</v>
      </c>
      <c r="CA108" s="34">
        <v>28</v>
      </c>
      <c r="CB108" s="34" t="s">
        <v>146</v>
      </c>
      <c r="CC108" s="34" t="s">
        <v>167</v>
      </c>
      <c r="CD108" s="34" t="s">
        <v>145</v>
      </c>
      <c r="CF108" s="34">
        <v>1844</v>
      </c>
      <c r="CG108" s="34">
        <v>3</v>
      </c>
      <c r="CH108" s="34">
        <v>0</v>
      </c>
      <c r="CI108" s="34">
        <v>1844</v>
      </c>
      <c r="CJ108" s="34">
        <v>7</v>
      </c>
      <c r="CK108" s="34">
        <v>3</v>
      </c>
      <c r="CL108" s="34" t="s">
        <v>702</v>
      </c>
      <c r="CN108" s="34" t="s">
        <v>1659</v>
      </c>
      <c r="CO108" s="34">
        <v>4</v>
      </c>
    </row>
    <row r="109" spans="1:93" x14ac:dyDescent="0.2">
      <c r="A109" s="1368" t="s">
        <v>1594</v>
      </c>
      <c r="B109" s="1369">
        <v>1</v>
      </c>
      <c r="C109" s="1368" t="s">
        <v>1765</v>
      </c>
      <c r="D109" s="1369">
        <v>60</v>
      </c>
      <c r="E109" s="1370">
        <v>0</v>
      </c>
      <c r="F109" s="1369">
        <v>15</v>
      </c>
      <c r="G109" s="1370">
        <v>11.125</v>
      </c>
      <c r="I109" s="1371" t="s">
        <v>1766</v>
      </c>
      <c r="J109" s="1370">
        <v>5</v>
      </c>
      <c r="N109" s="1369" t="s">
        <v>1766</v>
      </c>
      <c r="R109" s="1370">
        <v>15</v>
      </c>
      <c r="S109" s="1370">
        <v>11.125</v>
      </c>
      <c r="U109" s="1370" t="s">
        <v>1766</v>
      </c>
      <c r="V109" s="1370">
        <v>5</v>
      </c>
      <c r="Z109" s="1371" t="s">
        <v>1766</v>
      </c>
      <c r="AB109" s="1371" t="s">
        <v>116</v>
      </c>
      <c r="AD109" s="1371">
        <v>0.375</v>
      </c>
      <c r="AE109" s="1371" t="s">
        <v>1812</v>
      </c>
      <c r="AF109" s="1371" t="s">
        <v>116</v>
      </c>
      <c r="AG109" s="1347">
        <v>1</v>
      </c>
      <c r="CB109" s="34" t="s">
        <v>146</v>
      </c>
      <c r="CC109" s="34" t="s">
        <v>167</v>
      </c>
      <c r="CD109" s="34" t="s">
        <v>145</v>
      </c>
      <c r="CF109" s="34">
        <v>-1844</v>
      </c>
      <c r="CG109" s="34">
        <v>3</v>
      </c>
      <c r="CH109" s="34">
        <v>0</v>
      </c>
      <c r="CI109" s="34">
        <v>-1844</v>
      </c>
      <c r="CJ109" s="34">
        <v>7</v>
      </c>
      <c r="CK109" s="34">
        <v>3</v>
      </c>
      <c r="CL109" s="34" t="s">
        <v>702</v>
      </c>
      <c r="CM109" s="34">
        <v>2</v>
      </c>
    </row>
    <row r="110" spans="1:93" x14ac:dyDescent="0.2">
      <c r="A110" s="1368" t="s">
        <v>1595</v>
      </c>
      <c r="B110" s="1369">
        <v>1</v>
      </c>
      <c r="C110" s="1368" t="s">
        <v>1765</v>
      </c>
      <c r="D110" s="1369">
        <v>60</v>
      </c>
      <c r="E110" s="1370">
        <v>0</v>
      </c>
      <c r="F110" s="1369">
        <v>4</v>
      </c>
      <c r="G110" s="1370">
        <v>11.125</v>
      </c>
      <c r="R110" s="1370">
        <v>4</v>
      </c>
      <c r="S110" s="1370">
        <v>11.125</v>
      </c>
      <c r="AB110" s="1371" t="s">
        <v>116</v>
      </c>
      <c r="AD110" s="1371">
        <v>0.375</v>
      </c>
      <c r="AE110" s="1371" t="s">
        <v>1813</v>
      </c>
      <c r="AF110" s="1371" t="s">
        <v>116</v>
      </c>
      <c r="AG110" s="1347">
        <v>1</v>
      </c>
      <c r="CB110" s="34" t="s">
        <v>157</v>
      </c>
      <c r="CC110" s="34" t="s">
        <v>167</v>
      </c>
      <c r="CD110" s="34" t="s">
        <v>145</v>
      </c>
      <c r="CF110" s="34">
        <v>1844</v>
      </c>
    </row>
    <row r="111" spans="1:93" x14ac:dyDescent="0.2">
      <c r="A111" s="1368" t="s">
        <v>1596</v>
      </c>
      <c r="B111" s="1369">
        <v>8</v>
      </c>
      <c r="C111" s="1368" t="s">
        <v>1765</v>
      </c>
      <c r="D111" s="1369">
        <v>59</v>
      </c>
      <c r="E111" s="1370">
        <v>7</v>
      </c>
      <c r="F111" s="1369">
        <v>4</v>
      </c>
      <c r="G111" s="1370">
        <v>11.125</v>
      </c>
      <c r="R111" s="1370">
        <v>14</v>
      </c>
      <c r="S111" s="1370">
        <v>10.5</v>
      </c>
      <c r="AB111" s="1371" t="s">
        <v>116</v>
      </c>
      <c r="AD111" s="1371">
        <v>-0.74685314685314697</v>
      </c>
      <c r="AE111" s="1371" t="s">
        <v>1770</v>
      </c>
      <c r="AF111" s="1371" t="s">
        <v>116</v>
      </c>
      <c r="AG111" s="1347">
        <v>1</v>
      </c>
      <c r="CB111" s="34" t="s">
        <v>146</v>
      </c>
      <c r="CC111" s="34" t="s">
        <v>165</v>
      </c>
      <c r="CD111" s="34" t="s">
        <v>145</v>
      </c>
      <c r="CF111" s="34">
        <v>296</v>
      </c>
      <c r="CG111" s="34">
        <v>3</v>
      </c>
      <c r="CH111" s="34">
        <v>0</v>
      </c>
      <c r="CI111" s="34">
        <v>600</v>
      </c>
      <c r="CJ111" s="34">
        <v>7</v>
      </c>
      <c r="CK111" s="34">
        <v>3</v>
      </c>
      <c r="CL111" s="34" t="s">
        <v>702</v>
      </c>
    </row>
    <row r="112" spans="1:93" x14ac:dyDescent="0.2">
      <c r="A112" s="1368" t="s">
        <v>1597</v>
      </c>
      <c r="B112" s="1369">
        <v>2</v>
      </c>
      <c r="C112" s="1368" t="s">
        <v>1765</v>
      </c>
      <c r="D112" s="1369">
        <v>59</v>
      </c>
      <c r="E112" s="1370">
        <v>7</v>
      </c>
      <c r="F112" s="1369">
        <v>4</v>
      </c>
      <c r="G112" s="1370">
        <v>11.125</v>
      </c>
      <c r="R112" s="1370">
        <v>14</v>
      </c>
      <c r="S112" s="1370">
        <v>10.5</v>
      </c>
      <c r="AB112" s="1371" t="s">
        <v>116</v>
      </c>
      <c r="AD112" s="1371">
        <v>-0.74685314685314697</v>
      </c>
      <c r="AE112" s="1371" t="s">
        <v>1771</v>
      </c>
      <c r="AF112" s="1371" t="s">
        <v>116</v>
      </c>
      <c r="AG112" s="1347">
        <v>1</v>
      </c>
      <c r="CA112" s="34">
        <v>29</v>
      </c>
      <c r="CB112" s="34" t="s">
        <v>146</v>
      </c>
      <c r="CC112" s="34" t="s">
        <v>167</v>
      </c>
      <c r="CD112" s="34" t="s">
        <v>145</v>
      </c>
      <c r="CF112" s="34">
        <v>1844</v>
      </c>
      <c r="CG112" s="34">
        <v>7</v>
      </c>
      <c r="CH112" s="34">
        <v>3</v>
      </c>
      <c r="CL112" s="34" t="s">
        <v>702</v>
      </c>
      <c r="CN112" s="34" t="s">
        <v>1659</v>
      </c>
      <c r="CO112" s="34">
        <v>2</v>
      </c>
    </row>
    <row r="113" spans="1:93" x14ac:dyDescent="0.2">
      <c r="A113" s="1368" t="s">
        <v>1598</v>
      </c>
      <c r="B113" s="1369">
        <v>2</v>
      </c>
      <c r="C113" s="1368" t="s">
        <v>1765</v>
      </c>
      <c r="D113" s="1369">
        <v>59</v>
      </c>
      <c r="E113" s="1370">
        <v>7</v>
      </c>
      <c r="F113" s="1369">
        <v>4</v>
      </c>
      <c r="G113" s="1370">
        <v>11.125</v>
      </c>
      <c r="I113" s="1371" t="s">
        <v>1766</v>
      </c>
      <c r="J113" s="1370">
        <v>5</v>
      </c>
      <c r="R113" s="1370">
        <v>14</v>
      </c>
      <c r="S113" s="1370">
        <v>10.5</v>
      </c>
      <c r="U113" s="1370" t="s">
        <v>1766</v>
      </c>
      <c r="V113" s="1370">
        <v>5.5</v>
      </c>
      <c r="AB113" s="1371" t="s">
        <v>116</v>
      </c>
      <c r="AD113" s="1371">
        <v>-0.74685314685314697</v>
      </c>
      <c r="AE113" s="1371" t="s">
        <v>1770</v>
      </c>
      <c r="AF113" s="1371" t="s">
        <v>116</v>
      </c>
      <c r="AG113" s="1347">
        <v>1</v>
      </c>
      <c r="CB113" s="34" t="s">
        <v>146</v>
      </c>
      <c r="CC113" s="34" t="s">
        <v>165</v>
      </c>
      <c r="CD113" s="34" t="s">
        <v>145</v>
      </c>
      <c r="CF113" s="34">
        <v>296</v>
      </c>
      <c r="CG113" s="34">
        <v>7</v>
      </c>
      <c r="CH113" s="34">
        <v>3</v>
      </c>
      <c r="CL113" s="34" t="s">
        <v>702</v>
      </c>
    </row>
    <row r="114" spans="1:93" x14ac:dyDescent="0.2">
      <c r="A114" s="1368" t="s">
        <v>1599</v>
      </c>
      <c r="B114" s="1369">
        <v>2</v>
      </c>
      <c r="C114" s="1368" t="s">
        <v>1765</v>
      </c>
      <c r="D114" s="1369">
        <v>59</v>
      </c>
      <c r="E114" s="1370">
        <v>7</v>
      </c>
      <c r="F114" s="1369">
        <v>4</v>
      </c>
      <c r="G114" s="1370">
        <v>11.125</v>
      </c>
      <c r="R114" s="1370">
        <v>14</v>
      </c>
      <c r="S114" s="1370">
        <v>10.5</v>
      </c>
      <c r="AB114" s="1371" t="s">
        <v>116</v>
      </c>
      <c r="AD114" s="1371">
        <v>-0.74685314685314697</v>
      </c>
      <c r="AE114" s="1371" t="s">
        <v>1814</v>
      </c>
      <c r="AF114" s="1371" t="s">
        <v>116</v>
      </c>
      <c r="AG114" s="1347">
        <v>1</v>
      </c>
      <c r="CA114" s="34">
        <v>30</v>
      </c>
      <c r="CB114" s="34" t="s">
        <v>146</v>
      </c>
      <c r="CC114" s="34" t="s">
        <v>167</v>
      </c>
      <c r="CD114" s="34" t="s">
        <v>145</v>
      </c>
      <c r="CF114" s="34">
        <v>1844</v>
      </c>
      <c r="CG114" s="34">
        <v>22</v>
      </c>
      <c r="CH114" s="34">
        <v>6</v>
      </c>
      <c r="CL114" s="34" t="s">
        <v>702</v>
      </c>
      <c r="CN114" s="34" t="s">
        <v>1659</v>
      </c>
      <c r="CO114" s="34">
        <v>4</v>
      </c>
    </row>
    <row r="115" spans="1:93" x14ac:dyDescent="0.2">
      <c r="A115" s="1368" t="s">
        <v>1600</v>
      </c>
      <c r="B115" s="1369">
        <v>1</v>
      </c>
      <c r="C115" s="1368" t="s">
        <v>1765</v>
      </c>
      <c r="D115" s="1369">
        <v>59</v>
      </c>
      <c r="E115" s="1370">
        <v>2.25</v>
      </c>
      <c r="F115" s="1369">
        <v>4</v>
      </c>
      <c r="G115" s="1370">
        <v>11.125</v>
      </c>
      <c r="R115" s="1370">
        <v>1</v>
      </c>
      <c r="AB115" s="1371" t="s">
        <v>116</v>
      </c>
      <c r="AD115" s="1371">
        <v>-0.62513199577613499</v>
      </c>
      <c r="AE115" s="1371" t="s">
        <v>1815</v>
      </c>
      <c r="AF115" s="1371" t="s">
        <v>32</v>
      </c>
      <c r="AG115" s="1347">
        <v>1</v>
      </c>
      <c r="CB115" s="34" t="s">
        <v>146</v>
      </c>
      <c r="CC115" s="34" t="s">
        <v>167</v>
      </c>
      <c r="CD115" s="34" t="s">
        <v>145</v>
      </c>
      <c r="CF115" s="34">
        <v>-1844</v>
      </c>
      <c r="CG115" s="34">
        <v>22</v>
      </c>
      <c r="CH115" s="34">
        <v>6</v>
      </c>
      <c r="CL115" s="34" t="s">
        <v>702</v>
      </c>
      <c r="CM115" s="34">
        <v>2</v>
      </c>
    </row>
    <row r="116" spans="1:93" x14ac:dyDescent="0.2">
      <c r="A116" s="1368" t="s">
        <v>1601</v>
      </c>
      <c r="B116" s="1369">
        <v>9</v>
      </c>
      <c r="C116" s="1368" t="s">
        <v>1765</v>
      </c>
      <c r="D116" s="1369">
        <v>59</v>
      </c>
      <c r="E116" s="1370">
        <v>2.25</v>
      </c>
      <c r="F116" s="1369">
        <v>4</v>
      </c>
      <c r="G116" s="1370">
        <v>11.125</v>
      </c>
      <c r="R116" s="1370">
        <v>1</v>
      </c>
      <c r="AB116" s="1371" t="s">
        <v>116</v>
      </c>
      <c r="AD116" s="1371">
        <v>-0.62513199577613499</v>
      </c>
      <c r="AE116" s="1371" t="s">
        <v>1775</v>
      </c>
      <c r="AF116" s="1371" t="s">
        <v>32</v>
      </c>
      <c r="AG116" s="1347">
        <v>1</v>
      </c>
      <c r="CB116" s="34" t="s">
        <v>157</v>
      </c>
      <c r="CC116" s="34" t="s">
        <v>167</v>
      </c>
      <c r="CD116" s="34" t="s">
        <v>145</v>
      </c>
      <c r="CF116" s="34">
        <v>1844</v>
      </c>
    </row>
    <row r="117" spans="1:93" x14ac:dyDescent="0.2">
      <c r="A117" s="1368" t="s">
        <v>1602</v>
      </c>
      <c r="B117" s="1369">
        <v>2</v>
      </c>
      <c r="C117" s="1368" t="s">
        <v>1765</v>
      </c>
      <c r="D117" s="1369">
        <v>59</v>
      </c>
      <c r="E117" s="1370">
        <v>2.25</v>
      </c>
      <c r="F117" s="1369">
        <v>15</v>
      </c>
      <c r="G117" s="1370">
        <v>11.125</v>
      </c>
      <c r="I117" s="1371" t="s">
        <v>1766</v>
      </c>
      <c r="J117" s="1370">
        <v>5</v>
      </c>
      <c r="N117" s="1369" t="s">
        <v>1766</v>
      </c>
      <c r="R117" s="1370">
        <v>12</v>
      </c>
      <c r="U117" s="1370" t="s">
        <v>1766</v>
      </c>
      <c r="AB117" s="1371" t="s">
        <v>116</v>
      </c>
      <c r="AD117" s="1371">
        <v>-0.62513199577613499</v>
      </c>
      <c r="AE117" s="1371" t="s">
        <v>1775</v>
      </c>
      <c r="AF117" s="1371" t="s">
        <v>32</v>
      </c>
      <c r="AG117" s="1347">
        <v>1</v>
      </c>
      <c r="CB117" s="34" t="s">
        <v>146</v>
      </c>
      <c r="CC117" s="34" t="s">
        <v>165</v>
      </c>
      <c r="CD117" s="34" t="s">
        <v>145</v>
      </c>
      <c r="CF117" s="34">
        <v>296</v>
      </c>
      <c r="CG117" s="34">
        <v>22</v>
      </c>
      <c r="CH117" s="34">
        <v>6</v>
      </c>
      <c r="CL117" s="34" t="s">
        <v>702</v>
      </c>
    </row>
    <row r="118" spans="1:93" x14ac:dyDescent="0.2">
      <c r="A118" s="1368" t="s">
        <v>1603</v>
      </c>
      <c r="B118" s="1369">
        <v>2</v>
      </c>
      <c r="C118" s="1368" t="s">
        <v>1765</v>
      </c>
      <c r="D118" s="1369">
        <v>59</v>
      </c>
      <c r="E118" s="1370">
        <v>2.25</v>
      </c>
      <c r="F118" s="1369">
        <v>4</v>
      </c>
      <c r="G118" s="1370">
        <v>11.125</v>
      </c>
      <c r="R118" s="1370">
        <v>1</v>
      </c>
      <c r="AB118" s="1371" t="s">
        <v>116</v>
      </c>
      <c r="AD118" s="1371">
        <v>-0.62513199577613499</v>
      </c>
      <c r="AE118" s="1371" t="s">
        <v>1774</v>
      </c>
      <c r="AF118" s="1371" t="s">
        <v>32</v>
      </c>
      <c r="AG118" s="1347">
        <v>1</v>
      </c>
      <c r="CA118" s="34">
        <v>32</v>
      </c>
      <c r="CB118" s="34" t="s">
        <v>154</v>
      </c>
      <c r="CC118" s="34" t="s">
        <v>167</v>
      </c>
      <c r="CD118" s="34" t="s">
        <v>145</v>
      </c>
      <c r="CF118" s="34">
        <v>1888</v>
      </c>
      <c r="CN118" s="34" t="s">
        <v>1657</v>
      </c>
      <c r="CO118" s="34">
        <v>2</v>
      </c>
    </row>
    <row r="119" spans="1:93" x14ac:dyDescent="0.2">
      <c r="A119" s="1368" t="s">
        <v>1604</v>
      </c>
      <c r="B119" s="1369">
        <v>1</v>
      </c>
      <c r="C119" s="1368" t="s">
        <v>1765</v>
      </c>
      <c r="D119" s="1369">
        <v>59</v>
      </c>
      <c r="E119" s="1370">
        <v>2.25</v>
      </c>
      <c r="F119" s="1369">
        <v>4</v>
      </c>
      <c r="G119" s="1370">
        <v>11.125</v>
      </c>
      <c r="R119" s="1370">
        <v>1</v>
      </c>
      <c r="AB119" s="1371" t="s">
        <v>116</v>
      </c>
      <c r="AD119" s="1371">
        <v>-0.62513199577613499</v>
      </c>
      <c r="AE119" s="1371" t="s">
        <v>1776</v>
      </c>
      <c r="AF119" s="1371" t="s">
        <v>32</v>
      </c>
      <c r="AG119" s="1347">
        <v>1</v>
      </c>
      <c r="CB119" s="34" t="s">
        <v>148</v>
      </c>
      <c r="CC119" s="34" t="s">
        <v>165</v>
      </c>
      <c r="CD119" s="34" t="s">
        <v>145</v>
      </c>
      <c r="CF119" s="34">
        <v>2220</v>
      </c>
      <c r="CG119" s="34">
        <v>24</v>
      </c>
      <c r="CH119" s="34">
        <v>0</v>
      </c>
      <c r="CI119" s="34">
        <v>2220</v>
      </c>
      <c r="CJ119" s="34">
        <v>48</v>
      </c>
      <c r="CK119" s="34">
        <v>0</v>
      </c>
      <c r="CL119" s="34" t="s">
        <v>700</v>
      </c>
    </row>
    <row r="120" spans="1:93" x14ac:dyDescent="0.2">
      <c r="A120" s="1368" t="s">
        <v>1605</v>
      </c>
      <c r="B120" s="1369">
        <v>1</v>
      </c>
      <c r="C120" s="1368" t="s">
        <v>1765</v>
      </c>
      <c r="D120" s="1369">
        <v>59</v>
      </c>
      <c r="E120" s="1370">
        <v>2.25</v>
      </c>
      <c r="F120" s="1369">
        <v>4</v>
      </c>
      <c r="G120" s="1370">
        <v>11.125</v>
      </c>
      <c r="R120" s="1370">
        <v>1</v>
      </c>
      <c r="AB120" s="1371" t="s">
        <v>116</v>
      </c>
      <c r="AD120" s="1371">
        <v>-0.62513199577613499</v>
      </c>
      <c r="AE120" s="1371" t="s">
        <v>1816</v>
      </c>
      <c r="AF120" s="1371" t="s">
        <v>32</v>
      </c>
      <c r="AG120" s="1347">
        <v>1</v>
      </c>
      <c r="CA120" s="34">
        <v>33</v>
      </c>
      <c r="CB120" s="34" t="s">
        <v>154</v>
      </c>
      <c r="CC120" s="34" t="s">
        <v>167</v>
      </c>
      <c r="CD120" s="34" t="s">
        <v>145</v>
      </c>
      <c r="CF120" s="34">
        <v>1888</v>
      </c>
      <c r="CN120" s="34" t="s">
        <v>1657</v>
      </c>
      <c r="CO120" s="34">
        <v>2</v>
      </c>
    </row>
    <row r="121" spans="1:93" x14ac:dyDescent="0.2">
      <c r="A121" s="1368" t="s">
        <v>1606</v>
      </c>
      <c r="B121" s="1369">
        <v>9</v>
      </c>
      <c r="C121" s="1368" t="s">
        <v>1765</v>
      </c>
      <c r="D121" s="1369">
        <v>59</v>
      </c>
      <c r="E121" s="1370">
        <v>2.25</v>
      </c>
      <c r="F121" s="1369">
        <v>4</v>
      </c>
      <c r="G121" s="1370">
        <v>11.125</v>
      </c>
      <c r="R121" s="1370">
        <v>1</v>
      </c>
      <c r="AB121" s="1371" t="s">
        <v>116</v>
      </c>
      <c r="AD121" s="1371">
        <v>-0.62513199577613499</v>
      </c>
      <c r="AE121" s="1371" t="s">
        <v>1782</v>
      </c>
      <c r="AF121" s="1371" t="s">
        <v>32</v>
      </c>
      <c r="AG121" s="1347">
        <v>1</v>
      </c>
      <c r="CB121" s="34" t="s">
        <v>148</v>
      </c>
      <c r="CC121" s="34" t="s">
        <v>165</v>
      </c>
      <c r="CD121" s="34" t="s">
        <v>145</v>
      </c>
      <c r="CF121" s="34">
        <v>720</v>
      </c>
      <c r="CG121" s="34">
        <v>8</v>
      </c>
      <c r="CH121" s="34">
        <v>0</v>
      </c>
      <c r="CI121" s="34">
        <v>2220</v>
      </c>
      <c r="CJ121" s="34">
        <v>16</v>
      </c>
      <c r="CK121" s="34">
        <v>0</v>
      </c>
      <c r="CL121" s="34" t="s">
        <v>700</v>
      </c>
    </row>
    <row r="122" spans="1:93" x14ac:dyDescent="0.2">
      <c r="A122" s="1368" t="s">
        <v>1607</v>
      </c>
      <c r="B122" s="1369">
        <v>50</v>
      </c>
      <c r="C122" s="1368" t="s">
        <v>1765</v>
      </c>
      <c r="D122" s="1369">
        <v>59</v>
      </c>
      <c r="E122" s="1370">
        <v>2.25</v>
      </c>
      <c r="F122" s="1369">
        <v>4</v>
      </c>
      <c r="G122" s="1370">
        <v>11.125</v>
      </c>
      <c r="R122" s="1370">
        <v>1</v>
      </c>
      <c r="AB122" s="1371" t="s">
        <v>116</v>
      </c>
      <c r="AD122" s="1371">
        <v>-0.62513199577613499</v>
      </c>
      <c r="AE122" s="1371" t="s">
        <v>1779</v>
      </c>
      <c r="AF122" s="1371" t="s">
        <v>32</v>
      </c>
      <c r="AG122" s="1347">
        <v>1</v>
      </c>
      <c r="CA122" s="34">
        <v>34</v>
      </c>
      <c r="CB122" s="34" t="s">
        <v>154</v>
      </c>
      <c r="CC122" s="34" t="s">
        <v>167</v>
      </c>
      <c r="CD122" s="34" t="s">
        <v>145</v>
      </c>
      <c r="CF122" s="34">
        <v>1888</v>
      </c>
      <c r="CN122" s="34" t="s">
        <v>1657</v>
      </c>
      <c r="CO122" s="34">
        <v>3</v>
      </c>
    </row>
    <row r="123" spans="1:93" x14ac:dyDescent="0.2">
      <c r="A123" s="1368" t="s">
        <v>1608</v>
      </c>
      <c r="B123" s="1369">
        <v>9</v>
      </c>
      <c r="C123" s="1368" t="s">
        <v>1765</v>
      </c>
      <c r="D123" s="1369">
        <v>59</v>
      </c>
      <c r="E123" s="1370">
        <v>2.25</v>
      </c>
      <c r="F123" s="1369">
        <v>15</v>
      </c>
      <c r="G123" s="1370">
        <v>11.125</v>
      </c>
      <c r="I123" s="1371" t="s">
        <v>1766</v>
      </c>
      <c r="J123" s="1370">
        <v>5</v>
      </c>
      <c r="N123" s="1369" t="s">
        <v>1766</v>
      </c>
      <c r="R123" s="1370">
        <v>12</v>
      </c>
      <c r="U123" s="1370" t="s">
        <v>1766</v>
      </c>
      <c r="AB123" s="1371" t="s">
        <v>116</v>
      </c>
      <c r="AD123" s="1371">
        <v>-0.62513199577613499</v>
      </c>
      <c r="AE123" s="1371" t="s">
        <v>1779</v>
      </c>
      <c r="AF123" s="1371" t="s">
        <v>32</v>
      </c>
      <c r="AG123" s="1347">
        <v>1</v>
      </c>
      <c r="CB123" s="34" t="s">
        <v>148</v>
      </c>
      <c r="CC123" s="34" t="s">
        <v>165</v>
      </c>
      <c r="CD123" s="34" t="s">
        <v>145</v>
      </c>
      <c r="CF123" s="34">
        <v>2220</v>
      </c>
      <c r="CG123" s="34">
        <v>16</v>
      </c>
      <c r="CH123" s="34">
        <v>0</v>
      </c>
      <c r="CI123" s="34">
        <v>2220</v>
      </c>
      <c r="CJ123" s="34">
        <v>24</v>
      </c>
      <c r="CK123" s="34">
        <v>0</v>
      </c>
      <c r="CL123" s="34" t="s">
        <v>700</v>
      </c>
    </row>
    <row r="124" spans="1:93" x14ac:dyDescent="0.2">
      <c r="A124" s="1368" t="s">
        <v>1609</v>
      </c>
      <c r="B124" s="1369">
        <v>1</v>
      </c>
      <c r="C124" s="1368" t="s">
        <v>1765</v>
      </c>
      <c r="D124" s="1369">
        <v>59</v>
      </c>
      <c r="E124" s="1370">
        <v>2.25</v>
      </c>
      <c r="F124" s="1369">
        <v>4</v>
      </c>
      <c r="G124" s="1370">
        <v>11.125</v>
      </c>
      <c r="R124" s="1370">
        <v>1</v>
      </c>
      <c r="AB124" s="1371" t="s">
        <v>116</v>
      </c>
      <c r="AD124" s="1371">
        <v>-0.62513199577613499</v>
      </c>
      <c r="AE124" s="1371" t="s">
        <v>1780</v>
      </c>
      <c r="AF124" s="1371" t="s">
        <v>32</v>
      </c>
      <c r="AG124" s="1347">
        <v>1</v>
      </c>
      <c r="CB124" s="34" t="s">
        <v>148</v>
      </c>
      <c r="CC124" s="34" t="s">
        <v>165</v>
      </c>
      <c r="CD124" s="34" t="s">
        <v>145</v>
      </c>
      <c r="CF124" s="34">
        <v>2220</v>
      </c>
      <c r="CG124" s="34">
        <v>48</v>
      </c>
      <c r="CH124" s="34">
        <v>0</v>
      </c>
      <c r="CL124" s="34" t="s">
        <v>700</v>
      </c>
    </row>
    <row r="125" spans="1:93" x14ac:dyDescent="0.2">
      <c r="A125" s="1368" t="s">
        <v>1610</v>
      </c>
      <c r="B125" s="1369">
        <v>4</v>
      </c>
      <c r="C125" s="1368" t="s">
        <v>1765</v>
      </c>
      <c r="D125" s="1369">
        <v>59</v>
      </c>
      <c r="E125" s="1370">
        <v>2.25</v>
      </c>
      <c r="F125" s="1369">
        <v>4</v>
      </c>
      <c r="G125" s="1370">
        <v>11.125</v>
      </c>
      <c r="R125" s="1370">
        <v>1</v>
      </c>
      <c r="AB125" s="1371" t="s">
        <v>116</v>
      </c>
      <c r="AD125" s="1371">
        <v>-0.62513199577613499</v>
      </c>
      <c r="AE125" s="1371" t="s">
        <v>1781</v>
      </c>
      <c r="AF125" s="1371" t="s">
        <v>32</v>
      </c>
      <c r="AG125" s="1347">
        <v>1</v>
      </c>
      <c r="CA125" s="34">
        <v>35</v>
      </c>
      <c r="CB125" s="34" t="s">
        <v>154</v>
      </c>
      <c r="CC125" s="34" t="s">
        <v>167</v>
      </c>
      <c r="CD125" s="34" t="s">
        <v>145</v>
      </c>
      <c r="CF125" s="34">
        <v>1888</v>
      </c>
      <c r="CN125" s="34" t="s">
        <v>1657</v>
      </c>
      <c r="CO125" s="34">
        <v>2</v>
      </c>
    </row>
    <row r="126" spans="1:93" x14ac:dyDescent="0.2">
      <c r="A126" s="1368" t="s">
        <v>1611</v>
      </c>
      <c r="B126" s="1369">
        <v>5</v>
      </c>
      <c r="C126" s="1368" t="s">
        <v>1765</v>
      </c>
      <c r="D126" s="1369">
        <v>59</v>
      </c>
      <c r="E126" s="1370">
        <v>2.25</v>
      </c>
      <c r="F126" s="1369">
        <v>4</v>
      </c>
      <c r="G126" s="1370">
        <v>11.125</v>
      </c>
      <c r="R126" s="1370">
        <v>1</v>
      </c>
      <c r="AB126" s="1371" t="s">
        <v>116</v>
      </c>
      <c r="AD126" s="1371">
        <v>-0.62513199577613499</v>
      </c>
      <c r="AE126" s="1371" t="s">
        <v>1778</v>
      </c>
      <c r="AF126" s="1371" t="s">
        <v>32</v>
      </c>
      <c r="AG126" s="1347">
        <v>1</v>
      </c>
      <c r="CB126" s="34" t="s">
        <v>148</v>
      </c>
      <c r="CC126" s="34" t="s">
        <v>165</v>
      </c>
      <c r="CD126" s="34" t="s">
        <v>145</v>
      </c>
      <c r="CF126" s="34">
        <v>2220</v>
      </c>
      <c r="CG126" s="34">
        <v>16</v>
      </c>
      <c r="CH126" s="34">
        <v>0</v>
      </c>
      <c r="CI126" s="34">
        <v>2220</v>
      </c>
      <c r="CJ126" s="34">
        <v>40</v>
      </c>
      <c r="CK126" s="34">
        <v>0</v>
      </c>
      <c r="CL126" s="34" t="s">
        <v>700</v>
      </c>
    </row>
    <row r="127" spans="1:93" x14ac:dyDescent="0.2">
      <c r="A127" s="1368" t="s">
        <v>1612</v>
      </c>
      <c r="B127" s="1369">
        <v>1</v>
      </c>
      <c r="C127" s="1368" t="s">
        <v>1765</v>
      </c>
      <c r="D127" s="1369">
        <v>59</v>
      </c>
      <c r="E127" s="1370">
        <v>2.25</v>
      </c>
      <c r="F127" s="1369">
        <v>15</v>
      </c>
      <c r="G127" s="1370">
        <v>11.125</v>
      </c>
      <c r="I127" s="1371" t="s">
        <v>1766</v>
      </c>
      <c r="J127" s="1370">
        <v>5</v>
      </c>
      <c r="N127" s="1369" t="s">
        <v>1766</v>
      </c>
      <c r="R127" s="1370">
        <v>12</v>
      </c>
      <c r="U127" s="1370" t="s">
        <v>1766</v>
      </c>
      <c r="AB127" s="1371" t="s">
        <v>116</v>
      </c>
      <c r="AD127" s="1371">
        <v>-0.62513199577613499</v>
      </c>
      <c r="AE127" s="1371" t="s">
        <v>1778</v>
      </c>
      <c r="AF127" s="1371" t="s">
        <v>32</v>
      </c>
      <c r="AG127" s="1347">
        <v>1</v>
      </c>
      <c r="CA127" s="34">
        <v>36</v>
      </c>
      <c r="CB127" s="34" t="s">
        <v>154</v>
      </c>
      <c r="CC127" s="34" t="s">
        <v>167</v>
      </c>
      <c r="CD127" s="34" t="s">
        <v>145</v>
      </c>
      <c r="CF127" s="34">
        <v>1888</v>
      </c>
      <c r="CN127" s="34" t="s">
        <v>1668</v>
      </c>
      <c r="CO127" s="34">
        <v>2</v>
      </c>
    </row>
    <row r="128" spans="1:93" x14ac:dyDescent="0.2">
      <c r="A128" s="1368" t="s">
        <v>1613</v>
      </c>
      <c r="B128" s="1369">
        <v>1</v>
      </c>
      <c r="C128" s="1368" t="s">
        <v>1765</v>
      </c>
      <c r="D128" s="1369">
        <v>59</v>
      </c>
      <c r="E128" s="1370">
        <v>2.25</v>
      </c>
      <c r="F128" s="1369">
        <v>4</v>
      </c>
      <c r="G128" s="1370">
        <v>11.125</v>
      </c>
      <c r="R128" s="1370">
        <v>1</v>
      </c>
      <c r="AB128" s="1371" t="s">
        <v>116</v>
      </c>
      <c r="AD128" s="1371">
        <v>-0.62513199577613499</v>
      </c>
      <c r="AE128" s="1371" t="s">
        <v>1769</v>
      </c>
      <c r="AF128" s="1371" t="s">
        <v>32</v>
      </c>
      <c r="AG128" s="1347">
        <v>1</v>
      </c>
      <c r="CB128" s="34" t="s">
        <v>148</v>
      </c>
      <c r="CC128" s="34" t="s">
        <v>165</v>
      </c>
      <c r="CD128" s="34" t="s">
        <v>145</v>
      </c>
      <c r="CF128" s="34">
        <v>720</v>
      </c>
      <c r="CG128" s="34">
        <v>8</v>
      </c>
      <c r="CH128" s="34">
        <v>0</v>
      </c>
      <c r="CI128" s="34">
        <v>2220</v>
      </c>
      <c r="CJ128" s="34">
        <v>48</v>
      </c>
      <c r="CK128" s="34">
        <v>0</v>
      </c>
      <c r="CL128" s="34" t="s">
        <v>700</v>
      </c>
    </row>
    <row r="129" spans="1:93" x14ac:dyDescent="0.2">
      <c r="A129" s="1368" t="s">
        <v>1614</v>
      </c>
      <c r="B129" s="1369">
        <v>1</v>
      </c>
      <c r="C129" s="1368" t="s">
        <v>1765</v>
      </c>
      <c r="D129" s="1369">
        <v>59</v>
      </c>
      <c r="E129" s="1370">
        <v>2.25</v>
      </c>
      <c r="F129" s="1369">
        <v>15</v>
      </c>
      <c r="G129" s="1370">
        <v>11.125</v>
      </c>
      <c r="I129" s="1371" t="s">
        <v>1766</v>
      </c>
      <c r="J129" s="1370">
        <v>5</v>
      </c>
      <c r="N129" s="1369" t="s">
        <v>1766</v>
      </c>
      <c r="R129" s="1370">
        <v>12</v>
      </c>
      <c r="U129" s="1370" t="s">
        <v>1766</v>
      </c>
      <c r="AB129" s="1371" t="s">
        <v>116</v>
      </c>
      <c r="AD129" s="1371">
        <v>-0.62513199577613499</v>
      </c>
      <c r="AE129" s="1371" t="s">
        <v>1769</v>
      </c>
      <c r="AF129" s="1371" t="s">
        <v>32</v>
      </c>
      <c r="AG129" s="1347">
        <v>1</v>
      </c>
      <c r="CA129" s="34">
        <v>37</v>
      </c>
      <c r="CB129" s="34" t="s">
        <v>154</v>
      </c>
      <c r="CC129" s="34" t="s">
        <v>167</v>
      </c>
      <c r="CD129" s="34" t="s">
        <v>145</v>
      </c>
      <c r="CF129" s="34">
        <v>1888</v>
      </c>
      <c r="CN129" s="34" t="s">
        <v>1657</v>
      </c>
      <c r="CO129" s="34">
        <v>3</v>
      </c>
    </row>
    <row r="130" spans="1:93" x14ac:dyDescent="0.2">
      <c r="A130" s="1368" t="s">
        <v>1615</v>
      </c>
      <c r="B130" s="1369">
        <v>22</v>
      </c>
      <c r="C130" s="1368" t="s">
        <v>1765</v>
      </c>
      <c r="D130" s="1369">
        <v>59</v>
      </c>
      <c r="E130" s="1370">
        <v>2.25</v>
      </c>
      <c r="F130" s="1369">
        <v>4</v>
      </c>
      <c r="G130" s="1370">
        <v>11.125</v>
      </c>
      <c r="R130" s="1370">
        <v>1</v>
      </c>
      <c r="AB130" s="1371" t="s">
        <v>116</v>
      </c>
      <c r="AD130" s="1371">
        <v>-0.62513199577613499</v>
      </c>
      <c r="AE130" s="1371" t="s">
        <v>1392</v>
      </c>
      <c r="AF130" s="1371" t="s">
        <v>32</v>
      </c>
      <c r="AG130" s="1347">
        <v>1</v>
      </c>
      <c r="CB130" s="34" t="s">
        <v>148</v>
      </c>
      <c r="CC130" s="34" t="s">
        <v>165</v>
      </c>
      <c r="CD130" s="34" t="s">
        <v>145</v>
      </c>
      <c r="CF130" s="34">
        <v>720</v>
      </c>
      <c r="CG130" s="34">
        <v>8</v>
      </c>
      <c r="CH130" s="34">
        <v>0</v>
      </c>
      <c r="CI130" s="34">
        <v>2220</v>
      </c>
      <c r="CJ130" s="34">
        <v>40</v>
      </c>
      <c r="CK130" s="34">
        <v>0</v>
      </c>
      <c r="CL130" s="34" t="s">
        <v>700</v>
      </c>
    </row>
    <row r="131" spans="1:93" x14ac:dyDescent="0.2">
      <c r="A131" s="1368" t="s">
        <v>1616</v>
      </c>
      <c r="B131" s="1369">
        <v>2</v>
      </c>
      <c r="C131" s="1368" t="s">
        <v>1765</v>
      </c>
      <c r="D131" s="1369">
        <v>59</v>
      </c>
      <c r="E131" s="1370">
        <v>2.25</v>
      </c>
      <c r="F131" s="1369">
        <v>15</v>
      </c>
      <c r="G131" s="1370">
        <v>11.125</v>
      </c>
      <c r="I131" s="1371" t="s">
        <v>1766</v>
      </c>
      <c r="J131" s="1370">
        <v>5</v>
      </c>
      <c r="N131" s="1369" t="s">
        <v>1766</v>
      </c>
      <c r="R131" s="1370">
        <v>12</v>
      </c>
      <c r="U131" s="1370" t="s">
        <v>1766</v>
      </c>
      <c r="AB131" s="1371" t="s">
        <v>116</v>
      </c>
      <c r="AD131" s="1371">
        <v>-0.62513199577613499</v>
      </c>
      <c r="AE131" s="1371" t="s">
        <v>1392</v>
      </c>
      <c r="AF131" s="1371" t="s">
        <v>32</v>
      </c>
      <c r="AG131" s="1347">
        <v>1</v>
      </c>
      <c r="CB131" s="34" t="s">
        <v>148</v>
      </c>
      <c r="CC131" s="34" t="s">
        <v>165</v>
      </c>
      <c r="CD131" s="34" t="s">
        <v>145</v>
      </c>
      <c r="CF131" s="34">
        <v>2220</v>
      </c>
      <c r="CG131" s="34">
        <v>48</v>
      </c>
      <c r="CH131" s="34">
        <v>0</v>
      </c>
      <c r="CL131" s="34" t="s">
        <v>700</v>
      </c>
    </row>
    <row r="132" spans="1:93" x14ac:dyDescent="0.2">
      <c r="A132" s="1368" t="s">
        <v>1617</v>
      </c>
      <c r="B132" s="1369">
        <v>2</v>
      </c>
      <c r="C132" s="1368" t="s">
        <v>1765</v>
      </c>
      <c r="D132" s="1369">
        <v>59</v>
      </c>
      <c r="E132" s="1370">
        <v>2.25</v>
      </c>
      <c r="F132" s="1369">
        <v>4</v>
      </c>
      <c r="G132" s="1370">
        <v>11.125</v>
      </c>
      <c r="I132" s="1371" t="s">
        <v>1766</v>
      </c>
      <c r="J132" s="1370">
        <v>5</v>
      </c>
      <c r="R132" s="1370">
        <v>1</v>
      </c>
      <c r="U132" s="1370" t="s">
        <v>1766</v>
      </c>
      <c r="AB132" s="1371" t="s">
        <v>116</v>
      </c>
      <c r="AD132" s="1371">
        <v>-0.62513199577613499</v>
      </c>
      <c r="AE132" s="1371" t="s">
        <v>1392</v>
      </c>
      <c r="AF132" s="1371" t="s">
        <v>32</v>
      </c>
      <c r="AG132" s="1347">
        <v>1</v>
      </c>
      <c r="CA132" s="34">
        <v>38</v>
      </c>
      <c r="CB132" s="34" t="s">
        <v>146</v>
      </c>
      <c r="CC132" s="34" t="s">
        <v>167</v>
      </c>
      <c r="CD132" s="34" t="s">
        <v>145</v>
      </c>
      <c r="CF132" s="34">
        <v>966</v>
      </c>
      <c r="CG132" s="34">
        <v>3</v>
      </c>
      <c r="CH132" s="34">
        <v>0</v>
      </c>
      <c r="CI132" s="34">
        <v>966</v>
      </c>
      <c r="CJ132" s="34">
        <v>12</v>
      </c>
      <c r="CK132" s="34">
        <v>0</v>
      </c>
      <c r="CL132" s="34" t="s">
        <v>700</v>
      </c>
      <c r="CN132" s="34" t="s">
        <v>1646</v>
      </c>
      <c r="CO132" s="34">
        <v>4</v>
      </c>
    </row>
    <row r="133" spans="1:93" x14ac:dyDescent="0.2">
      <c r="A133" s="1368" t="s">
        <v>1618</v>
      </c>
      <c r="B133" s="1369">
        <v>2</v>
      </c>
      <c r="C133" s="1368" t="s">
        <v>1765</v>
      </c>
      <c r="D133" s="1369">
        <v>59</v>
      </c>
      <c r="E133" s="1370">
        <v>2.25</v>
      </c>
      <c r="F133" s="1369">
        <v>4</v>
      </c>
      <c r="G133" s="1370">
        <v>11.125</v>
      </c>
      <c r="R133" s="1370">
        <v>1</v>
      </c>
      <c r="AB133" s="1371" t="s">
        <v>116</v>
      </c>
      <c r="AD133" s="1371">
        <v>-0.62513199577613499</v>
      </c>
      <c r="AE133" s="1371" t="s">
        <v>1768</v>
      </c>
      <c r="AF133" s="1371" t="s">
        <v>32</v>
      </c>
      <c r="AG133" s="1347">
        <v>1</v>
      </c>
      <c r="CB133" s="34" t="s">
        <v>146</v>
      </c>
      <c r="CC133" s="34" t="s">
        <v>167</v>
      </c>
      <c r="CD133" s="34" t="s">
        <v>145</v>
      </c>
      <c r="CF133" s="34">
        <v>-966</v>
      </c>
      <c r="CG133" s="34">
        <v>3</v>
      </c>
      <c r="CH133" s="34">
        <v>0</v>
      </c>
      <c r="CI133" s="34">
        <v>-966</v>
      </c>
      <c r="CJ133" s="34">
        <v>12</v>
      </c>
      <c r="CK133" s="34">
        <v>0</v>
      </c>
      <c r="CL133" s="34" t="s">
        <v>700</v>
      </c>
      <c r="CM133" s="34">
        <v>2</v>
      </c>
    </row>
    <row r="134" spans="1:93" x14ac:dyDescent="0.2">
      <c r="A134" s="1368" t="s">
        <v>1619</v>
      </c>
      <c r="B134" s="1369">
        <v>8</v>
      </c>
      <c r="C134" s="1368" t="s">
        <v>1765</v>
      </c>
      <c r="D134" s="1369">
        <v>59</v>
      </c>
      <c r="E134" s="1370">
        <v>7.25</v>
      </c>
      <c r="F134" s="1369">
        <v>14</v>
      </c>
      <c r="G134" s="1370">
        <v>10.5</v>
      </c>
      <c r="R134" s="1370">
        <v>1</v>
      </c>
      <c r="AB134" s="1371" t="s">
        <v>116</v>
      </c>
      <c r="AD134" s="1371">
        <v>0.31038098566934602</v>
      </c>
      <c r="AE134" s="1371" t="s">
        <v>1392</v>
      </c>
      <c r="AF134" s="1371" t="s">
        <v>1817</v>
      </c>
      <c r="AG134" s="1347">
        <v>1</v>
      </c>
      <c r="CB134" s="34" t="s">
        <v>157</v>
      </c>
      <c r="CC134" s="34" t="s">
        <v>167</v>
      </c>
      <c r="CD134" s="34" t="s">
        <v>145</v>
      </c>
      <c r="CF134" s="34">
        <v>966</v>
      </c>
    </row>
    <row r="135" spans="1:93" x14ac:dyDescent="0.2">
      <c r="A135" s="1368" t="s">
        <v>1620</v>
      </c>
      <c r="B135" s="1369">
        <v>2</v>
      </c>
      <c r="C135" s="1368" t="s">
        <v>1765</v>
      </c>
      <c r="D135" s="1369">
        <v>59</v>
      </c>
      <c r="E135" s="1370">
        <v>7.25</v>
      </c>
      <c r="F135" s="1369">
        <v>14</v>
      </c>
      <c r="G135" s="1370">
        <v>10.5</v>
      </c>
      <c r="R135" s="1370">
        <v>1</v>
      </c>
      <c r="AB135" s="1371" t="s">
        <v>116</v>
      </c>
      <c r="AD135" s="1371">
        <v>0.31038098566934602</v>
      </c>
      <c r="AE135" s="1371" t="s">
        <v>1768</v>
      </c>
      <c r="AF135" s="1371" t="s">
        <v>1817</v>
      </c>
      <c r="AG135" s="1347">
        <v>1</v>
      </c>
      <c r="CB135" s="34" t="s">
        <v>146</v>
      </c>
      <c r="CC135" s="34" t="s">
        <v>165</v>
      </c>
      <c r="CD135" s="34" t="s">
        <v>145</v>
      </c>
      <c r="CF135" s="34">
        <v>96</v>
      </c>
      <c r="CG135" s="34">
        <v>3</v>
      </c>
      <c r="CH135" s="34">
        <v>0</v>
      </c>
      <c r="CI135" s="34">
        <v>96</v>
      </c>
      <c r="CJ135" s="34">
        <v>12</v>
      </c>
      <c r="CK135" s="34">
        <v>0</v>
      </c>
      <c r="CL135" s="34" t="s">
        <v>700</v>
      </c>
    </row>
    <row r="136" spans="1:93" x14ac:dyDescent="0.2">
      <c r="A136" s="1368" t="s">
        <v>1621</v>
      </c>
      <c r="B136" s="1369">
        <v>2</v>
      </c>
      <c r="C136" s="1368" t="s">
        <v>1765</v>
      </c>
      <c r="D136" s="1369">
        <v>59</v>
      </c>
      <c r="E136" s="1370">
        <v>7.25</v>
      </c>
      <c r="F136" s="1369">
        <v>14</v>
      </c>
      <c r="G136" s="1370">
        <v>10.5</v>
      </c>
      <c r="I136" s="1371" t="s">
        <v>1766</v>
      </c>
      <c r="J136" s="1370">
        <v>5.5</v>
      </c>
      <c r="R136" s="1370">
        <v>1</v>
      </c>
      <c r="U136" s="1370" t="s">
        <v>1766</v>
      </c>
      <c r="AB136" s="1371" t="s">
        <v>116</v>
      </c>
      <c r="AD136" s="1371">
        <v>0.31038098566934602</v>
      </c>
      <c r="AE136" s="1371" t="s">
        <v>1392</v>
      </c>
      <c r="AF136" s="1371" t="s">
        <v>1817</v>
      </c>
      <c r="AG136" s="1347">
        <v>1</v>
      </c>
      <c r="CA136" s="34">
        <v>39</v>
      </c>
      <c r="CB136" s="34" t="s">
        <v>146</v>
      </c>
      <c r="CC136" s="34" t="s">
        <v>167</v>
      </c>
      <c r="CD136" s="34" t="s">
        <v>145</v>
      </c>
      <c r="CF136" s="34">
        <v>966</v>
      </c>
      <c r="CG136" s="34">
        <v>3</v>
      </c>
      <c r="CH136" s="34">
        <v>0</v>
      </c>
      <c r="CL136" s="34" t="s">
        <v>700</v>
      </c>
      <c r="CN136" s="34" t="s">
        <v>1646</v>
      </c>
      <c r="CO136" s="34">
        <v>4</v>
      </c>
    </row>
    <row r="137" spans="1:93" x14ac:dyDescent="0.2">
      <c r="A137" s="1368" t="s">
        <v>1622</v>
      </c>
      <c r="B137" s="1369">
        <v>2</v>
      </c>
      <c r="C137" s="1368" t="s">
        <v>1765</v>
      </c>
      <c r="D137" s="1369">
        <v>59</v>
      </c>
      <c r="E137" s="1370">
        <v>7.25</v>
      </c>
      <c r="F137" s="1369">
        <v>14</v>
      </c>
      <c r="G137" s="1370">
        <v>10.5</v>
      </c>
      <c r="R137" s="1370">
        <v>1</v>
      </c>
      <c r="AB137" s="1371" t="s">
        <v>116</v>
      </c>
      <c r="AD137" s="1371">
        <v>0.31038098566934602</v>
      </c>
      <c r="AE137" s="1371" t="s">
        <v>1769</v>
      </c>
      <c r="AF137" s="1371" t="s">
        <v>1817</v>
      </c>
      <c r="AG137" s="1347">
        <v>1</v>
      </c>
      <c r="CB137" s="34" t="s">
        <v>146</v>
      </c>
      <c r="CC137" s="34" t="s">
        <v>167</v>
      </c>
      <c r="CD137" s="34" t="s">
        <v>145</v>
      </c>
      <c r="CF137" s="34">
        <v>-966</v>
      </c>
      <c r="CG137" s="34">
        <v>3</v>
      </c>
      <c r="CH137" s="34">
        <v>0</v>
      </c>
      <c r="CL137" s="34" t="s">
        <v>700</v>
      </c>
      <c r="CM137" s="34">
        <v>2</v>
      </c>
    </row>
    <row r="138" spans="1:93" x14ac:dyDescent="0.2">
      <c r="A138" s="1368" t="s">
        <v>1623</v>
      </c>
      <c r="B138" s="1369">
        <v>3</v>
      </c>
      <c r="C138" s="1368" t="s">
        <v>1800</v>
      </c>
      <c r="D138" s="1369">
        <v>16</v>
      </c>
      <c r="E138" s="1370">
        <v>8.75</v>
      </c>
      <c r="F138" s="1369">
        <v>10</v>
      </c>
      <c r="R138" s="1370">
        <v>10</v>
      </c>
      <c r="AB138" s="1371" t="s">
        <v>116</v>
      </c>
      <c r="AE138" s="1371" t="s">
        <v>1392</v>
      </c>
      <c r="AF138" s="1371" t="s">
        <v>35</v>
      </c>
      <c r="AG138" s="1347">
        <v>1</v>
      </c>
      <c r="CB138" s="34" t="s">
        <v>157</v>
      </c>
      <c r="CC138" s="34" t="s">
        <v>167</v>
      </c>
      <c r="CD138" s="34" t="s">
        <v>145</v>
      </c>
      <c r="CF138" s="34">
        <v>966</v>
      </c>
    </row>
    <row r="139" spans="1:93" x14ac:dyDescent="0.2">
      <c r="CB139" s="34" t="s">
        <v>146</v>
      </c>
      <c r="CC139" s="34" t="s">
        <v>165</v>
      </c>
      <c r="CD139" s="34" t="s">
        <v>145</v>
      </c>
      <c r="CF139" s="34">
        <v>96</v>
      </c>
      <c r="CG139" s="34">
        <v>3</v>
      </c>
      <c r="CH139" s="34">
        <v>0</v>
      </c>
      <c r="CL139" s="34" t="s">
        <v>700</v>
      </c>
    </row>
    <row r="140" spans="1:93" x14ac:dyDescent="0.2">
      <c r="CA140" s="34">
        <v>40</v>
      </c>
      <c r="CB140" s="34" t="s">
        <v>146</v>
      </c>
      <c r="CC140" s="34" t="s">
        <v>167</v>
      </c>
      <c r="CD140" s="34" t="s">
        <v>145</v>
      </c>
      <c r="CF140" s="34">
        <v>4000</v>
      </c>
      <c r="CG140" s="34">
        <v>3</v>
      </c>
      <c r="CH140" s="34">
        <v>0</v>
      </c>
      <c r="CL140" s="34" t="s">
        <v>702</v>
      </c>
      <c r="CN140" s="34" t="s">
        <v>1673</v>
      </c>
      <c r="CO140" s="34">
        <v>2</v>
      </c>
    </row>
    <row r="141" spans="1:93" x14ac:dyDescent="0.2">
      <c r="CB141" s="34" t="s">
        <v>146</v>
      </c>
      <c r="CC141" s="34" t="s">
        <v>167</v>
      </c>
      <c r="CD141" s="34" t="s">
        <v>145</v>
      </c>
      <c r="CF141" s="34">
        <v>-4000</v>
      </c>
      <c r="CG141" s="34">
        <v>3</v>
      </c>
      <c r="CH141" s="34">
        <v>0</v>
      </c>
      <c r="CL141" s="34" t="s">
        <v>702</v>
      </c>
      <c r="CM141" s="34">
        <v>2</v>
      </c>
    </row>
    <row r="142" spans="1:93" x14ac:dyDescent="0.2">
      <c r="CA142" s="34">
        <v>41</v>
      </c>
      <c r="CB142" s="34" t="s">
        <v>155</v>
      </c>
      <c r="CC142" s="34" t="s">
        <v>165</v>
      </c>
      <c r="CD142" s="34" t="s">
        <v>145</v>
      </c>
      <c r="CF142" s="34">
        <v>250</v>
      </c>
      <c r="CN142" s="34" t="s">
        <v>1675</v>
      </c>
      <c r="CO142" s="34">
        <v>7</v>
      </c>
    </row>
    <row r="143" spans="1:93" x14ac:dyDescent="0.2">
      <c r="CB143" s="34" t="s">
        <v>155</v>
      </c>
      <c r="CC143" s="34" t="s">
        <v>165</v>
      </c>
      <c r="CD143" s="34" t="s">
        <v>159</v>
      </c>
      <c r="CF143" s="34">
        <v>250</v>
      </c>
    </row>
    <row r="144" spans="1:93" x14ac:dyDescent="0.2">
      <c r="CB144" s="34" t="s">
        <v>154</v>
      </c>
      <c r="CC144" s="34" t="s">
        <v>165</v>
      </c>
      <c r="CD144" s="34" t="s">
        <v>145</v>
      </c>
      <c r="CF144" s="34">
        <v>500</v>
      </c>
    </row>
    <row r="145" spans="80:91" x14ac:dyDescent="0.2">
      <c r="CB145" s="34" t="s">
        <v>154</v>
      </c>
      <c r="CC145" s="34" t="s">
        <v>163</v>
      </c>
      <c r="CD145" s="34" t="s">
        <v>159</v>
      </c>
      <c r="CF145" s="34">
        <v>2000</v>
      </c>
      <c r="CM145" s="34">
        <v>3</v>
      </c>
    </row>
    <row r="146" spans="80:91" x14ac:dyDescent="0.2">
      <c r="CB146" s="34" t="s">
        <v>157</v>
      </c>
      <c r="CC146" s="34" t="s">
        <v>167</v>
      </c>
      <c r="CD146" s="34" t="s">
        <v>145</v>
      </c>
      <c r="CF146" s="34">
        <v>11500</v>
      </c>
    </row>
    <row r="147" spans="80:91" x14ac:dyDescent="0.2">
      <c r="CB147" s="34" t="s">
        <v>157</v>
      </c>
      <c r="CC147" s="34" t="s">
        <v>142</v>
      </c>
      <c r="CD147" s="34" t="s">
        <v>145</v>
      </c>
      <c r="CF147" s="34">
        <v>11500</v>
      </c>
      <c r="CM147" s="34" t="s">
        <v>1625</v>
      </c>
    </row>
    <row r="148" spans="80:91" x14ac:dyDescent="0.2">
      <c r="CB148" s="34" t="s">
        <v>144</v>
      </c>
      <c r="CC148" s="34" t="s">
        <v>142</v>
      </c>
      <c r="CD148" s="34" t="s">
        <v>145</v>
      </c>
      <c r="CF148" s="34">
        <v>40</v>
      </c>
      <c r="CM148" s="34">
        <v>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4">
        <f>IF(ISBLANK('Job Info.'!D8),"",'Job Info.'!D8)</f>
        <v>44909</v>
      </c>
      <c r="G1" s="1794"/>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796" t="str">
        <f>IF(ISBLANK('Job Info.'!D3),"",'Job Info.'!D3)</f>
        <v>SUNCAP CHEYENNE&amp;COMMERCE BLDG A&amp;B PP</v>
      </c>
      <c r="C4" s="1797"/>
      <c r="D4" s="471" t="s">
        <v>2</v>
      </c>
      <c r="E4" s="1796" t="str">
        <f>IF(ISBLANK('Job Info.'!D5),"",'Job Info.'!D5)</f>
        <v>9122-0050</v>
      </c>
      <c r="F4" s="1796"/>
      <c r="G4" s="1796"/>
      <c r="H4" s="1797"/>
    </row>
    <row r="5" spans="1:8" ht="15.95" customHeight="1" x14ac:dyDescent="0.2">
      <c r="A5" s="471" t="s">
        <v>3</v>
      </c>
      <c r="B5" s="1796" t="str">
        <f>IF(ISBLANK('Job Info.'!D4),"",'Job Info.'!D4)</f>
        <v>LAS VEGAS, NV</v>
      </c>
      <c r="C5" s="1797"/>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5" t="s">
        <v>15</v>
      </c>
      <c r="C7" s="1795"/>
      <c r="D7" s="1795"/>
      <c r="E7" s="1795"/>
      <c r="F7" s="1795"/>
      <c r="G7" s="1795"/>
      <c r="H7" s="1795"/>
    </row>
    <row r="8" spans="1:8" ht="15" customHeight="1" x14ac:dyDescent="0.2">
      <c r="A8" s="1051"/>
      <c r="B8" s="1792"/>
      <c r="C8" s="1792"/>
      <c r="D8" s="1792"/>
      <c r="E8" s="1792"/>
      <c r="F8" s="1792"/>
      <c r="G8" s="1792"/>
      <c r="H8" s="1792"/>
    </row>
    <row r="9" spans="1:8" ht="15" customHeight="1" x14ac:dyDescent="0.2">
      <c r="A9" s="1052"/>
      <c r="B9" s="1791"/>
      <c r="C9" s="1791"/>
      <c r="D9" s="1791"/>
      <c r="E9" s="1791"/>
      <c r="F9" s="1791"/>
      <c r="G9" s="1791"/>
      <c r="H9" s="1791"/>
    </row>
    <row r="10" spans="1:8" ht="15" customHeight="1" x14ac:dyDescent="0.2">
      <c r="A10" s="1052"/>
      <c r="B10" s="1791"/>
      <c r="C10" s="1791"/>
      <c r="D10" s="1791"/>
      <c r="E10" s="1791"/>
      <c r="F10" s="1791"/>
      <c r="G10" s="1791"/>
      <c r="H10" s="1791"/>
    </row>
    <row r="11" spans="1:8" ht="15" customHeight="1" x14ac:dyDescent="0.2">
      <c r="A11" s="1052"/>
      <c r="B11" s="1791"/>
      <c r="C11" s="1791"/>
      <c r="D11" s="1791"/>
      <c r="E11" s="1791"/>
      <c r="F11" s="1791"/>
      <c r="G11" s="1791"/>
      <c r="H11" s="1791"/>
    </row>
    <row r="12" spans="1:8" ht="15" customHeight="1" x14ac:dyDescent="0.2">
      <c r="A12" s="1052"/>
      <c r="B12" s="1791"/>
      <c r="C12" s="1791"/>
      <c r="D12" s="1791"/>
      <c r="E12" s="1791"/>
      <c r="F12" s="1791"/>
      <c r="G12" s="1791"/>
      <c r="H12" s="1791"/>
    </row>
    <row r="13" spans="1:8" ht="15" customHeight="1" x14ac:dyDescent="0.2">
      <c r="A13" s="1052"/>
      <c r="B13" s="1791"/>
      <c r="C13" s="1791"/>
      <c r="D13" s="1791"/>
      <c r="E13" s="1791"/>
      <c r="F13" s="1791"/>
      <c r="G13" s="1791"/>
      <c r="H13" s="1791"/>
    </row>
    <row r="14" spans="1:8" ht="15" customHeight="1" x14ac:dyDescent="0.2">
      <c r="A14" s="1052"/>
      <c r="B14" s="1791"/>
      <c r="C14" s="1791"/>
      <c r="D14" s="1791"/>
      <c r="E14" s="1791"/>
      <c r="F14" s="1791"/>
      <c r="G14" s="1791"/>
      <c r="H14" s="1791"/>
    </row>
    <row r="15" spans="1:8" ht="15" customHeight="1" x14ac:dyDescent="0.2">
      <c r="A15" s="1052"/>
      <c r="B15" s="1791"/>
      <c r="C15" s="1791"/>
      <c r="D15" s="1791"/>
      <c r="E15" s="1791"/>
      <c r="F15" s="1791"/>
      <c r="G15" s="1791"/>
      <c r="H15" s="1791"/>
    </row>
    <row r="16" spans="1:8" ht="15" customHeight="1" x14ac:dyDescent="0.2">
      <c r="A16" s="1052"/>
      <c r="B16" s="1791"/>
      <c r="C16" s="1791"/>
      <c r="D16" s="1791"/>
      <c r="E16" s="1791"/>
      <c r="F16" s="1791"/>
      <c r="G16" s="1791"/>
      <c r="H16" s="1791"/>
    </row>
    <row r="17" spans="1:8" ht="15" customHeight="1" x14ac:dyDescent="0.2">
      <c r="A17" s="1052"/>
      <c r="B17" s="1791"/>
      <c r="C17" s="1791"/>
      <c r="D17" s="1791"/>
      <c r="E17" s="1791"/>
      <c r="F17" s="1791"/>
      <c r="G17" s="1791"/>
      <c r="H17" s="1791"/>
    </row>
    <row r="18" spans="1:8" ht="15" customHeight="1" x14ac:dyDescent="0.2">
      <c r="A18" s="1052"/>
      <c r="B18" s="1791"/>
      <c r="C18" s="1791"/>
      <c r="D18" s="1791"/>
      <c r="E18" s="1791"/>
      <c r="F18" s="1791"/>
      <c r="G18" s="1791"/>
      <c r="H18" s="1791"/>
    </row>
    <row r="19" spans="1:8" ht="15" customHeight="1" x14ac:dyDescent="0.2">
      <c r="A19" s="1052"/>
      <c r="B19" s="1791"/>
      <c r="C19" s="1791"/>
      <c r="D19" s="1791"/>
      <c r="E19" s="1791"/>
      <c r="F19" s="1791"/>
      <c r="G19" s="1791"/>
      <c r="H19" s="1791"/>
    </row>
    <row r="20" spans="1:8" ht="15" customHeight="1" x14ac:dyDescent="0.2">
      <c r="A20" s="1052"/>
      <c r="B20" s="1791"/>
      <c r="C20" s="1791"/>
      <c r="D20" s="1791"/>
      <c r="E20" s="1791"/>
      <c r="F20" s="1791"/>
      <c r="G20" s="1791"/>
      <c r="H20" s="1791"/>
    </row>
    <row r="21" spans="1:8" ht="15" customHeight="1" x14ac:dyDescent="0.2">
      <c r="A21" s="1052"/>
      <c r="B21" s="1791"/>
      <c r="C21" s="1791"/>
      <c r="D21" s="1791"/>
      <c r="E21" s="1791"/>
      <c r="F21" s="1791"/>
      <c r="G21" s="1791"/>
      <c r="H21" s="1791"/>
    </row>
    <row r="22" spans="1:8" ht="15" customHeight="1" x14ac:dyDescent="0.2">
      <c r="A22" s="1052"/>
      <c r="B22" s="1791"/>
      <c r="C22" s="1791"/>
      <c r="D22" s="1791"/>
      <c r="E22" s="1791"/>
      <c r="F22" s="1791"/>
      <c r="G22" s="1791"/>
      <c r="H22" s="1791"/>
    </row>
    <row r="23" spans="1:8" ht="15" customHeight="1" x14ac:dyDescent="0.2">
      <c r="A23" s="1052"/>
      <c r="B23" s="1791"/>
      <c r="C23" s="1791"/>
      <c r="D23" s="1791"/>
      <c r="E23" s="1791"/>
      <c r="F23" s="1791"/>
      <c r="G23" s="1791"/>
      <c r="H23" s="1791"/>
    </row>
    <row r="24" spans="1:8" ht="15" customHeight="1" x14ac:dyDescent="0.2">
      <c r="A24" s="1052"/>
      <c r="B24" s="1791"/>
      <c r="C24" s="1791"/>
      <c r="D24" s="1791"/>
      <c r="E24" s="1791"/>
      <c r="F24" s="1791"/>
      <c r="G24" s="1791"/>
      <c r="H24" s="1791"/>
    </row>
    <row r="25" spans="1:8" ht="15" customHeight="1" x14ac:dyDescent="0.2">
      <c r="A25" s="1052"/>
      <c r="B25" s="1791"/>
      <c r="C25" s="1791"/>
      <c r="D25" s="1791"/>
      <c r="E25" s="1791"/>
      <c r="F25" s="1791"/>
      <c r="G25" s="1791"/>
      <c r="H25" s="1791"/>
    </row>
    <row r="26" spans="1:8" ht="15" customHeight="1" x14ac:dyDescent="0.2">
      <c r="A26" s="1052"/>
      <c r="B26" s="1791"/>
      <c r="C26" s="1791"/>
      <c r="D26" s="1791"/>
      <c r="E26" s="1791"/>
      <c r="F26" s="1791"/>
      <c r="G26" s="1791"/>
      <c r="H26" s="1791"/>
    </row>
    <row r="27" spans="1:8" ht="15" customHeight="1" x14ac:dyDescent="0.2">
      <c r="A27" s="1052"/>
      <c r="B27" s="1791"/>
      <c r="C27" s="1791"/>
      <c r="D27" s="1791"/>
      <c r="E27" s="1791"/>
      <c r="F27" s="1791"/>
      <c r="G27" s="1791"/>
      <c r="H27" s="1791"/>
    </row>
    <row r="28" spans="1:8" ht="15" customHeight="1" x14ac:dyDescent="0.2">
      <c r="A28" s="1052"/>
      <c r="B28" s="1791"/>
      <c r="C28" s="1791"/>
      <c r="D28" s="1791"/>
      <c r="E28" s="1791"/>
      <c r="F28" s="1791"/>
      <c r="G28" s="1791"/>
      <c r="H28" s="1791"/>
    </row>
    <row r="29" spans="1:8" ht="15" customHeight="1" x14ac:dyDescent="0.2">
      <c r="A29" s="1052"/>
      <c r="B29" s="1791"/>
      <c r="C29" s="1791"/>
      <c r="D29" s="1791"/>
      <c r="E29" s="1791"/>
      <c r="F29" s="1791"/>
      <c r="G29" s="1791"/>
      <c r="H29" s="1791"/>
    </row>
    <row r="30" spans="1:8" ht="15" customHeight="1" x14ac:dyDescent="0.2">
      <c r="A30" s="1052"/>
      <c r="B30" s="1791"/>
      <c r="C30" s="1791"/>
      <c r="D30" s="1791"/>
      <c r="E30" s="1791"/>
      <c r="F30" s="1791"/>
      <c r="G30" s="1791"/>
      <c r="H30" s="1791"/>
    </row>
    <row r="31" spans="1:8" ht="15" customHeight="1" x14ac:dyDescent="0.2">
      <c r="A31" s="1052"/>
      <c r="B31" s="1791"/>
      <c r="C31" s="1791"/>
      <c r="D31" s="1791"/>
      <c r="E31" s="1791"/>
      <c r="F31" s="1791"/>
      <c r="G31" s="1791"/>
      <c r="H31" s="1791"/>
    </row>
    <row r="32" spans="1:8" ht="15" customHeight="1" x14ac:dyDescent="0.2">
      <c r="A32" s="1052"/>
      <c r="B32" s="1791"/>
      <c r="C32" s="1791"/>
      <c r="D32" s="1791"/>
      <c r="E32" s="1791"/>
      <c r="F32" s="1791"/>
      <c r="G32" s="1791"/>
      <c r="H32" s="1791"/>
    </row>
    <row r="33" spans="1:8" ht="15" customHeight="1" x14ac:dyDescent="0.2">
      <c r="A33" s="1052"/>
      <c r="B33" s="1791"/>
      <c r="C33" s="1791"/>
      <c r="D33" s="1791"/>
      <c r="E33" s="1791"/>
      <c r="F33" s="1791"/>
      <c r="G33" s="1791"/>
      <c r="H33" s="1791"/>
    </row>
    <row r="34" spans="1:8" ht="15" customHeight="1" x14ac:dyDescent="0.2">
      <c r="A34" s="1052"/>
      <c r="B34" s="1791"/>
      <c r="C34" s="1791"/>
      <c r="D34" s="1791"/>
      <c r="E34" s="1791"/>
      <c r="F34" s="1791"/>
      <c r="G34" s="1791"/>
      <c r="H34" s="1791"/>
    </row>
    <row r="35" spans="1:8" ht="15" customHeight="1" x14ac:dyDescent="0.2">
      <c r="A35" s="1052"/>
      <c r="B35" s="1791"/>
      <c r="C35" s="1791"/>
      <c r="D35" s="1791"/>
      <c r="E35" s="1791"/>
      <c r="F35" s="1791"/>
      <c r="G35" s="1791"/>
      <c r="H35" s="1791"/>
    </row>
    <row r="36" spans="1:8" ht="15" customHeight="1" x14ac:dyDescent="0.2">
      <c r="A36" s="1052"/>
      <c r="B36" s="1791"/>
      <c r="C36" s="1791"/>
      <c r="D36" s="1791"/>
      <c r="E36" s="1791"/>
      <c r="F36" s="1791"/>
      <c r="G36" s="1791"/>
      <c r="H36" s="1791"/>
    </row>
    <row r="37" spans="1:8" ht="15" customHeight="1" x14ac:dyDescent="0.2">
      <c r="A37" s="1052"/>
      <c r="B37" s="1791"/>
      <c r="C37" s="1791"/>
      <c r="D37" s="1791"/>
      <c r="E37" s="1791"/>
      <c r="F37" s="1791"/>
      <c r="G37" s="1791"/>
      <c r="H37" s="1791"/>
    </row>
    <row r="38" spans="1:8" ht="15" customHeight="1" x14ac:dyDescent="0.2">
      <c r="A38" s="1052"/>
      <c r="B38" s="1791"/>
      <c r="C38" s="1791"/>
      <c r="D38" s="1791"/>
      <c r="E38" s="1791"/>
      <c r="F38" s="1791"/>
      <c r="G38" s="1791"/>
      <c r="H38" s="1791"/>
    </row>
    <row r="39" spans="1:8" ht="15" customHeight="1" x14ac:dyDescent="0.2">
      <c r="A39" s="1052"/>
      <c r="B39" s="1791"/>
      <c r="C39" s="1791"/>
      <c r="D39" s="1791"/>
      <c r="E39" s="1791"/>
      <c r="F39" s="1791"/>
      <c r="G39" s="1791"/>
      <c r="H39" s="1791"/>
    </row>
    <row r="40" spans="1:8" ht="15" customHeight="1" x14ac:dyDescent="0.2">
      <c r="A40" s="1052"/>
      <c r="B40" s="1791"/>
      <c r="C40" s="1791"/>
      <c r="D40" s="1791"/>
      <c r="E40" s="1791"/>
      <c r="F40" s="1791"/>
      <c r="G40" s="1791"/>
      <c r="H40" s="1791"/>
    </row>
    <row r="41" spans="1:8" ht="15" customHeight="1" x14ac:dyDescent="0.2">
      <c r="A41" s="1052"/>
      <c r="B41" s="1791"/>
      <c r="C41" s="1791"/>
      <c r="D41" s="1791"/>
      <c r="E41" s="1791"/>
      <c r="F41" s="1791"/>
      <c r="G41" s="1791"/>
      <c r="H41" s="1791"/>
    </row>
    <row r="42" spans="1:8" ht="15" customHeight="1" x14ac:dyDescent="0.2">
      <c r="A42" s="1052"/>
      <c r="B42" s="1791"/>
      <c r="C42" s="1791"/>
      <c r="D42" s="1791"/>
      <c r="E42" s="1791"/>
      <c r="F42" s="1791"/>
      <c r="G42" s="1791"/>
      <c r="H42" s="1791"/>
    </row>
    <row r="43" spans="1:8" ht="15" customHeight="1" x14ac:dyDescent="0.2">
      <c r="A43" s="1052"/>
      <c r="B43" s="1791"/>
      <c r="C43" s="1791"/>
      <c r="D43" s="1791"/>
      <c r="E43" s="1791"/>
      <c r="F43" s="1791"/>
      <c r="G43" s="1791"/>
      <c r="H43" s="1791"/>
    </row>
    <row r="44" spans="1:8" ht="15" customHeight="1" x14ac:dyDescent="0.2">
      <c r="A44" s="1052"/>
      <c r="B44" s="1791"/>
      <c r="C44" s="1791"/>
      <c r="D44" s="1791"/>
      <c r="E44" s="1791"/>
      <c r="F44" s="1791"/>
      <c r="G44" s="1791"/>
      <c r="H44" s="1791"/>
    </row>
    <row r="45" spans="1:8" ht="15" customHeight="1" x14ac:dyDescent="0.2">
      <c r="A45" s="1052"/>
      <c r="B45" s="1791"/>
      <c r="C45" s="1791"/>
      <c r="D45" s="1791"/>
      <c r="E45" s="1791"/>
      <c r="F45" s="1791"/>
      <c r="G45" s="1791"/>
      <c r="H45" s="1791"/>
    </row>
    <row r="46" spans="1:8" ht="15" customHeight="1" x14ac:dyDescent="0.2">
      <c r="A46" s="1052"/>
      <c r="B46" s="1791"/>
      <c r="C46" s="1791"/>
      <c r="D46" s="1791"/>
      <c r="E46" s="1791"/>
      <c r="F46" s="1791"/>
      <c r="G46" s="1791"/>
      <c r="H46" s="1791"/>
    </row>
    <row r="47" spans="1:8" ht="15" customHeight="1" x14ac:dyDescent="0.2">
      <c r="A47" s="1053"/>
      <c r="B47" s="1793"/>
      <c r="C47" s="1793"/>
      <c r="D47" s="1793"/>
      <c r="E47" s="1793"/>
      <c r="F47" s="1793"/>
      <c r="G47" s="1793"/>
      <c r="H47" s="179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799">
        <f>IF(ISBLANK('Job Info.'!D8),"",'Job Info.'!D8)</f>
        <v>44909</v>
      </c>
      <c r="G1" s="1799"/>
      <c r="H1" s="374"/>
    </row>
    <row r="2" spans="1:8" ht="39.950000000000003" customHeight="1" x14ac:dyDescent="0.2">
      <c r="A2" s="1390" t="s">
        <v>42</v>
      </c>
      <c r="B2" s="374"/>
      <c r="C2" s="374"/>
      <c r="D2" s="1554" t="s">
        <v>1280</v>
      </c>
      <c r="E2" s="460" t="s">
        <v>21</v>
      </c>
      <c r="F2" s="1391"/>
      <c r="G2" s="1391"/>
      <c r="H2" s="374"/>
    </row>
    <row r="3" spans="1:8" ht="6" customHeight="1" x14ac:dyDescent="0.2">
      <c r="A3" s="374"/>
      <c r="B3" s="374"/>
      <c r="C3" s="374"/>
      <c r="D3" s="374"/>
      <c r="E3" s="374"/>
      <c r="F3" s="374"/>
      <c r="G3" s="374"/>
      <c r="H3" s="374"/>
    </row>
    <row r="4" spans="1:8" ht="15.95" customHeight="1" x14ac:dyDescent="0.2">
      <c r="A4" s="471" t="s">
        <v>1</v>
      </c>
      <c r="B4" s="1796" t="str">
        <f>IF(ISBLANK('Job Info.'!D3),"",'Job Info.'!D3)</f>
        <v>SUNCAP CHEYENNE&amp;COMMERCE BLDG A&amp;B PP</v>
      </c>
      <c r="C4" s="1797"/>
      <c r="D4" s="471" t="s">
        <v>2</v>
      </c>
      <c r="E4" s="1796" t="str">
        <f>IF(ISBLANK('Job Info.'!D5),"",'Job Info.'!D5)</f>
        <v>9122-0050</v>
      </c>
      <c r="F4" s="1796"/>
      <c r="G4" s="1796"/>
      <c r="H4" s="1797"/>
    </row>
    <row r="5" spans="1:8" ht="15.95" customHeight="1" x14ac:dyDescent="0.2">
      <c r="A5" s="471" t="s">
        <v>3</v>
      </c>
      <c r="B5" s="1796" t="str">
        <f>IF(ISBLANK('Job Info.'!D4),"",'Job Info.'!D4)</f>
        <v>LAS VEGAS, NV</v>
      </c>
      <c r="C5" s="1797"/>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795" t="s">
        <v>15</v>
      </c>
      <c r="C7" s="1795"/>
      <c r="D7" s="1795"/>
      <c r="E7" s="1795"/>
      <c r="F7" s="1795"/>
      <c r="G7" s="1795"/>
      <c r="H7" s="1795"/>
    </row>
    <row r="8" spans="1:8" ht="15" customHeight="1" x14ac:dyDescent="0.2">
      <c r="A8" s="1509"/>
      <c r="B8" s="1798"/>
      <c r="C8" s="1798"/>
      <c r="D8" s="1798"/>
      <c r="E8" s="1798"/>
      <c r="F8" s="1798"/>
      <c r="G8" s="1798"/>
      <c r="H8" s="1798"/>
    </row>
    <row r="9" spans="1:8" ht="15" customHeight="1" x14ac:dyDescent="0.2">
      <c r="A9" s="1517"/>
      <c r="B9" s="1800"/>
      <c r="C9" s="1800"/>
      <c r="D9" s="1800"/>
      <c r="E9" s="1800"/>
      <c r="F9" s="1800"/>
      <c r="G9" s="1800"/>
      <c r="H9" s="1800"/>
    </row>
    <row r="10" spans="1:8" ht="15" customHeight="1" x14ac:dyDescent="0.2">
      <c r="A10" s="1517"/>
      <c r="B10" s="1800"/>
      <c r="C10" s="1800"/>
      <c r="D10" s="1800"/>
      <c r="E10" s="1800"/>
      <c r="F10" s="1800"/>
      <c r="G10" s="1800"/>
      <c r="H10" s="1800"/>
    </row>
    <row r="11" spans="1:8" ht="15" customHeight="1" x14ac:dyDescent="0.2">
      <c r="A11" s="1517"/>
      <c r="B11" s="1800"/>
      <c r="C11" s="1800"/>
      <c r="D11" s="1800"/>
      <c r="E11" s="1800"/>
      <c r="F11" s="1800"/>
      <c r="G11" s="1800"/>
      <c r="H11" s="1800"/>
    </row>
    <row r="12" spans="1:8" ht="15" customHeight="1" x14ac:dyDescent="0.2">
      <c r="A12" s="1517"/>
      <c r="B12" s="1800"/>
      <c r="C12" s="1800"/>
      <c r="D12" s="1800"/>
      <c r="E12" s="1800"/>
      <c r="F12" s="1800"/>
      <c r="G12" s="1800"/>
      <c r="H12" s="1800"/>
    </row>
    <row r="13" spans="1:8" ht="15" customHeight="1" x14ac:dyDescent="0.2">
      <c r="A13" s="1517"/>
      <c r="B13" s="1800"/>
      <c r="C13" s="1800"/>
      <c r="D13" s="1800"/>
      <c r="E13" s="1800"/>
      <c r="F13" s="1800"/>
      <c r="G13" s="1800"/>
      <c r="H13" s="1800"/>
    </row>
    <row r="14" spans="1:8" ht="15" customHeight="1" x14ac:dyDescent="0.2">
      <c r="A14" s="1517"/>
      <c r="B14" s="1800"/>
      <c r="C14" s="1800"/>
      <c r="D14" s="1800"/>
      <c r="E14" s="1800"/>
      <c r="F14" s="1800"/>
      <c r="G14" s="1800"/>
      <c r="H14" s="1800"/>
    </row>
    <row r="15" spans="1:8" ht="15" customHeight="1" x14ac:dyDescent="0.2">
      <c r="A15" s="1517"/>
      <c r="B15" s="1800"/>
      <c r="C15" s="1800"/>
      <c r="D15" s="1800"/>
      <c r="E15" s="1800"/>
      <c r="F15" s="1800"/>
      <c r="G15" s="1800"/>
      <c r="H15" s="1800"/>
    </row>
    <row r="16" spans="1:8" ht="15" customHeight="1" x14ac:dyDescent="0.2">
      <c r="A16" s="1517"/>
      <c r="B16" s="1800"/>
      <c r="C16" s="1800"/>
      <c r="D16" s="1800"/>
      <c r="E16" s="1800"/>
      <c r="F16" s="1800"/>
      <c r="G16" s="1800"/>
      <c r="H16" s="1800"/>
    </row>
    <row r="17" spans="1:8" ht="15" customHeight="1" x14ac:dyDescent="0.2">
      <c r="A17" s="1517"/>
      <c r="B17" s="1800"/>
      <c r="C17" s="1800"/>
      <c r="D17" s="1800"/>
      <c r="E17" s="1800"/>
      <c r="F17" s="1800"/>
      <c r="G17" s="1800"/>
      <c r="H17" s="1800"/>
    </row>
    <row r="18" spans="1:8" ht="15" customHeight="1" x14ac:dyDescent="0.2">
      <c r="A18" s="1517"/>
      <c r="B18" s="1800"/>
      <c r="C18" s="1800"/>
      <c r="D18" s="1800"/>
      <c r="E18" s="1800"/>
      <c r="F18" s="1800"/>
      <c r="G18" s="1800"/>
      <c r="H18" s="1800"/>
    </row>
    <row r="19" spans="1:8" ht="15" customHeight="1" x14ac:dyDescent="0.2">
      <c r="A19" s="1517"/>
      <c r="B19" s="1800"/>
      <c r="C19" s="1800"/>
      <c r="D19" s="1800"/>
      <c r="E19" s="1800"/>
      <c r="F19" s="1800"/>
      <c r="G19" s="1800"/>
      <c r="H19" s="1800"/>
    </row>
    <row r="20" spans="1:8" ht="15" customHeight="1" x14ac:dyDescent="0.2">
      <c r="A20" s="1517"/>
      <c r="B20" s="1800"/>
      <c r="C20" s="1800"/>
      <c r="D20" s="1800"/>
      <c r="E20" s="1800"/>
      <c r="F20" s="1800"/>
      <c r="G20" s="1800"/>
      <c r="H20" s="1800"/>
    </row>
    <row r="21" spans="1:8" ht="15" customHeight="1" x14ac:dyDescent="0.2">
      <c r="A21" s="1517"/>
      <c r="B21" s="1800"/>
      <c r="C21" s="1800"/>
      <c r="D21" s="1800"/>
      <c r="E21" s="1800"/>
      <c r="F21" s="1800"/>
      <c r="G21" s="1800"/>
      <c r="H21" s="1800"/>
    </row>
    <row r="22" spans="1:8" ht="15" customHeight="1" x14ac:dyDescent="0.2">
      <c r="A22" s="1517"/>
      <c r="B22" s="1800"/>
      <c r="C22" s="1800"/>
      <c r="D22" s="1800"/>
      <c r="E22" s="1800"/>
      <c r="F22" s="1800"/>
      <c r="G22" s="1800"/>
      <c r="H22" s="1800"/>
    </row>
    <row r="23" spans="1:8" ht="15" customHeight="1" x14ac:dyDescent="0.2">
      <c r="A23" s="1517"/>
      <c r="B23" s="1800"/>
      <c r="C23" s="1800"/>
      <c r="D23" s="1800"/>
      <c r="E23" s="1800"/>
      <c r="F23" s="1800"/>
      <c r="G23" s="1800"/>
      <c r="H23" s="1800"/>
    </row>
    <row r="24" spans="1:8" ht="15" customHeight="1" x14ac:dyDescent="0.2">
      <c r="A24" s="1517"/>
      <c r="B24" s="1800"/>
      <c r="C24" s="1800"/>
      <c r="D24" s="1800"/>
      <c r="E24" s="1800"/>
      <c r="F24" s="1800"/>
      <c r="G24" s="1800"/>
      <c r="H24" s="1800"/>
    </row>
    <row r="25" spans="1:8" ht="15" customHeight="1" x14ac:dyDescent="0.2">
      <c r="A25" s="1517"/>
      <c r="B25" s="1800"/>
      <c r="C25" s="1800"/>
      <c r="D25" s="1800"/>
      <c r="E25" s="1800"/>
      <c r="F25" s="1800"/>
      <c r="G25" s="1800"/>
      <c r="H25" s="1800"/>
    </row>
    <row r="26" spans="1:8" ht="15" customHeight="1" x14ac:dyDescent="0.2">
      <c r="A26" s="1517"/>
      <c r="B26" s="1800"/>
      <c r="C26" s="1800"/>
      <c r="D26" s="1800"/>
      <c r="E26" s="1800"/>
      <c r="F26" s="1800"/>
      <c r="G26" s="1800"/>
      <c r="H26" s="1800"/>
    </row>
    <row r="27" spans="1:8" ht="15" customHeight="1" x14ac:dyDescent="0.2">
      <c r="A27" s="1517"/>
      <c r="B27" s="1800"/>
      <c r="C27" s="1800"/>
      <c r="D27" s="1800"/>
      <c r="E27" s="1800"/>
      <c r="F27" s="1800"/>
      <c r="G27" s="1800"/>
      <c r="H27" s="1800"/>
    </row>
    <row r="28" spans="1:8" ht="15" customHeight="1" x14ac:dyDescent="0.2">
      <c r="A28" s="1517"/>
      <c r="B28" s="1800"/>
      <c r="C28" s="1800"/>
      <c r="D28" s="1800"/>
      <c r="E28" s="1800"/>
      <c r="F28" s="1800"/>
      <c r="G28" s="1800"/>
      <c r="H28" s="1800"/>
    </row>
    <row r="29" spans="1:8" ht="15" customHeight="1" x14ac:dyDescent="0.2">
      <c r="A29" s="1517"/>
      <c r="B29" s="1800"/>
      <c r="C29" s="1800"/>
      <c r="D29" s="1800"/>
      <c r="E29" s="1800"/>
      <c r="F29" s="1800"/>
      <c r="G29" s="1800"/>
      <c r="H29" s="1800"/>
    </row>
    <row r="30" spans="1:8" ht="15" customHeight="1" x14ac:dyDescent="0.2">
      <c r="A30" s="1517"/>
      <c r="B30" s="1800"/>
      <c r="C30" s="1800"/>
      <c r="D30" s="1800"/>
      <c r="E30" s="1800"/>
      <c r="F30" s="1800"/>
      <c r="G30" s="1800"/>
      <c r="H30" s="1800"/>
    </row>
    <row r="31" spans="1:8" ht="15" customHeight="1" x14ac:dyDescent="0.2">
      <c r="A31" s="1517"/>
      <c r="B31" s="1800"/>
      <c r="C31" s="1800"/>
      <c r="D31" s="1800"/>
      <c r="E31" s="1800"/>
      <c r="F31" s="1800"/>
      <c r="G31" s="1800"/>
      <c r="H31" s="1800"/>
    </row>
    <row r="32" spans="1:8" ht="15" customHeight="1" x14ac:dyDescent="0.2">
      <c r="A32" s="1517"/>
      <c r="B32" s="1800"/>
      <c r="C32" s="1800"/>
      <c r="D32" s="1800"/>
      <c r="E32" s="1800"/>
      <c r="F32" s="1800"/>
      <c r="G32" s="1800"/>
      <c r="H32" s="1800"/>
    </row>
    <row r="33" spans="1:8" ht="15" customHeight="1" x14ac:dyDescent="0.2">
      <c r="A33" s="1517"/>
      <c r="B33" s="1800"/>
      <c r="C33" s="1800"/>
      <c r="D33" s="1800"/>
      <c r="E33" s="1800"/>
      <c r="F33" s="1800"/>
      <c r="G33" s="1800"/>
      <c r="H33" s="1800"/>
    </row>
    <row r="34" spans="1:8" ht="15" customHeight="1" x14ac:dyDescent="0.2">
      <c r="A34" s="1517"/>
      <c r="B34" s="1800"/>
      <c r="C34" s="1800"/>
      <c r="D34" s="1800"/>
      <c r="E34" s="1800"/>
      <c r="F34" s="1800"/>
      <c r="G34" s="1800"/>
      <c r="H34" s="1800"/>
    </row>
    <row r="35" spans="1:8" ht="15" customHeight="1" x14ac:dyDescent="0.2">
      <c r="A35" s="1517"/>
      <c r="B35" s="1800"/>
      <c r="C35" s="1800"/>
      <c r="D35" s="1800"/>
      <c r="E35" s="1800"/>
      <c r="F35" s="1800"/>
      <c r="G35" s="1800"/>
      <c r="H35" s="1800"/>
    </row>
    <row r="36" spans="1:8" ht="15" customHeight="1" x14ac:dyDescent="0.2">
      <c r="A36" s="1517"/>
      <c r="B36" s="1800"/>
      <c r="C36" s="1800"/>
      <c r="D36" s="1800"/>
      <c r="E36" s="1800"/>
      <c r="F36" s="1800"/>
      <c r="G36" s="1800"/>
      <c r="H36" s="1800"/>
    </row>
    <row r="37" spans="1:8" ht="15" customHeight="1" x14ac:dyDescent="0.2">
      <c r="A37" s="1517"/>
      <c r="B37" s="1800"/>
      <c r="C37" s="1800"/>
      <c r="D37" s="1800"/>
      <c r="E37" s="1800"/>
      <c r="F37" s="1800"/>
      <c r="G37" s="1800"/>
      <c r="H37" s="1800"/>
    </row>
    <row r="38" spans="1:8" ht="15" customHeight="1" x14ac:dyDescent="0.2">
      <c r="A38" s="1517"/>
      <c r="B38" s="1800"/>
      <c r="C38" s="1800"/>
      <c r="D38" s="1800"/>
      <c r="E38" s="1800"/>
      <c r="F38" s="1800"/>
      <c r="G38" s="1800"/>
      <c r="H38" s="1800"/>
    </row>
    <row r="39" spans="1:8" ht="15" customHeight="1" x14ac:dyDescent="0.2">
      <c r="A39" s="1517"/>
      <c r="B39" s="1800"/>
      <c r="C39" s="1800"/>
      <c r="D39" s="1800"/>
      <c r="E39" s="1800"/>
      <c r="F39" s="1800"/>
      <c r="G39" s="1800"/>
      <c r="H39" s="1800"/>
    </row>
    <row r="40" spans="1:8" ht="15" customHeight="1" x14ac:dyDescent="0.2">
      <c r="A40" s="1517"/>
      <c r="B40" s="1800"/>
      <c r="C40" s="1800"/>
      <c r="D40" s="1800"/>
      <c r="E40" s="1800"/>
      <c r="F40" s="1800"/>
      <c r="G40" s="1800"/>
      <c r="H40" s="1800"/>
    </row>
    <row r="41" spans="1:8" ht="15" customHeight="1" x14ac:dyDescent="0.2">
      <c r="A41" s="1517"/>
      <c r="B41" s="1800"/>
      <c r="C41" s="1800"/>
      <c r="D41" s="1800"/>
      <c r="E41" s="1800"/>
      <c r="F41" s="1800"/>
      <c r="G41" s="1800"/>
      <c r="H41" s="1800"/>
    </row>
    <row r="42" spans="1:8" ht="15" customHeight="1" x14ac:dyDescent="0.2">
      <c r="A42" s="1517"/>
      <c r="B42" s="1800"/>
      <c r="C42" s="1800"/>
      <c r="D42" s="1800"/>
      <c r="E42" s="1800"/>
      <c r="F42" s="1800"/>
      <c r="G42" s="1800"/>
      <c r="H42" s="1800"/>
    </row>
    <row r="43" spans="1:8" ht="15" customHeight="1" x14ac:dyDescent="0.2">
      <c r="A43" s="1517"/>
      <c r="B43" s="1800"/>
      <c r="C43" s="1800"/>
      <c r="D43" s="1800"/>
      <c r="E43" s="1800"/>
      <c r="F43" s="1800"/>
      <c r="G43" s="1800"/>
      <c r="H43" s="1800"/>
    </row>
    <row r="44" spans="1:8" ht="15" customHeight="1" x14ac:dyDescent="0.2">
      <c r="A44" s="1517"/>
      <c r="B44" s="1800"/>
      <c r="C44" s="1800"/>
      <c r="D44" s="1800"/>
      <c r="E44" s="1800"/>
      <c r="F44" s="1800"/>
      <c r="G44" s="1800"/>
      <c r="H44" s="1800"/>
    </row>
    <row r="45" spans="1:8" ht="15" customHeight="1" x14ac:dyDescent="0.2">
      <c r="A45" s="1517"/>
      <c r="B45" s="1800"/>
      <c r="C45" s="1800"/>
      <c r="D45" s="1800"/>
      <c r="E45" s="1800"/>
      <c r="F45" s="1800"/>
      <c r="G45" s="1800"/>
      <c r="H45" s="1800"/>
    </row>
    <row r="46" spans="1:8" ht="15" customHeight="1" x14ac:dyDescent="0.2">
      <c r="A46" s="1517"/>
      <c r="B46" s="1800"/>
      <c r="C46" s="1800"/>
      <c r="D46" s="1800"/>
      <c r="E46" s="1800"/>
      <c r="F46" s="1800"/>
      <c r="G46" s="1800"/>
      <c r="H46" s="1800"/>
    </row>
    <row r="47" spans="1:8" ht="15" customHeight="1" x14ac:dyDescent="0.2">
      <c r="A47" s="1526"/>
      <c r="B47" s="1801"/>
      <c r="C47" s="1801"/>
      <c r="D47" s="1801"/>
      <c r="E47" s="1801"/>
      <c r="F47" s="1801"/>
      <c r="G47" s="1801"/>
      <c r="H47" s="1801"/>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02" t="str">
        <f>IF(L1="","",VLOOKUP(L1,'Job Info.'!X:AA,4,FALSE))</f>
        <v>Master</v>
      </c>
      <c r="E1" s="1802"/>
      <c r="F1" s="1802"/>
      <c r="G1" s="1803" t="s">
        <v>95</v>
      </c>
      <c r="H1" s="1804"/>
      <c r="I1" s="1805" t="str">
        <f ca="1">'Job Info.'!D12</f>
        <v>775-428-0600</v>
      </c>
      <c r="J1" s="180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07" t="str">
        <f>IF(L1="","",IF(VLOOKUP(L1,'Job Info.'!X:Z,2,FALSE),"Released for Fabrication",""))</f>
        <v/>
      </c>
      <c r="E2" s="1808"/>
      <c r="F2" s="1809"/>
      <c r="G2" s="1803" t="s">
        <v>96</v>
      </c>
      <c r="H2" s="1803"/>
      <c r="I2" s="1805" t="str">
        <f ca="1">'Job Info.'!D13</f>
        <v>775-867-2140</v>
      </c>
      <c r="J2" s="1806"/>
      <c r="S2" s="633"/>
      <c r="T2" s="633" t="s">
        <v>1267</v>
      </c>
    </row>
    <row r="3" spans="1:22" ht="12.95" customHeight="1" x14ac:dyDescent="0.2">
      <c r="A3" s="374"/>
      <c r="B3" s="374"/>
      <c r="C3" s="374"/>
      <c r="D3" s="1810"/>
      <c r="E3" s="1811"/>
      <c r="F3" s="1812"/>
      <c r="G3" s="1803" t="s">
        <v>98</v>
      </c>
      <c r="H3" s="1803"/>
      <c r="I3" s="1805" t="str">
        <f ca="1">'Job Info.'!D14</f>
        <v>775-867-2169</v>
      </c>
      <c r="J3" s="1806"/>
      <c r="S3" s="633"/>
      <c r="T3" s="633" t="s">
        <v>1268</v>
      </c>
    </row>
    <row r="4" spans="1:22" ht="12.95" customHeight="1" thickBot="1" x14ac:dyDescent="0.25">
      <c r="A4" s="374"/>
      <c r="B4" s="374"/>
      <c r="C4" s="374"/>
      <c r="D4" s="1813" t="str">
        <f>IF(L1="","",IF(VLOOKUP(L1,'Job Info.'!X:Z,2,FALSE),VLOOKUP(L1,'Job Info.'!X:Z,3,FALSE),""))</f>
        <v/>
      </c>
      <c r="E4" s="1814"/>
      <c r="F4" s="1815"/>
      <c r="G4" s="1803" t="s">
        <v>97</v>
      </c>
      <c r="H4" s="1803"/>
      <c r="I4" s="1805" t="str">
        <f ca="1">'Job Info.'!D15</f>
        <v>775-867-2060</v>
      </c>
      <c r="J4" s="1806"/>
      <c r="S4" s="633"/>
      <c r="T4" s="633" t="s">
        <v>1269</v>
      </c>
    </row>
    <row r="5" spans="1:22" ht="12.95" customHeight="1" thickTop="1" x14ac:dyDescent="0.2">
      <c r="A5" s="1816" t="str">
        <f ca="1">'Job Info.'!D11</f>
        <v>8200 Woolery Way | Fallon, NV 89406 | www.newmill.com</v>
      </c>
      <c r="B5" s="1816"/>
      <c r="C5" s="1816"/>
      <c r="D5" s="1816"/>
      <c r="E5" s="1816"/>
      <c r="F5" s="1816"/>
      <c r="G5" s="233"/>
      <c r="H5" s="374"/>
      <c r="I5" s="374"/>
      <c r="J5" s="374"/>
      <c r="S5" s="633"/>
      <c r="T5" s="633" t="s">
        <v>1270</v>
      </c>
    </row>
    <row r="6" spans="1:22" ht="12.95" customHeight="1" x14ac:dyDescent="0.2">
      <c r="A6" s="374"/>
      <c r="B6" s="374"/>
      <c r="C6" s="374"/>
      <c r="D6" s="374"/>
      <c r="E6" s="374"/>
      <c r="F6" s="374"/>
      <c r="G6" s="462" t="s">
        <v>20</v>
      </c>
      <c r="H6" s="1817">
        <f>IF(ISBLANK('Job Info.'!D8),"",'Job Info.'!D8)</f>
        <v>44909</v>
      </c>
      <c r="I6" s="1817"/>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6" t="str">
        <f>IF(ISBLANK('Job Info.'!D3),"",'Job Info.'!D3)</f>
        <v>SUNCAP CHEYENNE&amp;COMMERCE BLDG A&amp;B PP</v>
      </c>
      <c r="C9" s="1796"/>
      <c r="D9" s="1797"/>
      <c r="E9" s="481"/>
      <c r="F9" s="482" t="s">
        <v>2</v>
      </c>
      <c r="G9" s="1796" t="str">
        <f>IF(ISBLANK('Job Info.'!D5),"",'Job Info.'!D5)</f>
        <v>9122-0050</v>
      </c>
      <c r="H9" s="1796"/>
      <c r="I9" s="1796"/>
      <c r="J9" s="1797"/>
      <c r="L9" s="381"/>
      <c r="T9" s="633"/>
    </row>
    <row r="10" spans="1:22" ht="12.6" customHeight="1" x14ac:dyDescent="0.2">
      <c r="A10" s="480" t="s">
        <v>3</v>
      </c>
      <c r="B10" s="1796" t="str">
        <f>IF(ISBLANK('Job Info.'!D4),"",'Job Info.'!D4)</f>
        <v>LAS VEGAS, NV</v>
      </c>
      <c r="C10" s="1796"/>
      <c r="D10" s="1797"/>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1" t="s">
        <v>15</v>
      </c>
      <c r="C12" s="1822"/>
      <c r="D12" s="1822"/>
      <c r="E12" s="1822"/>
      <c r="F12" s="1822"/>
      <c r="G12" s="1822"/>
      <c r="H12" s="1822"/>
      <c r="I12" s="1822"/>
      <c r="J12" s="1823"/>
      <c r="P12" s="790" t="s">
        <v>963</v>
      </c>
      <c r="Q12" s="791" t="s">
        <v>964</v>
      </c>
      <c r="R12" s="786" t="s">
        <v>968</v>
      </c>
    </row>
    <row r="13" spans="1:22" ht="15.4" customHeight="1" thickTop="1" x14ac:dyDescent="0.2">
      <c r="A13" s="1489"/>
      <c r="B13" s="1824"/>
      <c r="C13" s="1825"/>
      <c r="D13" s="1825"/>
      <c r="E13" s="1825"/>
      <c r="F13" s="1825"/>
      <c r="G13" s="1825"/>
      <c r="H13" s="1825"/>
      <c r="I13" s="1825"/>
      <c r="J13" s="1826"/>
      <c r="L13" s="946" t="str">
        <f>IF(ISBLANK(A13),"",SUBSTITUTE(A13,"*",""))</f>
        <v/>
      </c>
      <c r="M13" s="1538"/>
      <c r="N13" s="1540"/>
      <c r="O13" s="1529"/>
      <c r="P13" s="792"/>
      <c r="Q13" s="793" t="s">
        <v>1022</v>
      </c>
      <c r="R13" s="787" t="str">
        <f>CONCATENATE("[",P13, "] - ", Q13)</f>
        <v>[] - SHAPES</v>
      </c>
    </row>
    <row r="14" spans="1:22" ht="15.4" customHeight="1" x14ac:dyDescent="0.2">
      <c r="A14" s="1493"/>
      <c r="B14" s="1818"/>
      <c r="C14" s="1819"/>
      <c r="D14" s="1819"/>
      <c r="E14" s="1819"/>
      <c r="F14" s="1819"/>
      <c r="G14" s="1819"/>
      <c r="H14" s="1819"/>
      <c r="I14" s="1819"/>
      <c r="J14" s="1820"/>
      <c r="L14" s="946" t="str">
        <f>IF(ISBLANK(A14),L13,SUBSTITUTE(A14,"*",""))</f>
        <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1493"/>
      <c r="B15" s="1818"/>
      <c r="C15" s="1819"/>
      <c r="D15" s="1819"/>
      <c r="E15" s="1819"/>
      <c r="F15" s="1819"/>
      <c r="G15" s="1819"/>
      <c r="H15" s="1819"/>
      <c r="I15" s="1819"/>
      <c r="J15" s="1820"/>
      <c r="L15" s="946" t="str">
        <f t="shared" ref="L15:L51" si="1">IF(ISBLANK(A15),L14,SUBSTITUTE(A15,"*",""))</f>
        <v/>
      </c>
      <c r="M15" s="1538"/>
      <c r="N15" s="1540"/>
      <c r="O15" s="1529"/>
      <c r="P15" s="794" t="s">
        <v>966</v>
      </c>
      <c r="Q15" s="795" t="s">
        <v>1024</v>
      </c>
      <c r="R15" s="788" t="str">
        <f t="shared" si="0"/>
        <v>[DP] - Double Pitch: Ridge @ ##’-## From LBL (Depth=Designation), ##" Depth @ LBL, ##" Depth @ RBL</v>
      </c>
    </row>
    <row r="16" spans="1:22" ht="15.4" customHeight="1" x14ac:dyDescent="0.2">
      <c r="A16" s="1493"/>
      <c r="B16" s="1818"/>
      <c r="C16" s="1819"/>
      <c r="D16" s="1819"/>
      <c r="E16" s="1819"/>
      <c r="F16" s="1819"/>
      <c r="G16" s="1819"/>
      <c r="H16" s="1819"/>
      <c r="I16" s="1819"/>
      <c r="J16" s="1820"/>
      <c r="L16" s="946" t="str">
        <f t="shared" si="1"/>
        <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1493"/>
      <c r="B17" s="1818"/>
      <c r="C17" s="1819"/>
      <c r="D17" s="1819"/>
      <c r="E17" s="1819"/>
      <c r="F17" s="1819"/>
      <c r="G17" s="1819"/>
      <c r="H17" s="1819"/>
      <c r="I17" s="1819"/>
      <c r="J17" s="1820"/>
      <c r="L17" s="946" t="str">
        <f t="shared" si="1"/>
        <v/>
      </c>
      <c r="M17" s="1538"/>
      <c r="N17" s="1540"/>
      <c r="O17" s="1529"/>
      <c r="P17" s="794" t="s">
        <v>991</v>
      </c>
      <c r="Q17" s="795" t="s">
        <v>1026</v>
      </c>
      <c r="R17" s="788" t="str">
        <f t="shared" si="0"/>
        <v>[AC] - Arched Chords: (Depth=Designation) ##" TC Radius</v>
      </c>
    </row>
    <row r="18" spans="1:18" ht="15.4" customHeight="1" x14ac:dyDescent="0.2">
      <c r="A18" s="1493"/>
      <c r="B18" s="1818"/>
      <c r="C18" s="1819"/>
      <c r="D18" s="1819"/>
      <c r="E18" s="1819"/>
      <c r="F18" s="1819"/>
      <c r="G18" s="1819"/>
      <c r="H18" s="1819"/>
      <c r="I18" s="1819"/>
      <c r="J18" s="1820"/>
      <c r="L18" s="946" t="str">
        <f t="shared" si="1"/>
        <v/>
      </c>
      <c r="M18" s="1538"/>
      <c r="N18" s="1540"/>
      <c r="O18" s="1529"/>
      <c r="P18" s="794" t="s">
        <v>992</v>
      </c>
      <c r="Q18" s="795" t="s">
        <v>1027</v>
      </c>
      <c r="R18" s="788" t="str">
        <f t="shared" si="0"/>
        <v>[BW] - Bowstring: Ridge @ ##’-## From LBL (Depth=Designation), ##" Depth @ LBL, ##" TC Radius</v>
      </c>
    </row>
    <row r="19" spans="1:18" ht="15.4" customHeight="1" x14ac:dyDescent="0.2">
      <c r="A19" s="1493"/>
      <c r="B19" s="1818"/>
      <c r="C19" s="1819"/>
      <c r="D19" s="1819"/>
      <c r="E19" s="1819"/>
      <c r="F19" s="1819"/>
      <c r="G19" s="1819"/>
      <c r="H19" s="1819"/>
      <c r="I19" s="1819"/>
      <c r="J19" s="1820"/>
      <c r="L19" s="946" t="str">
        <f t="shared" si="1"/>
        <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3"/>
      <c r="B20" s="1818"/>
      <c r="C20" s="1819"/>
      <c r="D20" s="1819"/>
      <c r="E20" s="1819"/>
      <c r="F20" s="1819"/>
      <c r="G20" s="1819"/>
      <c r="H20" s="1819"/>
      <c r="I20" s="1819"/>
      <c r="J20" s="1820"/>
      <c r="L20" s="946" t="str">
        <f t="shared" si="1"/>
        <v/>
      </c>
      <c r="M20" s="1538"/>
      <c r="N20" s="1540"/>
      <c r="O20" s="1529"/>
      <c r="P20" s="794"/>
      <c r="Q20" s="795" t="s">
        <v>1028</v>
      </c>
      <c r="R20" s="788" t="str">
        <f t="shared" si="0"/>
        <v>[] - DEFLECTION</v>
      </c>
    </row>
    <row r="21" spans="1:18" ht="15.4" customHeight="1" x14ac:dyDescent="0.2">
      <c r="A21" s="1493"/>
      <c r="B21" s="1827"/>
      <c r="C21" s="1828"/>
      <c r="D21" s="1828"/>
      <c r="E21" s="1828"/>
      <c r="F21" s="1828"/>
      <c r="G21" s="1828"/>
      <c r="H21" s="1828"/>
      <c r="I21" s="1828"/>
      <c r="J21" s="1829"/>
      <c r="L21" s="946" t="str">
        <f t="shared" si="1"/>
        <v/>
      </c>
      <c r="M21" s="1538"/>
      <c r="N21" s="1540"/>
      <c r="O21" s="1540"/>
      <c r="P21" s="794" t="s">
        <v>986</v>
      </c>
      <c r="Q21" s="795" t="s">
        <v>1029</v>
      </c>
      <c r="R21" s="788" t="str">
        <f t="shared" si="0"/>
        <v>[DefLL] - LL Deflection = L/###|Deflection=L/### Due To ### PLF LL|LL Deflection=L/### (LL/TL Ratio = ##%)</v>
      </c>
    </row>
    <row r="22" spans="1:18" ht="15.4" customHeight="1" x14ac:dyDescent="0.2">
      <c r="A22" s="1493"/>
      <c r="B22" s="1818"/>
      <c r="C22" s="1819"/>
      <c r="D22" s="1819"/>
      <c r="E22" s="1819"/>
      <c r="F22" s="1819"/>
      <c r="G22" s="1819"/>
      <c r="H22" s="1819"/>
      <c r="I22" s="1819"/>
      <c r="J22" s="1820"/>
      <c r="L22" s="946" t="str">
        <f t="shared" si="1"/>
        <v/>
      </c>
      <c r="M22" s="1538"/>
      <c r="N22" s="1540"/>
      <c r="O22" s="1529"/>
      <c r="P22" s="794" t="s">
        <v>987</v>
      </c>
      <c r="Q22" s="795" t="s">
        <v>1030</v>
      </c>
      <c r="R22" s="788" t="str">
        <f t="shared" si="0"/>
        <v>[DefTL] - TL Deflection = L/###, Ck Std Camber Satisfies DL Def</v>
      </c>
    </row>
    <row r="23" spans="1:18" ht="15.4" customHeight="1" x14ac:dyDescent="0.2">
      <c r="A23" s="1493"/>
      <c r="B23" s="1824"/>
      <c r="C23" s="1825"/>
      <c r="D23" s="1825"/>
      <c r="E23" s="1825"/>
      <c r="F23" s="1825"/>
      <c r="G23" s="1825"/>
      <c r="H23" s="1825"/>
      <c r="I23" s="1825"/>
      <c r="J23" s="1826"/>
      <c r="L23" s="946" t="str">
        <f t="shared" si="1"/>
        <v/>
      </c>
      <c r="M23" s="1538"/>
      <c r="N23" s="1540"/>
      <c r="O23" s="1529"/>
      <c r="P23" s="794" t="s">
        <v>988</v>
      </c>
      <c r="Q23" s="795" t="s">
        <v>1032</v>
      </c>
      <c r="R23" s="788" t="str">
        <f t="shared" si="0"/>
        <v>[DefTCX] - TCXL|TCXR Deflection = ##" Max Due To ### PLF LL|DL|TL</v>
      </c>
    </row>
    <row r="24" spans="1:18" ht="15.4" customHeight="1" x14ac:dyDescent="0.2">
      <c r="A24" s="1493"/>
      <c r="B24" s="1818"/>
      <c r="C24" s="1819"/>
      <c r="D24" s="1819"/>
      <c r="E24" s="1819"/>
      <c r="F24" s="1819"/>
      <c r="G24" s="1819"/>
      <c r="H24" s="1819"/>
      <c r="I24" s="1819"/>
      <c r="J24" s="1820"/>
      <c r="L24" s="946" t="str">
        <f t="shared" si="1"/>
        <v/>
      </c>
      <c r="M24" s="1538"/>
      <c r="N24" s="1540"/>
      <c r="O24" s="1529"/>
      <c r="P24" s="794" t="s">
        <v>989</v>
      </c>
      <c r="Q24" s="795" t="s">
        <v>1031</v>
      </c>
      <c r="R24" s="788" t="str">
        <f t="shared" si="0"/>
        <v>[DefSP] - Special Deflection = ##" Max Due To ### PLF LL|DL|TL</v>
      </c>
    </row>
    <row r="25" spans="1:18" ht="15.4" customHeight="1" x14ac:dyDescent="0.2">
      <c r="A25" s="1493"/>
      <c r="B25" s="1818"/>
      <c r="C25" s="1819"/>
      <c r="D25" s="1819"/>
      <c r="E25" s="1819"/>
      <c r="F25" s="1819"/>
      <c r="G25" s="1819"/>
      <c r="H25" s="1819"/>
      <c r="I25" s="1819"/>
      <c r="J25" s="1820"/>
      <c r="L25" s="946" t="str">
        <f t="shared" si="1"/>
        <v/>
      </c>
      <c r="M25" s="1538"/>
      <c r="N25" s="1540"/>
      <c r="O25" s="1529"/>
      <c r="P25" s="794"/>
      <c r="Q25" s="795" t="s">
        <v>1033</v>
      </c>
      <c r="R25" s="788" t="str">
        <f t="shared" si="0"/>
        <v>[] - BEARING SEATS</v>
      </c>
    </row>
    <row r="26" spans="1:18" ht="15.4" customHeight="1" x14ac:dyDescent="0.2">
      <c r="A26" s="1493"/>
      <c r="B26" s="1818"/>
      <c r="C26" s="1819"/>
      <c r="D26" s="1819"/>
      <c r="E26" s="1819"/>
      <c r="F26" s="1819"/>
      <c r="G26" s="1819"/>
      <c r="H26" s="1819"/>
      <c r="I26" s="1819"/>
      <c r="J26" s="1820"/>
      <c r="L26" s="946" t="str">
        <f t="shared" si="1"/>
        <v/>
      </c>
      <c r="M26" s="1538"/>
      <c r="N26" s="1529"/>
      <c r="O26" s="1529"/>
      <c r="P26" s="794" t="s">
        <v>1238</v>
      </c>
      <c r="Q26" s="795" t="s">
        <v>1242</v>
      </c>
      <c r="R26" s="788" t="str">
        <f t="shared" si="0"/>
        <v>[AddSeat] - Addn’l Bearing Seat @ LE|RE|BE, Setback = #’-##”, Depth = ##”</v>
      </c>
    </row>
    <row r="27" spans="1:18" ht="15.4" customHeight="1" x14ac:dyDescent="0.2">
      <c r="A27" s="1493"/>
      <c r="B27" s="1818"/>
      <c r="C27" s="1819"/>
      <c r="D27" s="1819"/>
      <c r="E27" s="1819"/>
      <c r="F27" s="1819"/>
      <c r="G27" s="1819"/>
      <c r="H27" s="1819"/>
      <c r="I27" s="1819"/>
      <c r="J27" s="1820"/>
      <c r="L27" s="946" t="str">
        <f t="shared" si="1"/>
        <v/>
      </c>
      <c r="M27" s="1538"/>
      <c r="N27" s="1529"/>
      <c r="O27" s="1529"/>
      <c r="P27" s="794" t="s">
        <v>1000</v>
      </c>
      <c r="Q27" s="795" t="s">
        <v>1046</v>
      </c>
      <c r="R27" s="788" t="str">
        <f t="shared" si="0"/>
        <v>[AddSlt] - Addn'l Seat Slots @ #" from L-OAL|R-OAL</v>
      </c>
    </row>
    <row r="28" spans="1:18" ht="15.4" customHeight="1" x14ac:dyDescent="0.2">
      <c r="A28" s="1493"/>
      <c r="B28" s="1818"/>
      <c r="C28" s="1819"/>
      <c r="D28" s="1819"/>
      <c r="E28" s="1819"/>
      <c r="F28" s="1819"/>
      <c r="G28" s="1819"/>
      <c r="H28" s="1819"/>
      <c r="I28" s="1819"/>
      <c r="J28" s="1820"/>
      <c r="L28" s="946" t="str">
        <f t="shared" si="1"/>
        <v/>
      </c>
      <c r="M28" s="1538"/>
      <c r="N28" s="1529"/>
      <c r="O28" s="1529"/>
      <c r="P28" s="794" t="s">
        <v>981</v>
      </c>
      <c r="Q28" s="795" t="s">
        <v>1043</v>
      </c>
      <c r="R28" s="788" t="str">
        <f t="shared" si="0"/>
        <v>[BCBrg] - Bottom Chord Bearing @ LE|RE|BE</v>
      </c>
    </row>
    <row r="29" spans="1:18" ht="15.4" customHeight="1" x14ac:dyDescent="0.2">
      <c r="A29" s="1493"/>
      <c r="B29" s="1818"/>
      <c r="C29" s="1819"/>
      <c r="D29" s="1819"/>
      <c r="E29" s="1819"/>
      <c r="F29" s="1819"/>
      <c r="G29" s="1819"/>
      <c r="H29" s="1819"/>
      <c r="I29" s="1819"/>
      <c r="J29" s="1820"/>
      <c r="L29" s="946" t="str">
        <f t="shared" si="1"/>
        <v/>
      </c>
      <c r="M29" s="1538"/>
      <c r="N29" s="1529"/>
      <c r="O29" s="1529"/>
      <c r="P29" s="794" t="s">
        <v>1239</v>
      </c>
      <c r="Q29" s="795" t="s">
        <v>1243</v>
      </c>
      <c r="R29" s="788" t="str">
        <f t="shared" si="0"/>
        <v>[BCBrgCant] - Bottom Chord Bearing Cantilever @ LE|RE|BE, Ctr Line of Support = #’-##” @ LE|RE|BE</v>
      </c>
    </row>
    <row r="30" spans="1:18" ht="15.4" customHeight="1" x14ac:dyDescent="0.2">
      <c r="A30" s="1493"/>
      <c r="B30" s="1818"/>
      <c r="C30" s="1819"/>
      <c r="D30" s="1819"/>
      <c r="E30" s="1819"/>
      <c r="F30" s="1819"/>
      <c r="G30" s="1819"/>
      <c r="H30" s="1819"/>
      <c r="I30" s="1819"/>
      <c r="J30" s="1820"/>
      <c r="L30" s="946" t="str">
        <f t="shared" si="1"/>
        <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1493"/>
      <c r="B31" s="1818"/>
      <c r="C31" s="1819"/>
      <c r="D31" s="1819"/>
      <c r="E31" s="1819"/>
      <c r="F31" s="1819"/>
      <c r="G31" s="1819"/>
      <c r="H31" s="1819"/>
      <c r="I31" s="1819"/>
      <c r="J31" s="1820"/>
      <c r="L31" s="946" t="str">
        <f t="shared" si="1"/>
        <v/>
      </c>
      <c r="M31" s="1538"/>
      <c r="N31" s="1529"/>
      <c r="O31" s="1529"/>
      <c r="P31" s="794" t="s">
        <v>979</v>
      </c>
      <c r="Q31" s="795" t="s">
        <v>1047</v>
      </c>
      <c r="R31" s="788" t="str">
        <f t="shared" si="0"/>
        <v>[BPThk] - Min Thickness of Base Plate = 0.xxx" @ LE|RE|BE</v>
      </c>
    </row>
    <row r="32" spans="1:18" ht="15.4" customHeight="1" x14ac:dyDescent="0.2">
      <c r="A32" s="1493"/>
      <c r="B32" s="1818"/>
      <c r="C32" s="1819"/>
      <c r="D32" s="1819"/>
      <c r="E32" s="1819"/>
      <c r="F32" s="1819"/>
      <c r="G32" s="1819"/>
      <c r="H32" s="1819"/>
      <c r="I32" s="1819"/>
      <c r="J32" s="1820"/>
      <c r="L32" s="946" t="str">
        <f t="shared" si="1"/>
        <v/>
      </c>
      <c r="M32" s="1538"/>
      <c r="N32" s="1529"/>
      <c r="O32" s="1529"/>
      <c r="P32" s="794" t="s">
        <v>1001</v>
      </c>
      <c r="Q32" s="795" t="s">
        <v>1002</v>
      </c>
      <c r="R32" s="788" t="str">
        <f t="shared" si="0"/>
        <v>[ClrBrg] - Min Clear Bearing = #" @ LE(RE)(BE)</v>
      </c>
    </row>
    <row r="33" spans="1:18" ht="15.4" customHeight="1" x14ac:dyDescent="0.2">
      <c r="A33" s="1493"/>
      <c r="B33" s="1818"/>
      <c r="C33" s="1819"/>
      <c r="D33" s="1819"/>
      <c r="E33" s="1819"/>
      <c r="F33" s="1819"/>
      <c r="G33" s="1819"/>
      <c r="H33" s="1819"/>
      <c r="I33" s="1819"/>
      <c r="J33" s="1820"/>
      <c r="L33" s="946" t="str">
        <f t="shared" si="1"/>
        <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1493"/>
      <c r="B34" s="1818"/>
      <c r="C34" s="1819"/>
      <c r="D34" s="1819"/>
      <c r="E34" s="1819"/>
      <c r="F34" s="1819"/>
      <c r="G34" s="1819"/>
      <c r="H34" s="1819"/>
      <c r="I34" s="1819"/>
      <c r="J34" s="1820"/>
      <c r="L34" s="946" t="str">
        <f t="shared" si="1"/>
        <v/>
      </c>
      <c r="M34" s="1538"/>
      <c r="N34" s="1529"/>
      <c r="O34" s="1529"/>
      <c r="P34" s="794" t="s">
        <v>1038</v>
      </c>
      <c r="Q34" s="795" t="s">
        <v>1040</v>
      </c>
      <c r="R34" s="788" t="str">
        <f t="shared" si="0"/>
        <v>[KickLd] - Axial Load Due To Kicker, No Rein Req’d</v>
      </c>
    </row>
    <row r="35" spans="1:18" ht="15.4" customHeight="1" x14ac:dyDescent="0.2">
      <c r="A35" s="1493"/>
      <c r="B35" s="1818"/>
      <c r="C35" s="1819"/>
      <c r="D35" s="1819"/>
      <c r="E35" s="1819"/>
      <c r="F35" s="1819"/>
      <c r="G35" s="1819"/>
      <c r="H35" s="1819"/>
      <c r="I35" s="1819"/>
      <c r="J35" s="1820"/>
      <c r="L35" s="946" t="str">
        <f t="shared" si="1"/>
        <v/>
      </c>
      <c r="M35" s="1538"/>
      <c r="N35" s="1529"/>
      <c r="O35" s="1529"/>
      <c r="P35" s="794" t="s">
        <v>1037</v>
      </c>
      <c r="Q35" s="795" t="s">
        <v>1039</v>
      </c>
      <c r="R35" s="788" t="str">
        <f t="shared" si="0"/>
        <v>[KnifePL] - Knife Pl Provided for Load Transfer, TC/Seat Gap Clear for 1st ##” @ LE|RE|BE</v>
      </c>
    </row>
    <row r="36" spans="1:18" ht="15.4" customHeight="1" x14ac:dyDescent="0.2">
      <c r="A36" s="1493"/>
      <c r="B36" s="1818"/>
      <c r="C36" s="1819"/>
      <c r="D36" s="1819"/>
      <c r="E36" s="1819"/>
      <c r="F36" s="1819"/>
      <c r="G36" s="1819"/>
      <c r="H36" s="1819"/>
      <c r="I36" s="1819"/>
      <c r="J36" s="1820"/>
      <c r="L36" s="946" t="str">
        <f t="shared" si="1"/>
        <v/>
      </c>
      <c r="M36" s="1538"/>
      <c r="N36" s="1529"/>
      <c r="O36" s="1529"/>
      <c r="P36" s="794" t="s">
        <v>1048</v>
      </c>
      <c r="Q36" s="795" t="s">
        <v>1049</v>
      </c>
      <c r="R36" s="788" t="str">
        <f t="shared" si="0"/>
        <v>[MaxWidth] - Max Width of TC &amp; Base Plate|BC for 1st ##” @ LE|RE|BE</v>
      </c>
    </row>
    <row r="37" spans="1:18" ht="15.4" customHeight="1" x14ac:dyDescent="0.2">
      <c r="A37" s="1493"/>
      <c r="B37" s="1818"/>
      <c r="C37" s="1819"/>
      <c r="D37" s="1819"/>
      <c r="E37" s="1819"/>
      <c r="F37" s="1819"/>
      <c r="G37" s="1819"/>
      <c r="H37" s="1819"/>
      <c r="I37" s="1819"/>
      <c r="J37" s="1820"/>
      <c r="L37" s="946" t="str">
        <f t="shared" si="1"/>
        <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1493"/>
      <c r="B38" s="1818"/>
      <c r="C38" s="1819"/>
      <c r="D38" s="1819"/>
      <c r="E38" s="1819"/>
      <c r="F38" s="1819"/>
      <c r="G38" s="1819"/>
      <c r="H38" s="1819"/>
      <c r="I38" s="1819"/>
      <c r="J38" s="1820"/>
      <c r="L38" s="946" t="str">
        <f t="shared" si="1"/>
        <v/>
      </c>
      <c r="M38" s="1538"/>
      <c r="N38" s="1529"/>
      <c r="O38" s="1529"/>
      <c r="P38" s="794" t="s">
        <v>1036</v>
      </c>
      <c r="Q38" s="795" t="s">
        <v>1077</v>
      </c>
      <c r="R38" s="788" t="str">
        <f t="shared" si="0"/>
        <v>[Rein] - Reinforce Seats @ LE|RE|BE for Axial Load Transfer</v>
      </c>
    </row>
    <row r="39" spans="1:18" ht="15.4" customHeight="1" x14ac:dyDescent="0.2">
      <c r="A39" s="1493"/>
      <c r="B39" s="1818"/>
      <c r="C39" s="1819"/>
      <c r="D39" s="1819"/>
      <c r="E39" s="1819"/>
      <c r="F39" s="1819"/>
      <c r="G39" s="1819"/>
      <c r="H39" s="1819"/>
      <c r="I39" s="1819"/>
      <c r="J39" s="1820"/>
      <c r="L39" s="946" t="str">
        <f t="shared" si="1"/>
        <v/>
      </c>
      <c r="M39" s="1538"/>
      <c r="N39" s="1529"/>
      <c r="O39" s="1529"/>
      <c r="P39" s="794" t="s">
        <v>1082</v>
      </c>
      <c r="Q39" s="795" t="s">
        <v>1083</v>
      </c>
      <c r="R39" s="788" t="str">
        <f t="shared" si="0"/>
        <v>[RndShrtSlt] - #/#" Round Holes|#/#”x1” Slots, Ga=#” @ LE|RE|BE</v>
      </c>
    </row>
    <row r="40" spans="1:18" ht="15.4" customHeight="1" x14ac:dyDescent="0.2">
      <c r="A40" s="1493"/>
      <c r="B40" s="1818"/>
      <c r="C40" s="1819"/>
      <c r="D40" s="1819"/>
      <c r="E40" s="1819"/>
      <c r="F40" s="1819"/>
      <c r="G40" s="1819"/>
      <c r="H40" s="1819"/>
      <c r="I40" s="1819"/>
      <c r="J40" s="1820"/>
      <c r="L40" s="946" t="str">
        <f t="shared" si="1"/>
        <v/>
      </c>
      <c r="M40" s="1538"/>
      <c r="N40" s="1529"/>
      <c r="O40" s="1529"/>
      <c r="P40" s="794" t="s">
        <v>1041</v>
      </c>
      <c r="Q40" s="795" t="s">
        <v>1042</v>
      </c>
      <c r="R40" s="788" t="str">
        <f t="shared" si="0"/>
        <v>[Roll] - Seat Rollover Force = ##Kips @ LE|RE|BE</v>
      </c>
    </row>
    <row r="41" spans="1:18" ht="15.4" customHeight="1" x14ac:dyDescent="0.2">
      <c r="A41" s="1493"/>
      <c r="B41" s="1818"/>
      <c r="C41" s="1819"/>
      <c r="D41" s="1819"/>
      <c r="E41" s="1819"/>
      <c r="F41" s="1819"/>
      <c r="G41" s="1819"/>
      <c r="H41" s="1819"/>
      <c r="I41" s="1819"/>
      <c r="J41" s="1820"/>
      <c r="L41" s="946" t="str">
        <f t="shared" si="1"/>
        <v/>
      </c>
      <c r="M41" s="1538"/>
      <c r="N41" s="1529"/>
      <c r="O41" s="1529"/>
      <c r="P41" s="794" t="s">
        <v>1074</v>
      </c>
      <c r="Q41" s="795" t="s">
        <v>1075</v>
      </c>
      <c r="R41" s="788" t="str">
        <f t="shared" si="0"/>
        <v>[ShrtBrg] - Short Bearing = #” @ LE|RE|BE</v>
      </c>
    </row>
    <row r="42" spans="1:18" ht="15.4" customHeight="1" x14ac:dyDescent="0.2">
      <c r="A42" s="1493"/>
      <c r="B42" s="1818"/>
      <c r="C42" s="1819"/>
      <c r="D42" s="1819"/>
      <c r="E42" s="1819"/>
      <c r="F42" s="1819"/>
      <c r="G42" s="1819"/>
      <c r="H42" s="1819"/>
      <c r="I42" s="1819"/>
      <c r="J42" s="1820"/>
      <c r="L42" s="946" t="str">
        <f t="shared" si="1"/>
        <v/>
      </c>
      <c r="M42" s="1538"/>
      <c r="N42" s="1529"/>
      <c r="O42" s="1529"/>
      <c r="P42" s="794" t="s">
        <v>1078</v>
      </c>
      <c r="Q42" s="795" t="s">
        <v>990</v>
      </c>
      <c r="R42" s="788" t="str">
        <f t="shared" si="0"/>
        <v>[Skew] - ##º Half(Full)-Skew, NS(FS), LE(RE)</v>
      </c>
    </row>
    <row r="43" spans="1:18" ht="15.4" customHeight="1" x14ac:dyDescent="0.2">
      <c r="A43" s="1493"/>
      <c r="B43" s="1818"/>
      <c r="C43" s="1819"/>
      <c r="D43" s="1819"/>
      <c r="E43" s="1819"/>
      <c r="F43" s="1819"/>
      <c r="G43" s="1819"/>
      <c r="H43" s="1819"/>
      <c r="I43" s="1819"/>
      <c r="J43" s="1820"/>
      <c r="L43" s="946" t="str">
        <f t="shared" si="1"/>
        <v/>
      </c>
      <c r="M43" s="1538"/>
      <c r="N43" s="1529"/>
      <c r="O43" s="1529"/>
      <c r="P43" s="794" t="s">
        <v>976</v>
      </c>
      <c r="Q43" s="795" t="s">
        <v>1045</v>
      </c>
      <c r="R43" s="788" t="str">
        <f t="shared" si="0"/>
        <v>[SpSlt] - Special Seat Slots: #"x#" Slots, Ga=#" @ LE|RE|BE</v>
      </c>
    </row>
    <row r="44" spans="1:18" ht="15.4" customHeight="1" x14ac:dyDescent="0.2">
      <c r="A44" s="1493"/>
      <c r="B44" s="1818"/>
      <c r="C44" s="1819"/>
      <c r="D44" s="1819"/>
      <c r="E44" s="1819"/>
      <c r="F44" s="1819"/>
      <c r="G44" s="1819"/>
      <c r="H44" s="1819"/>
      <c r="I44" s="1819"/>
      <c r="J44" s="1820"/>
      <c r="L44" s="946" t="str">
        <f t="shared" si="1"/>
        <v/>
      </c>
      <c r="M44" s="1538"/>
      <c r="N44" s="1529"/>
      <c r="O44" s="1529"/>
      <c r="P44" s="794" t="s">
        <v>975</v>
      </c>
      <c r="Q44" s="795" t="s">
        <v>1044</v>
      </c>
      <c r="R44" s="788" t="str">
        <f t="shared" si="0"/>
        <v>[StgSlt] - Stagger Seat Slots LE|RE: ##" NS, ##" FS</v>
      </c>
    </row>
    <row r="45" spans="1:18" ht="15.4" customHeight="1" x14ac:dyDescent="0.2">
      <c r="A45" s="1493"/>
      <c r="B45" s="1818"/>
      <c r="C45" s="1819"/>
      <c r="D45" s="1819"/>
      <c r="E45" s="1819"/>
      <c r="F45" s="1819"/>
      <c r="G45" s="1819"/>
      <c r="H45" s="1819"/>
      <c r="I45" s="1819"/>
      <c r="J45" s="1820"/>
      <c r="L45" s="946" t="str">
        <f t="shared" si="1"/>
        <v/>
      </c>
      <c r="M45" s="1538"/>
      <c r="N45" s="1529"/>
      <c r="O45" s="1529"/>
      <c r="P45" s="794" t="s">
        <v>980</v>
      </c>
      <c r="Q45" s="795" t="s">
        <v>1034</v>
      </c>
      <c r="R45" s="788" t="str">
        <f t="shared" si="0"/>
        <v>[TCXMax] - Max Depth of TCXL|TCXR = ##"</v>
      </c>
    </row>
    <row r="46" spans="1:18" ht="15.4" customHeight="1" x14ac:dyDescent="0.2">
      <c r="A46" s="1493"/>
      <c r="B46" s="1818"/>
      <c r="C46" s="1819"/>
      <c r="D46" s="1819"/>
      <c r="E46" s="1819"/>
      <c r="F46" s="1819"/>
      <c r="G46" s="1819"/>
      <c r="H46" s="1819"/>
      <c r="I46" s="1819"/>
      <c r="J46" s="1820"/>
      <c r="L46" s="946" t="str">
        <f t="shared" si="1"/>
        <v/>
      </c>
      <c r="M46" s="1538"/>
      <c r="N46" s="1529"/>
      <c r="O46" s="1529"/>
      <c r="P46" s="794" t="s">
        <v>974</v>
      </c>
      <c r="Q46" s="795" t="s">
        <v>1076</v>
      </c>
      <c r="R46" s="788" t="str">
        <f t="shared" si="0"/>
        <v>[TCXSup] - TCXL|TCXR Supported @ End</v>
      </c>
    </row>
    <row r="47" spans="1:18" ht="15.4" customHeight="1" x14ac:dyDescent="0.2">
      <c r="A47" s="1493"/>
      <c r="B47" s="1818"/>
      <c r="C47" s="1819"/>
      <c r="D47" s="1819"/>
      <c r="E47" s="1819"/>
      <c r="F47" s="1819"/>
      <c r="G47" s="1819"/>
      <c r="H47" s="1819"/>
      <c r="I47" s="1819"/>
      <c r="J47" s="1820"/>
      <c r="L47" s="946" t="str">
        <f t="shared" si="1"/>
        <v/>
      </c>
      <c r="M47" s="1538"/>
      <c r="N47" s="1529"/>
      <c r="O47" s="1529"/>
      <c r="P47" s="794"/>
      <c r="Q47" s="795" t="s">
        <v>1050</v>
      </c>
      <c r="R47" s="788" t="str">
        <f t="shared" si="0"/>
        <v>[] - MISCELLANEOUS</v>
      </c>
    </row>
    <row r="48" spans="1:18" ht="15.4" customHeight="1" x14ac:dyDescent="0.2">
      <c r="A48" s="1493"/>
      <c r="B48" s="1818"/>
      <c r="C48" s="1819"/>
      <c r="D48" s="1819"/>
      <c r="E48" s="1819"/>
      <c r="F48" s="1819"/>
      <c r="G48" s="1819"/>
      <c r="H48" s="1819"/>
      <c r="I48" s="1819"/>
      <c r="J48" s="1820"/>
      <c r="L48" s="946" t="str">
        <f t="shared" si="1"/>
        <v/>
      </c>
      <c r="M48" s="1538"/>
      <c r="N48" s="1529"/>
      <c r="O48" s="1529"/>
      <c r="P48" s="794" t="s">
        <v>982</v>
      </c>
      <c r="Q48" s="795" t="s">
        <v>1053</v>
      </c>
      <c r="R48" s="788" t="str">
        <f t="shared" si="0"/>
        <v>[BClip] - Bridging Clip(s) Required per Plan</v>
      </c>
    </row>
    <row r="49" spans="1:18" ht="15.4" customHeight="1" x14ac:dyDescent="0.2">
      <c r="A49" s="1493"/>
      <c r="B49" s="1818"/>
      <c r="C49" s="1819"/>
      <c r="D49" s="1819"/>
      <c r="E49" s="1819"/>
      <c r="F49" s="1819"/>
      <c r="G49" s="1819"/>
      <c r="H49" s="1819"/>
      <c r="I49" s="1819"/>
      <c r="J49" s="1820"/>
      <c r="L49" s="946" t="str">
        <f t="shared" si="1"/>
        <v/>
      </c>
      <c r="M49" s="1538"/>
      <c r="N49" s="1529"/>
      <c r="O49" s="1529"/>
      <c r="P49" s="794" t="s">
        <v>978</v>
      </c>
      <c r="Q49" s="795" t="s">
        <v>970</v>
      </c>
      <c r="R49" s="788" t="str">
        <f t="shared" si="0"/>
        <v>[BCThk] - Min Thickness of BC = 0.xxx"</v>
      </c>
    </row>
    <row r="50" spans="1:18" ht="15.4" customHeight="1" x14ac:dyDescent="0.2">
      <c r="A50" s="1493"/>
      <c r="B50" s="1818"/>
      <c r="C50" s="1819"/>
      <c r="D50" s="1819"/>
      <c r="E50" s="1819"/>
      <c r="F50" s="1819"/>
      <c r="G50" s="1819"/>
      <c r="H50" s="1819"/>
      <c r="I50" s="1819"/>
      <c r="J50" s="1820"/>
      <c r="L50" s="946" t="str">
        <f t="shared" si="1"/>
        <v/>
      </c>
      <c r="M50" s="1538"/>
      <c r="N50" s="1529"/>
      <c r="O50" s="1529"/>
      <c r="P50" s="794" t="s">
        <v>1079</v>
      </c>
      <c r="Q50" s="795" t="s">
        <v>1052</v>
      </c>
      <c r="R50" s="788" t="str">
        <f t="shared" si="0"/>
        <v>[Camb] - Camber = #"|Camber for DL|50% Std Camber|No Camber</v>
      </c>
    </row>
    <row r="51" spans="1:18" ht="15.4" customHeight="1" x14ac:dyDescent="0.2">
      <c r="A51" s="1497"/>
      <c r="B51" s="1830"/>
      <c r="C51" s="1831"/>
      <c r="D51" s="1831"/>
      <c r="E51" s="1831"/>
      <c r="F51" s="1831"/>
      <c r="G51" s="1831"/>
      <c r="H51" s="1831"/>
      <c r="I51" s="1831"/>
      <c r="J51" s="1832"/>
      <c r="L51" s="946" t="str">
        <f t="shared" si="1"/>
        <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1415"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c r="C14" s="1505"/>
      <c r="D14" s="1505"/>
      <c r="E14" s="1688"/>
      <c r="F14" s="1506"/>
      <c r="G14" s="1507"/>
      <c r="H14" s="1508"/>
      <c r="I14" s="1506"/>
      <c r="J14" s="1507"/>
      <c r="K14" s="1508"/>
      <c r="L14" s="1509"/>
      <c r="M14" s="1510"/>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c r="C15" s="1512"/>
      <c r="D15" s="1512"/>
      <c r="E15" s="1513"/>
      <c r="F15" s="1514"/>
      <c r="G15" s="1515"/>
      <c r="H15" s="1516"/>
      <c r="I15" s="1514"/>
      <c r="J15" s="1515"/>
      <c r="K15" s="1516"/>
      <c r="L15" s="1517"/>
      <c r="M15" s="1518"/>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c r="C16" s="1512"/>
      <c r="D16" s="1512"/>
      <c r="E16" s="1513"/>
      <c r="F16" s="1514"/>
      <c r="G16" s="1515"/>
      <c r="H16" s="1516"/>
      <c r="I16" s="1514"/>
      <c r="J16" s="1515"/>
      <c r="K16" s="1516"/>
      <c r="L16" s="1517"/>
      <c r="M16" s="1518"/>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c r="C17" s="1512"/>
      <c r="D17" s="1512"/>
      <c r="E17" s="1513"/>
      <c r="F17" s="1514"/>
      <c r="G17" s="1515"/>
      <c r="H17" s="1516"/>
      <c r="I17" s="1514"/>
      <c r="J17" s="1515"/>
      <c r="K17" s="1516"/>
      <c r="L17" s="1517"/>
      <c r="M17" s="1518"/>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c r="C18" s="1512"/>
      <c r="D18" s="1512"/>
      <c r="E18" s="1513"/>
      <c r="F18" s="1514"/>
      <c r="G18" s="1515"/>
      <c r="H18" s="1516"/>
      <c r="I18" s="1514"/>
      <c r="J18" s="1515"/>
      <c r="K18" s="1516"/>
      <c r="L18" s="1517"/>
      <c r="M18" s="1518"/>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c r="C19" s="1512"/>
      <c r="D19" s="1512"/>
      <c r="E19" s="1513"/>
      <c r="F19" s="1514"/>
      <c r="G19" s="1515"/>
      <c r="H19" s="1516"/>
      <c r="I19" s="1514"/>
      <c r="J19" s="1515"/>
      <c r="K19" s="1516"/>
      <c r="L19" s="1517"/>
      <c r="M19" s="1518"/>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c r="C20" s="1512"/>
      <c r="D20" s="1512"/>
      <c r="E20" s="1513"/>
      <c r="F20" s="1514"/>
      <c r="G20" s="1515"/>
      <c r="H20" s="1516"/>
      <c r="I20" s="1514"/>
      <c r="J20" s="1515"/>
      <c r="K20" s="1516"/>
      <c r="L20" s="1517"/>
      <c r="M20" s="1518"/>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c r="C21" s="1512"/>
      <c r="D21" s="1512"/>
      <c r="E21" s="1513"/>
      <c r="F21" s="1514"/>
      <c r="G21" s="1515"/>
      <c r="H21" s="1516"/>
      <c r="I21" s="1514"/>
      <c r="J21" s="1515"/>
      <c r="K21" s="1516"/>
      <c r="L21" s="1517"/>
      <c r="M21" s="1518"/>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c r="C22" s="1512"/>
      <c r="D22" s="1512"/>
      <c r="E22" s="1513"/>
      <c r="F22" s="1514"/>
      <c r="G22" s="1515"/>
      <c r="H22" s="1516"/>
      <c r="I22" s="1514"/>
      <c r="J22" s="1515"/>
      <c r="K22" s="1516"/>
      <c r="L22" s="1517"/>
      <c r="M22" s="1518"/>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c r="C23" s="1512"/>
      <c r="D23" s="1512"/>
      <c r="E23" s="1513"/>
      <c r="F23" s="1514"/>
      <c r="G23" s="1515"/>
      <c r="H23" s="1516"/>
      <c r="I23" s="1514"/>
      <c r="J23" s="1515"/>
      <c r="K23" s="1516"/>
      <c r="L23" s="1517"/>
      <c r="M23" s="1518"/>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c r="C24" s="1512"/>
      <c r="D24" s="1512"/>
      <c r="E24" s="1513"/>
      <c r="F24" s="1514"/>
      <c r="G24" s="1515"/>
      <c r="H24" s="1516"/>
      <c r="I24" s="1514"/>
      <c r="J24" s="1515"/>
      <c r="K24" s="1516"/>
      <c r="L24" s="1517"/>
      <c r="M24" s="1518"/>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c r="C25" s="1512"/>
      <c r="D25" s="1512"/>
      <c r="E25" s="1513"/>
      <c r="F25" s="1514"/>
      <c r="G25" s="1515"/>
      <c r="H25" s="1516"/>
      <c r="I25" s="1514"/>
      <c r="J25" s="1515"/>
      <c r="K25" s="1516"/>
      <c r="L25" s="1517"/>
      <c r="M25" s="1518"/>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c r="C26" s="1512"/>
      <c r="D26" s="1512"/>
      <c r="E26" s="1513"/>
      <c r="F26" s="1514"/>
      <c r="G26" s="1515"/>
      <c r="H26" s="1516"/>
      <c r="I26" s="1514"/>
      <c r="J26" s="1515"/>
      <c r="K26" s="1516"/>
      <c r="L26" s="1517"/>
      <c r="M26" s="1518"/>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c r="C27" s="1512"/>
      <c r="D27" s="1512"/>
      <c r="E27" s="1513"/>
      <c r="F27" s="1514"/>
      <c r="G27" s="1515"/>
      <c r="H27" s="1516"/>
      <c r="I27" s="1514"/>
      <c r="J27" s="1515"/>
      <c r="K27" s="1516"/>
      <c r="L27" s="1517"/>
      <c r="M27" s="1518"/>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c r="C28" s="1512"/>
      <c r="D28" s="1512"/>
      <c r="E28" s="1513"/>
      <c r="F28" s="1514"/>
      <c r="G28" s="1515"/>
      <c r="H28" s="1516"/>
      <c r="I28" s="1514"/>
      <c r="J28" s="1515"/>
      <c r="K28" s="1516"/>
      <c r="L28" s="1517"/>
      <c r="M28" s="1518"/>
      <c r="N28" s="1689"/>
      <c r="O28" s="1645"/>
      <c r="P28" s="245" t="b">
        <f t="shared" si="3"/>
        <v>0</v>
      </c>
      <c r="R28" s="245" t="b">
        <f t="shared" si="1"/>
        <v>0</v>
      </c>
      <c r="AO28" s="238" t="str">
        <f t="shared" si="2"/>
        <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c r="C29" s="1512"/>
      <c r="D29" s="1512"/>
      <c r="E29" s="1513"/>
      <c r="F29" s="1514"/>
      <c r="G29" s="1515"/>
      <c r="H29" s="1516"/>
      <c r="I29" s="1514"/>
      <c r="J29" s="1515"/>
      <c r="K29" s="1516"/>
      <c r="L29" s="1517"/>
      <c r="M29" s="1518"/>
      <c r="N29" s="1689"/>
      <c r="O29" s="1645"/>
      <c r="P29" s="245" t="b">
        <f t="shared" si="3"/>
        <v>0</v>
      </c>
      <c r="R29" s="245" t="b">
        <f t="shared" si="1"/>
        <v>0</v>
      </c>
      <c r="AO29" s="238" t="str">
        <f t="shared" si="2"/>
        <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c r="C30" s="1512"/>
      <c r="D30" s="1512"/>
      <c r="E30" s="1513"/>
      <c r="F30" s="1514"/>
      <c r="G30" s="1515"/>
      <c r="H30" s="1516"/>
      <c r="I30" s="1514"/>
      <c r="J30" s="1515"/>
      <c r="K30" s="1516"/>
      <c r="L30" s="1517"/>
      <c r="M30" s="1518"/>
      <c r="N30" s="1689" t="s">
        <v>116</v>
      </c>
      <c r="O30" s="1645"/>
      <c r="P30" s="245" t="b">
        <f t="shared" si="3"/>
        <v>0</v>
      </c>
      <c r="R30" s="245" t="b">
        <f t="shared" si="1"/>
        <v>0</v>
      </c>
      <c r="AO30" s="238" t="str">
        <f t="shared" si="2"/>
        <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c r="C31" s="1512"/>
      <c r="D31" s="1512"/>
      <c r="E31" s="1513"/>
      <c r="F31" s="1514"/>
      <c r="G31" s="1515"/>
      <c r="H31" s="1516"/>
      <c r="I31" s="1514"/>
      <c r="J31" s="1515"/>
      <c r="K31" s="1516"/>
      <c r="L31" s="1517"/>
      <c r="M31" s="1517"/>
      <c r="N31" s="1689" t="s">
        <v>116</v>
      </c>
      <c r="O31" s="1645"/>
      <c r="P31" s="245" t="b">
        <f t="shared" si="3"/>
        <v>0</v>
      </c>
      <c r="R31" s="245" t="b">
        <f t="shared" si="1"/>
        <v>0</v>
      </c>
      <c r="AO31" s="238" t="str">
        <f t="shared" si="2"/>
        <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c r="C32" s="1512"/>
      <c r="D32" s="1512"/>
      <c r="E32" s="1513"/>
      <c r="F32" s="1514"/>
      <c r="G32" s="1515"/>
      <c r="H32" s="1516"/>
      <c r="I32" s="1514"/>
      <c r="J32" s="1515"/>
      <c r="K32" s="1516"/>
      <c r="L32" s="1517"/>
      <c r="M32" s="1517"/>
      <c r="N32" s="1689" t="s">
        <v>116</v>
      </c>
      <c r="O32" s="1645"/>
      <c r="P32" s="245" t="b">
        <f t="shared" si="3"/>
        <v>0</v>
      </c>
      <c r="R32" s="245" t="b">
        <f t="shared" si="1"/>
        <v>0</v>
      </c>
      <c r="AO32" s="238" t="str">
        <f t="shared" si="2"/>
        <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c r="C33" s="1512"/>
      <c r="D33" s="1512"/>
      <c r="E33" s="1513"/>
      <c r="F33" s="1514"/>
      <c r="G33" s="1515"/>
      <c r="H33" s="1516"/>
      <c r="I33" s="1514"/>
      <c r="J33" s="1515"/>
      <c r="K33" s="1516"/>
      <c r="L33" s="1517"/>
      <c r="M33" s="1517"/>
      <c r="N33" s="1689" t="s">
        <v>116</v>
      </c>
      <c r="O33" s="1645"/>
      <c r="P33" s="245" t="b">
        <f t="shared" si="3"/>
        <v>0</v>
      </c>
      <c r="R33" s="245" t="b">
        <f t="shared" si="1"/>
        <v>0</v>
      </c>
      <c r="AO33" s="238" t="str">
        <f t="shared" si="2"/>
        <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c r="C34" s="1512"/>
      <c r="D34" s="1512"/>
      <c r="E34" s="1513"/>
      <c r="F34" s="1514"/>
      <c r="G34" s="1515"/>
      <c r="H34" s="1516"/>
      <c r="I34" s="1514"/>
      <c r="J34" s="1515"/>
      <c r="K34" s="1516"/>
      <c r="L34" s="1517"/>
      <c r="M34" s="1517"/>
      <c r="N34" s="1689" t="s">
        <v>116</v>
      </c>
      <c r="O34" s="1645"/>
      <c r="P34" s="245" t="b">
        <f t="shared" si="3"/>
        <v>0</v>
      </c>
      <c r="R34" s="245" t="b">
        <f t="shared" si="1"/>
        <v>0</v>
      </c>
      <c r="AO34" s="238" t="str">
        <f t="shared" si="2"/>
        <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c r="C35" s="1512"/>
      <c r="D35" s="1512"/>
      <c r="E35" s="1513"/>
      <c r="F35" s="1514"/>
      <c r="G35" s="1515"/>
      <c r="H35" s="1516"/>
      <c r="I35" s="1514"/>
      <c r="J35" s="1515"/>
      <c r="K35" s="1516"/>
      <c r="L35" s="1517"/>
      <c r="M35" s="1517"/>
      <c r="N35" s="1689" t="s">
        <v>116</v>
      </c>
      <c r="O35" s="1645"/>
      <c r="P35" s="245" t="b">
        <f t="shared" si="3"/>
        <v>0</v>
      </c>
      <c r="R35" s="245" t="b">
        <f t="shared" si="1"/>
        <v>0</v>
      </c>
      <c r="AO35" s="238" t="str">
        <f t="shared" si="2"/>
        <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c r="C36" s="1512"/>
      <c r="D36" s="1512"/>
      <c r="E36" s="1513"/>
      <c r="F36" s="1514"/>
      <c r="G36" s="1515"/>
      <c r="H36" s="1516"/>
      <c r="I36" s="1514"/>
      <c r="J36" s="1515"/>
      <c r="K36" s="1516"/>
      <c r="L36" s="1517"/>
      <c r="M36" s="1517"/>
      <c r="N36" s="1689" t="s">
        <v>116</v>
      </c>
      <c r="O36" s="1645"/>
      <c r="P36" s="245" t="b">
        <f t="shared" si="3"/>
        <v>0</v>
      </c>
      <c r="R36" s="245" t="b">
        <f t="shared" si="1"/>
        <v>0</v>
      </c>
      <c r="AO36" s="238" t="str">
        <f t="shared" si="2"/>
        <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c r="C37" s="1512"/>
      <c r="D37" s="1512"/>
      <c r="E37" s="1513"/>
      <c r="F37" s="1514"/>
      <c r="G37" s="1515"/>
      <c r="H37" s="1516"/>
      <c r="I37" s="1514"/>
      <c r="J37" s="1515"/>
      <c r="K37" s="1516"/>
      <c r="L37" s="1517"/>
      <c r="M37" s="1517"/>
      <c r="N37" s="1689" t="s">
        <v>116</v>
      </c>
      <c r="O37" s="1645"/>
      <c r="P37" s="245" t="b">
        <f t="shared" si="3"/>
        <v>0</v>
      </c>
      <c r="R37" s="245" t="b">
        <f t="shared" si="1"/>
        <v>0</v>
      </c>
      <c r="AO37" s="238" t="str">
        <f t="shared" si="2"/>
        <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c r="C38" s="1512"/>
      <c r="D38" s="1512"/>
      <c r="E38" s="1513"/>
      <c r="F38" s="1514"/>
      <c r="G38" s="1515"/>
      <c r="H38" s="1516"/>
      <c r="I38" s="1514"/>
      <c r="J38" s="1515"/>
      <c r="K38" s="1516"/>
      <c r="L38" s="1517"/>
      <c r="M38" s="1517"/>
      <c r="N38" s="1689" t="s">
        <v>116</v>
      </c>
      <c r="O38" s="1645"/>
      <c r="P38" s="245" t="b">
        <f t="shared" si="3"/>
        <v>0</v>
      </c>
      <c r="R38" s="245" t="b">
        <f t="shared" si="1"/>
        <v>0</v>
      </c>
      <c r="AO38" s="238" t="str">
        <f t="shared" si="2"/>
        <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c r="C39" s="1512"/>
      <c r="D39" s="1512"/>
      <c r="E39" s="1513"/>
      <c r="F39" s="1514"/>
      <c r="G39" s="1515"/>
      <c r="H39" s="1516"/>
      <c r="I39" s="1514"/>
      <c r="J39" s="1515"/>
      <c r="K39" s="1516"/>
      <c r="L39" s="1517"/>
      <c r="M39" s="1517"/>
      <c r="N39" s="1689" t="s">
        <v>116</v>
      </c>
      <c r="O39" s="1645"/>
      <c r="P39" s="245" t="b">
        <f t="shared" si="3"/>
        <v>0</v>
      </c>
      <c r="R39" s="245" t="b">
        <f t="shared" si="1"/>
        <v>0</v>
      </c>
      <c r="AO39" s="238" t="str">
        <f t="shared" si="2"/>
        <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c r="C40" s="1512"/>
      <c r="D40" s="1512"/>
      <c r="E40" s="1513"/>
      <c r="F40" s="1514"/>
      <c r="G40" s="1515"/>
      <c r="H40" s="1516"/>
      <c r="I40" s="1514"/>
      <c r="J40" s="1515"/>
      <c r="K40" s="1516"/>
      <c r="L40" s="1517"/>
      <c r="M40" s="1517"/>
      <c r="N40" s="1689" t="s">
        <v>116</v>
      </c>
      <c r="O40" s="1645"/>
      <c r="P40" s="245" t="b">
        <f t="shared" si="3"/>
        <v>0</v>
      </c>
      <c r="R40" s="245" t="b">
        <f t="shared" si="1"/>
        <v>0</v>
      </c>
      <c r="AO40" s="238" t="str">
        <f t="shared" si="2"/>
        <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c r="C41" s="1512"/>
      <c r="D41" s="1512"/>
      <c r="E41" s="1513"/>
      <c r="F41" s="1514"/>
      <c r="G41" s="1515"/>
      <c r="H41" s="1516"/>
      <c r="I41" s="1514"/>
      <c r="J41" s="1515"/>
      <c r="K41" s="1516"/>
      <c r="L41" s="1517"/>
      <c r="M41" s="1517"/>
      <c r="N41" s="1689" t="s">
        <v>116</v>
      </c>
      <c r="O41" s="1645"/>
      <c r="P41" s="245" t="b">
        <f t="shared" si="3"/>
        <v>0</v>
      </c>
      <c r="R41" s="245" t="b">
        <f t="shared" si="1"/>
        <v>0</v>
      </c>
      <c r="AO41" s="238" t="str">
        <f t="shared" si="2"/>
        <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c r="C42" s="1512"/>
      <c r="D42" s="1512"/>
      <c r="E42" s="1513"/>
      <c r="F42" s="1514"/>
      <c r="G42" s="1515"/>
      <c r="H42" s="1516"/>
      <c r="I42" s="1514"/>
      <c r="J42" s="1515"/>
      <c r="K42" s="1516"/>
      <c r="L42" s="1517"/>
      <c r="M42" s="1517"/>
      <c r="N42" s="1689" t="s">
        <v>116</v>
      </c>
      <c r="O42" s="1645"/>
      <c r="P42" s="245" t="b">
        <f t="shared" si="3"/>
        <v>0</v>
      </c>
      <c r="R42" s="245" t="b">
        <f t="shared" si="1"/>
        <v>0</v>
      </c>
      <c r="AO42" s="238" t="str">
        <f t="shared" si="2"/>
        <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c r="C43" s="1512"/>
      <c r="D43" s="1512"/>
      <c r="E43" s="1513"/>
      <c r="F43" s="1514"/>
      <c r="G43" s="1515"/>
      <c r="H43" s="1516"/>
      <c r="I43" s="1514"/>
      <c r="J43" s="1515"/>
      <c r="K43" s="1516"/>
      <c r="L43" s="1517"/>
      <c r="M43" s="1517"/>
      <c r="N43" s="1689" t="s">
        <v>116</v>
      </c>
      <c r="O43" s="1645"/>
      <c r="P43" s="245" t="b">
        <f t="shared" si="3"/>
        <v>0</v>
      </c>
      <c r="R43" s="245" t="b">
        <f t="shared" si="1"/>
        <v>0</v>
      </c>
      <c r="AO43" s="238" t="str">
        <f t="shared" si="2"/>
        <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c r="C44" s="1512"/>
      <c r="D44" s="1512"/>
      <c r="E44" s="1513"/>
      <c r="F44" s="1514"/>
      <c r="G44" s="1515"/>
      <c r="H44" s="1516"/>
      <c r="I44" s="1514"/>
      <c r="J44" s="1515"/>
      <c r="K44" s="1516"/>
      <c r="L44" s="1517"/>
      <c r="M44" s="1517"/>
      <c r="N44" s="1689" t="s">
        <v>116</v>
      </c>
      <c r="O44" s="1645"/>
      <c r="P44" s="245" t="b">
        <f t="shared" si="3"/>
        <v>0</v>
      </c>
      <c r="R44" s="245" t="b">
        <f t="shared" si="1"/>
        <v>0</v>
      </c>
      <c r="AO44" s="238" t="str">
        <f t="shared" si="2"/>
        <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c r="C45" s="1512"/>
      <c r="D45" s="1512"/>
      <c r="E45" s="1513"/>
      <c r="F45" s="1514"/>
      <c r="G45" s="1515"/>
      <c r="H45" s="1516"/>
      <c r="I45" s="1514"/>
      <c r="J45" s="1515"/>
      <c r="K45" s="1516"/>
      <c r="L45" s="1517"/>
      <c r="M45" s="1517"/>
      <c r="N45" s="1689" t="s">
        <v>116</v>
      </c>
      <c r="O45" s="1645"/>
      <c r="P45" s="245" t="b">
        <f t="shared" si="3"/>
        <v>0</v>
      </c>
      <c r="R45" s="245" t="b">
        <f t="shared" si="1"/>
        <v>0</v>
      </c>
      <c r="AO45" s="238" t="str">
        <f t="shared" si="2"/>
        <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c r="C46" s="1512"/>
      <c r="D46" s="1512"/>
      <c r="E46" s="1513"/>
      <c r="F46" s="1514"/>
      <c r="G46" s="1515"/>
      <c r="H46" s="1516"/>
      <c r="I46" s="1514"/>
      <c r="J46" s="1515"/>
      <c r="K46" s="1516"/>
      <c r="L46" s="1517"/>
      <c r="M46" s="1517"/>
      <c r="N46" s="1689" t="s">
        <v>116</v>
      </c>
      <c r="O46" s="1645"/>
      <c r="P46" s="245" t="b">
        <f t="shared" si="3"/>
        <v>0</v>
      </c>
      <c r="R46" s="245" t="b">
        <f t="shared" si="1"/>
        <v>0</v>
      </c>
      <c r="AO46" s="238" t="str">
        <f t="shared" si="2"/>
        <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c r="C47" s="1512"/>
      <c r="D47" s="1512"/>
      <c r="E47" s="1513"/>
      <c r="F47" s="1514"/>
      <c r="G47" s="1515"/>
      <c r="H47" s="1516"/>
      <c r="I47" s="1514"/>
      <c r="J47" s="1515"/>
      <c r="K47" s="1516"/>
      <c r="L47" s="1517"/>
      <c r="M47" s="1517"/>
      <c r="N47" s="1689" t="s">
        <v>116</v>
      </c>
      <c r="O47" s="1645"/>
      <c r="P47" s="245" t="b">
        <f t="shared" si="3"/>
        <v>0</v>
      </c>
      <c r="R47" s="245" t="b">
        <f t="shared" si="1"/>
        <v>0</v>
      </c>
      <c r="AO47" s="238" t="str">
        <f t="shared" si="2"/>
        <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c r="C48" s="1512"/>
      <c r="D48" s="1512"/>
      <c r="E48" s="1513"/>
      <c r="F48" s="1514"/>
      <c r="G48" s="1515"/>
      <c r="H48" s="1516"/>
      <c r="I48" s="1514"/>
      <c r="J48" s="1515"/>
      <c r="K48" s="1516"/>
      <c r="L48" s="1517"/>
      <c r="M48" s="1517"/>
      <c r="N48" s="1689" t="s">
        <v>116</v>
      </c>
      <c r="O48" s="1645"/>
      <c r="P48" s="245" t="b">
        <f t="shared" si="3"/>
        <v>0</v>
      </c>
      <c r="R48" s="245" t="b">
        <f t="shared" si="1"/>
        <v>0</v>
      </c>
      <c r="AO48" s="238" t="str">
        <f t="shared" si="2"/>
        <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c r="C49" s="1512"/>
      <c r="D49" s="1512"/>
      <c r="E49" s="1513"/>
      <c r="F49" s="1514"/>
      <c r="G49" s="1515"/>
      <c r="H49" s="1516"/>
      <c r="I49" s="1514"/>
      <c r="J49" s="1515"/>
      <c r="K49" s="1516"/>
      <c r="L49" s="1517"/>
      <c r="M49" s="1517"/>
      <c r="N49" s="1689" t="s">
        <v>116</v>
      </c>
      <c r="O49" s="1645"/>
      <c r="P49" s="245" t="b">
        <f t="shared" si="3"/>
        <v>0</v>
      </c>
      <c r="R49" s="245" t="b">
        <f t="shared" si="1"/>
        <v>0</v>
      </c>
      <c r="AO49" s="238" t="str">
        <f t="shared" si="2"/>
        <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c r="C50" s="1512"/>
      <c r="D50" s="1512"/>
      <c r="E50" s="1513"/>
      <c r="F50" s="1514"/>
      <c r="G50" s="1515"/>
      <c r="H50" s="1516"/>
      <c r="I50" s="1514"/>
      <c r="J50" s="1515"/>
      <c r="K50" s="1516"/>
      <c r="L50" s="1517"/>
      <c r="M50" s="1517"/>
      <c r="N50" s="1689" t="s">
        <v>116</v>
      </c>
      <c r="O50" s="1645"/>
      <c r="P50" s="245" t="b">
        <f t="shared" si="3"/>
        <v>0</v>
      </c>
      <c r="R50" s="245" t="b">
        <f t="shared" si="1"/>
        <v>0</v>
      </c>
      <c r="AO50" s="238" t="str">
        <f t="shared" si="2"/>
        <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c r="C51" s="1512"/>
      <c r="D51" s="1512"/>
      <c r="E51" s="1513"/>
      <c r="F51" s="1514"/>
      <c r="G51" s="1515"/>
      <c r="H51" s="1516"/>
      <c r="I51" s="1514"/>
      <c r="J51" s="1515"/>
      <c r="K51" s="1516"/>
      <c r="L51" s="1517"/>
      <c r="M51" s="1517"/>
      <c r="N51" s="1689" t="s">
        <v>116</v>
      </c>
      <c r="O51" s="1645"/>
      <c r="P51" s="245" t="b">
        <f t="shared" si="3"/>
        <v>0</v>
      </c>
      <c r="R51" s="245" t="b">
        <f t="shared" si="1"/>
        <v>0</v>
      </c>
      <c r="AO51" s="238" t="str">
        <f t="shared" si="2"/>
        <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c r="C52" s="1512"/>
      <c r="D52" s="1512"/>
      <c r="E52" s="1513"/>
      <c r="F52" s="1514"/>
      <c r="G52" s="1515"/>
      <c r="H52" s="1516"/>
      <c r="I52" s="1514"/>
      <c r="J52" s="1515"/>
      <c r="K52" s="1516"/>
      <c r="L52" s="1517"/>
      <c r="M52" s="1517"/>
      <c r="N52" s="1689" t="s">
        <v>116</v>
      </c>
      <c r="O52" s="1645"/>
      <c r="P52" s="245" t="b">
        <f t="shared" si="3"/>
        <v>0</v>
      </c>
      <c r="R52" s="245" t="b">
        <f t="shared" si="1"/>
        <v>0</v>
      </c>
      <c r="AO52" s="238" t="str">
        <f t="shared" si="2"/>
        <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c r="C53" s="1512"/>
      <c r="D53" s="1512"/>
      <c r="E53" s="1513"/>
      <c r="F53" s="1514"/>
      <c r="G53" s="1515"/>
      <c r="H53" s="1516"/>
      <c r="I53" s="1514"/>
      <c r="J53" s="1515"/>
      <c r="K53" s="1516"/>
      <c r="L53" s="1517"/>
      <c r="M53" s="1517"/>
      <c r="N53" s="1689" t="s">
        <v>116</v>
      </c>
      <c r="O53" s="1645"/>
      <c r="P53" s="245" t="b">
        <f t="shared" si="3"/>
        <v>0</v>
      </c>
      <c r="R53" s="245" t="b">
        <f t="shared" si="1"/>
        <v>0</v>
      </c>
      <c r="AO53" s="238" t="str">
        <f t="shared" si="2"/>
        <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c r="C54" s="1512"/>
      <c r="D54" s="1512"/>
      <c r="E54" s="1513"/>
      <c r="F54" s="1514"/>
      <c r="G54" s="1515"/>
      <c r="H54" s="1516"/>
      <c r="I54" s="1514"/>
      <c r="J54" s="1515"/>
      <c r="K54" s="1516"/>
      <c r="L54" s="1517"/>
      <c r="M54" s="1517"/>
      <c r="N54" s="1689" t="s">
        <v>116</v>
      </c>
      <c r="O54" s="1645"/>
      <c r="P54" s="245" t="b">
        <f t="shared" si="3"/>
        <v>0</v>
      </c>
      <c r="R54" s="245" t="b">
        <f t="shared" si="1"/>
        <v>0</v>
      </c>
      <c r="AO54" s="238" t="str">
        <f t="shared" si="2"/>
        <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c r="C55" s="1521"/>
      <c r="D55" s="1521"/>
      <c r="E55" s="1522"/>
      <c r="F55" s="1523"/>
      <c r="G55" s="1524"/>
      <c r="H55" s="1525"/>
      <c r="I55" s="1523"/>
      <c r="J55" s="1524"/>
      <c r="K55" s="1525"/>
      <c r="L55" s="1526"/>
      <c r="M55" s="1526"/>
      <c r="N55" s="1690"/>
      <c r="O55" s="1645"/>
      <c r="P55" s="245" t="b">
        <f t="shared" si="3"/>
        <v>0</v>
      </c>
      <c r="R55" s="245" t="b">
        <f t="shared" si="1"/>
        <v>0</v>
      </c>
      <c r="AO55" s="238" t="str">
        <f t="shared" si="2"/>
        <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12:E12"/>
    <mergeCell ref="B9:H9"/>
    <mergeCell ref="B10:H10"/>
    <mergeCell ref="L12:L13"/>
    <mergeCell ref="G13:H13"/>
    <mergeCell ref="F12:H12"/>
    <mergeCell ref="I1:K1"/>
    <mergeCell ref="I2:K3"/>
    <mergeCell ref="I4:K4"/>
    <mergeCell ref="A5:J5"/>
    <mergeCell ref="K10:L10"/>
    <mergeCell ref="I10:J10"/>
    <mergeCell ref="K9:N9"/>
    <mergeCell ref="AQ12:BC12"/>
    <mergeCell ref="J13:K13"/>
    <mergeCell ref="I12:K12"/>
    <mergeCell ref="M12:M13"/>
    <mergeCell ref="N12:N13"/>
  </mergeCells>
  <phoneticPr fontId="0" type="noConversion"/>
  <conditionalFormatting sqref="F14:F55">
    <cfRule type="expression" dxfId="1414" priority="14" stopIfTrue="1">
      <formula>AND($B14="NU",F14&lt;0)</formula>
    </cfRule>
  </conditionalFormatting>
  <conditionalFormatting sqref="B14:B55">
    <cfRule type="expression" dxfId="1413" priority="15" stopIfTrue="1">
      <formula>OR(AND($B14="NU",F14&lt;0),AND($B14="NU",I14&lt;0))</formula>
    </cfRule>
  </conditionalFormatting>
  <conditionalFormatting sqref="G14:H55 J14:L55">
    <cfRule type="expression" dxfId="1412" priority="16" stopIfTrue="1">
      <formula>$R14</formula>
    </cfRule>
  </conditionalFormatting>
  <conditionalFormatting sqref="I2:K4">
    <cfRule type="cellIs" dxfId="1411" priority="18" stopIfTrue="1" operator="equal">
      <formula>""</formula>
    </cfRule>
  </conditionalFormatting>
  <conditionalFormatting sqref="I14:I55">
    <cfRule type="expression" dxfId="1410" priority="272" stopIfTrue="1">
      <formula>OR($R14,$B14="CZ",AND($B14="NU",I14&lt;0))</formula>
    </cfRule>
  </conditionalFormatting>
  <conditionalFormatting sqref="A14:A55">
    <cfRule type="expression" dxfId="1409" priority="7">
      <formula>NOT($P14)</formula>
    </cfRule>
  </conditionalFormatting>
  <conditionalFormatting sqref="B14:D55">
    <cfRule type="expression" dxfId="1408"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407" priority="2001">
      <formula>AND(NOT($P14),$T$1)</formula>
    </cfRule>
    <cfRule type="expression" dxfId="1406" priority="2002">
      <formula>AND($AP14,$S$1="M")</formula>
    </cfRule>
  </conditionalFormatting>
  <conditionalFormatting sqref="L14:L55">
    <cfRule type="expression" dxfId="1405"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02" t="str">
        <f>IF(L1="","",VLOOKUP(L1,'Job Info.'!X:AA,4,FALSE))</f>
        <v>Master</v>
      </c>
      <c r="E1" s="1802"/>
      <c r="F1" s="1802"/>
      <c r="G1" s="1803" t="s">
        <v>95</v>
      </c>
      <c r="H1" s="1804"/>
      <c r="I1" s="1805" t="str">
        <f ca="1">'Job Info.'!D12</f>
        <v>775-428-0600</v>
      </c>
      <c r="J1" s="180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07" t="str">
        <f>IF(L1="","",IF(VLOOKUP(L1,'Job Info.'!X:Z,2,FALSE),"Released for Fabrication",""))</f>
        <v/>
      </c>
      <c r="E2" s="1808"/>
      <c r="F2" s="1809"/>
      <c r="G2" s="1803" t="s">
        <v>96</v>
      </c>
      <c r="H2" s="1803"/>
      <c r="I2" s="1805" t="str">
        <f ca="1">'Job Info.'!D13</f>
        <v>775-867-2140</v>
      </c>
      <c r="J2" s="1806"/>
      <c r="S2" s="633"/>
      <c r="T2" s="633" t="s">
        <v>1267</v>
      </c>
    </row>
    <row r="3" spans="1:22" ht="12.95" customHeight="1" x14ac:dyDescent="0.2">
      <c r="A3" s="374"/>
      <c r="B3" s="374"/>
      <c r="C3" s="374"/>
      <c r="D3" s="1810"/>
      <c r="E3" s="1811"/>
      <c r="F3" s="1812"/>
      <c r="G3" s="1803" t="s">
        <v>98</v>
      </c>
      <c r="H3" s="1803"/>
      <c r="I3" s="1805" t="str">
        <f ca="1">'Job Info.'!D14</f>
        <v>775-867-2169</v>
      </c>
      <c r="J3" s="1806"/>
      <c r="S3" s="633"/>
      <c r="T3" s="633" t="s">
        <v>1268</v>
      </c>
    </row>
    <row r="4" spans="1:22" ht="12.95" customHeight="1" thickBot="1" x14ac:dyDescent="0.25">
      <c r="A4" s="374"/>
      <c r="B4" s="374"/>
      <c r="C4" s="374"/>
      <c r="D4" s="1813" t="str">
        <f>IF(L1="","",IF(VLOOKUP(L1,'Job Info.'!X:Z,2,FALSE),VLOOKUP(L1,'Job Info.'!X:Z,3,FALSE),""))</f>
        <v/>
      </c>
      <c r="E4" s="1814"/>
      <c r="F4" s="1815"/>
      <c r="G4" s="1803" t="s">
        <v>97</v>
      </c>
      <c r="H4" s="1803"/>
      <c r="I4" s="1805" t="str">
        <f ca="1">'Job Info.'!D15</f>
        <v>775-867-2060</v>
      </c>
      <c r="J4" s="1806"/>
      <c r="S4" s="633"/>
      <c r="T4" s="633" t="s">
        <v>1269</v>
      </c>
    </row>
    <row r="5" spans="1:22" ht="12.95" customHeight="1" thickTop="1" x14ac:dyDescent="0.2">
      <c r="A5" s="1816" t="str">
        <f ca="1">'Job Info.'!D11</f>
        <v>8200 Woolery Way | Fallon, NV 89406 | www.newmill.com</v>
      </c>
      <c r="B5" s="1816"/>
      <c r="C5" s="1816"/>
      <c r="D5" s="1816"/>
      <c r="E5" s="1816"/>
      <c r="F5" s="1816"/>
      <c r="G5" s="233"/>
      <c r="H5" s="374"/>
      <c r="I5" s="374"/>
      <c r="J5" s="374"/>
      <c r="S5" s="633"/>
      <c r="T5" s="633" t="s">
        <v>1270</v>
      </c>
    </row>
    <row r="6" spans="1:22" ht="12.95" customHeight="1" x14ac:dyDescent="0.2">
      <c r="A6" s="374"/>
      <c r="B6" s="374"/>
      <c r="C6" s="374"/>
      <c r="D6" s="374"/>
      <c r="E6" s="374"/>
      <c r="F6" s="374"/>
      <c r="G6" s="462" t="s">
        <v>20</v>
      </c>
      <c r="H6" s="1817">
        <f>IF(ISBLANK('Job Info.'!D8),"",'Job Info.'!D8)</f>
        <v>44909</v>
      </c>
      <c r="I6" s="1817"/>
      <c r="J6" s="374"/>
      <c r="L6" s="503" t="s">
        <v>1132</v>
      </c>
      <c r="M6" s="381"/>
      <c r="N6" s="381"/>
      <c r="T6" s="633" t="s">
        <v>1272</v>
      </c>
    </row>
    <row r="7" spans="1:22" ht="12.95" customHeight="1" x14ac:dyDescent="0.2">
      <c r="A7" s="395" t="s">
        <v>29</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6" t="str">
        <f>IF(ISBLANK('Job Info.'!D3),"",'Job Info.'!D3)</f>
        <v>SUNCAP CHEYENNE&amp;COMMERCE BLDG A&amp;B PP</v>
      </c>
      <c r="C9" s="1796"/>
      <c r="D9" s="1797"/>
      <c r="E9" s="481"/>
      <c r="F9" s="482" t="s">
        <v>2</v>
      </c>
      <c r="G9" s="1796" t="str">
        <f>IF(ISBLANK('Job Info.'!D5),"",'Job Info.'!D5)</f>
        <v>9122-0050</v>
      </c>
      <c r="H9" s="1796"/>
      <c r="I9" s="1796"/>
      <c r="J9" s="1797"/>
      <c r="L9" s="381"/>
      <c r="T9" s="633" t="s">
        <v>114</v>
      </c>
    </row>
    <row r="10" spans="1:22" ht="12.6" customHeight="1" x14ac:dyDescent="0.2">
      <c r="A10" s="480" t="s">
        <v>3</v>
      </c>
      <c r="B10" s="1796" t="str">
        <f>IF(ISBLANK('Job Info.'!D4),"",'Job Info.'!D4)</f>
        <v>LAS VEGAS, NV</v>
      </c>
      <c r="C10" s="1796"/>
      <c r="D10" s="1797"/>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1" t="s">
        <v>15</v>
      </c>
      <c r="C12" s="1822"/>
      <c r="D12" s="1822"/>
      <c r="E12" s="1822"/>
      <c r="F12" s="1822"/>
      <c r="G12" s="1822"/>
      <c r="H12" s="1822"/>
      <c r="I12" s="1822"/>
      <c r="J12" s="1823"/>
      <c r="P12" s="790" t="s">
        <v>963</v>
      </c>
      <c r="Q12" s="791" t="s">
        <v>964</v>
      </c>
      <c r="R12" s="786" t="s">
        <v>968</v>
      </c>
    </row>
    <row r="13" spans="1:22" ht="15.4" customHeight="1" thickTop="1" x14ac:dyDescent="0.2">
      <c r="A13" s="1489"/>
      <c r="B13" s="1824"/>
      <c r="C13" s="1825"/>
      <c r="D13" s="1825"/>
      <c r="E13" s="1825"/>
      <c r="F13" s="1825"/>
      <c r="G13" s="1825"/>
      <c r="H13" s="1825"/>
      <c r="I13" s="1825"/>
      <c r="J13" s="1826"/>
      <c r="L13" s="946" t="str">
        <f>IF(ISBLANK(A13),"",SUBSTITUTE(A13,"*",""))</f>
        <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1493"/>
      <c r="B14" s="1818"/>
      <c r="C14" s="1819"/>
      <c r="D14" s="1819"/>
      <c r="E14" s="1819"/>
      <c r="F14" s="1819"/>
      <c r="G14" s="1819"/>
      <c r="H14" s="1819"/>
      <c r="I14" s="1819"/>
      <c r="J14" s="1820"/>
      <c r="L14" s="946" t="str">
        <f>IF(ISBLANK(A14),L13,SUBSTITUTE(A14,"*",""))</f>
        <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3"/>
      <c r="B15" s="1818"/>
      <c r="C15" s="1819"/>
      <c r="D15" s="1819"/>
      <c r="E15" s="1819"/>
      <c r="F15" s="1819"/>
      <c r="G15" s="1819"/>
      <c r="H15" s="1819"/>
      <c r="I15" s="1819"/>
      <c r="J15" s="1820"/>
      <c r="L15" s="946" t="str">
        <f t="shared" ref="L15:L51" si="2">IF(ISBLANK(A15),L14,SUBSTITUTE(A15,"*",""))</f>
        <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3"/>
      <c r="B16" s="1818"/>
      <c r="C16" s="1819"/>
      <c r="D16" s="1819"/>
      <c r="E16" s="1819"/>
      <c r="F16" s="1819"/>
      <c r="G16" s="1819"/>
      <c r="H16" s="1819"/>
      <c r="I16" s="1819"/>
      <c r="J16" s="1820"/>
      <c r="L16" s="946" t="str">
        <f t="shared" si="2"/>
        <v/>
      </c>
      <c r="M16" s="1538" t="b">
        <v>0</v>
      </c>
      <c r="N16" s="1540" t="b">
        <f t="shared" si="0"/>
        <v>0</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3"/>
      <c r="B17" s="1818"/>
      <c r="C17" s="1819"/>
      <c r="D17" s="1819"/>
      <c r="E17" s="1819"/>
      <c r="F17" s="1819"/>
      <c r="G17" s="1819"/>
      <c r="H17" s="1819"/>
      <c r="I17" s="1819"/>
      <c r="J17" s="1820"/>
      <c r="L17" s="946" t="str">
        <f t="shared" si="2"/>
        <v/>
      </c>
      <c r="M17" s="1538" t="b">
        <v>0</v>
      </c>
      <c r="N17" s="1540" t="b">
        <f t="shared" si="0"/>
        <v>0</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1493"/>
      <c r="B18" s="1818"/>
      <c r="C18" s="1819"/>
      <c r="D18" s="1819"/>
      <c r="E18" s="1819"/>
      <c r="F18" s="1819"/>
      <c r="G18" s="1819"/>
      <c r="H18" s="1819"/>
      <c r="I18" s="1819"/>
      <c r="J18" s="1820"/>
      <c r="L18" s="946" t="str">
        <f t="shared" si="2"/>
        <v/>
      </c>
      <c r="M18" s="1538" t="b">
        <v>0</v>
      </c>
      <c r="N18" s="1540" t="b">
        <f t="shared" si="0"/>
        <v>0</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3"/>
      <c r="B19" s="1818"/>
      <c r="C19" s="1819"/>
      <c r="D19" s="1819"/>
      <c r="E19" s="1819"/>
      <c r="F19" s="1819"/>
      <c r="G19" s="1819"/>
      <c r="H19" s="1819"/>
      <c r="I19" s="1819"/>
      <c r="J19" s="1820"/>
      <c r="L19" s="946" t="str">
        <f t="shared" si="2"/>
        <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3"/>
      <c r="B20" s="1818"/>
      <c r="C20" s="1819"/>
      <c r="D20" s="1819"/>
      <c r="E20" s="1819"/>
      <c r="F20" s="1819"/>
      <c r="G20" s="1819"/>
      <c r="H20" s="1819"/>
      <c r="I20" s="1819"/>
      <c r="J20" s="1820"/>
      <c r="L20" s="946" t="str">
        <f t="shared" si="2"/>
        <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1493"/>
      <c r="B21" s="1827"/>
      <c r="C21" s="1828"/>
      <c r="D21" s="1828"/>
      <c r="E21" s="1828"/>
      <c r="F21" s="1828"/>
      <c r="G21" s="1828"/>
      <c r="H21" s="1828"/>
      <c r="I21" s="1828"/>
      <c r="J21" s="1829"/>
      <c r="L21" s="946" t="str">
        <f t="shared" si="2"/>
        <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3"/>
      <c r="B22" s="1818"/>
      <c r="C22" s="1819"/>
      <c r="D22" s="1819"/>
      <c r="E22" s="1819"/>
      <c r="F22" s="1819"/>
      <c r="G22" s="1819"/>
      <c r="H22" s="1819"/>
      <c r="I22" s="1819"/>
      <c r="J22" s="1820"/>
      <c r="L22" s="946" t="str">
        <f t="shared" si="2"/>
        <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3"/>
      <c r="B23" s="1824"/>
      <c r="C23" s="1825"/>
      <c r="D23" s="1825"/>
      <c r="E23" s="1825"/>
      <c r="F23" s="1825"/>
      <c r="G23" s="1825"/>
      <c r="H23" s="1825"/>
      <c r="I23" s="1825"/>
      <c r="J23" s="1826"/>
      <c r="L23" s="946" t="str">
        <f t="shared" si="2"/>
        <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3"/>
      <c r="B24" s="1818"/>
      <c r="C24" s="1819"/>
      <c r="D24" s="1819"/>
      <c r="E24" s="1819"/>
      <c r="F24" s="1819"/>
      <c r="G24" s="1819"/>
      <c r="H24" s="1819"/>
      <c r="I24" s="1819"/>
      <c r="J24" s="1820"/>
      <c r="L24" s="946" t="str">
        <f t="shared" si="2"/>
        <v/>
      </c>
      <c r="M24" s="1538" t="b">
        <v>0</v>
      </c>
      <c r="N24" s="1540" t="b">
        <f t="shared" si="0"/>
        <v>0</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3"/>
      <c r="B25" s="1818"/>
      <c r="C25" s="1819"/>
      <c r="D25" s="1819"/>
      <c r="E25" s="1819"/>
      <c r="F25" s="1819"/>
      <c r="G25" s="1819"/>
      <c r="H25" s="1819"/>
      <c r="I25" s="1819"/>
      <c r="J25" s="1820"/>
      <c r="L25" s="946" t="str">
        <f t="shared" si="2"/>
        <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1493"/>
      <c r="B26" s="1818"/>
      <c r="C26" s="1819"/>
      <c r="D26" s="1819"/>
      <c r="E26" s="1819"/>
      <c r="F26" s="1819"/>
      <c r="G26" s="1819"/>
      <c r="H26" s="1819"/>
      <c r="I26" s="1819"/>
      <c r="J26" s="1820"/>
      <c r="L26" s="946" t="str">
        <f t="shared" si="2"/>
        <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3"/>
      <c r="B27" s="1818"/>
      <c r="C27" s="1819"/>
      <c r="D27" s="1819"/>
      <c r="E27" s="1819"/>
      <c r="F27" s="1819"/>
      <c r="G27" s="1819"/>
      <c r="H27" s="1819"/>
      <c r="I27" s="1819"/>
      <c r="J27" s="1820"/>
      <c r="L27" s="946" t="str">
        <f t="shared" si="2"/>
        <v/>
      </c>
      <c r="M27" s="1538" t="b">
        <v>0</v>
      </c>
      <c r="N27" s="1529" t="b">
        <f t="shared" si="0"/>
        <v>0</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1493"/>
      <c r="B28" s="1818"/>
      <c r="C28" s="1819"/>
      <c r="D28" s="1819"/>
      <c r="E28" s="1819"/>
      <c r="F28" s="1819"/>
      <c r="G28" s="1819"/>
      <c r="H28" s="1819"/>
      <c r="I28" s="1819"/>
      <c r="J28" s="1820"/>
      <c r="L28" s="946" t="str">
        <f t="shared" si="2"/>
        <v/>
      </c>
      <c r="M28" s="1538" t="b">
        <v>0</v>
      </c>
      <c r="N28" s="1529" t="b">
        <f t="shared" si="0"/>
        <v>0</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1493"/>
      <c r="B29" s="1818"/>
      <c r="C29" s="1819"/>
      <c r="D29" s="1819"/>
      <c r="E29" s="1819"/>
      <c r="F29" s="1819"/>
      <c r="G29" s="1819"/>
      <c r="H29" s="1819"/>
      <c r="I29" s="1819"/>
      <c r="J29" s="1820"/>
      <c r="L29" s="946" t="str">
        <f t="shared" si="2"/>
        <v/>
      </c>
      <c r="M29" s="1538" t="b">
        <v>0</v>
      </c>
      <c r="N29" s="1529" t="b">
        <f t="shared" si="0"/>
        <v>0</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3"/>
      <c r="B30" s="1818"/>
      <c r="C30" s="1819"/>
      <c r="D30" s="1819"/>
      <c r="E30" s="1819"/>
      <c r="F30" s="1819"/>
      <c r="G30" s="1819"/>
      <c r="H30" s="1819"/>
      <c r="I30" s="1819"/>
      <c r="J30" s="1820"/>
      <c r="L30" s="946" t="str">
        <f t="shared" si="2"/>
        <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3"/>
      <c r="B31" s="1818"/>
      <c r="C31" s="1819"/>
      <c r="D31" s="1819"/>
      <c r="E31" s="1819"/>
      <c r="F31" s="1819"/>
      <c r="G31" s="1819"/>
      <c r="H31" s="1819"/>
      <c r="I31" s="1819"/>
      <c r="J31" s="1820"/>
      <c r="L31" s="946" t="str">
        <f t="shared" si="2"/>
        <v/>
      </c>
      <c r="M31" s="1538" t="b">
        <v>0</v>
      </c>
      <c r="N31" s="1529" t="b">
        <f t="shared" si="0"/>
        <v>0</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3"/>
      <c r="B32" s="1818"/>
      <c r="C32" s="1819"/>
      <c r="D32" s="1819"/>
      <c r="E32" s="1819"/>
      <c r="F32" s="1819"/>
      <c r="G32" s="1819"/>
      <c r="H32" s="1819"/>
      <c r="I32" s="1819"/>
      <c r="J32" s="1820"/>
      <c r="L32" s="946" t="str">
        <f t="shared" si="2"/>
        <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1493"/>
      <c r="B33" s="1818"/>
      <c r="C33" s="1819"/>
      <c r="D33" s="1819"/>
      <c r="E33" s="1819"/>
      <c r="F33" s="1819"/>
      <c r="G33" s="1819"/>
      <c r="H33" s="1819"/>
      <c r="I33" s="1819"/>
      <c r="J33" s="1820"/>
      <c r="L33" s="946" t="str">
        <f t="shared" si="2"/>
        <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3"/>
      <c r="B34" s="1818"/>
      <c r="C34" s="1819"/>
      <c r="D34" s="1819"/>
      <c r="E34" s="1819"/>
      <c r="F34" s="1819"/>
      <c r="G34" s="1819"/>
      <c r="H34" s="1819"/>
      <c r="I34" s="1819"/>
      <c r="J34" s="1820"/>
      <c r="L34" s="946" t="str">
        <f t="shared" si="2"/>
        <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1493"/>
      <c r="B35" s="1818"/>
      <c r="C35" s="1819"/>
      <c r="D35" s="1819"/>
      <c r="E35" s="1819"/>
      <c r="F35" s="1819"/>
      <c r="G35" s="1819"/>
      <c r="H35" s="1819"/>
      <c r="I35" s="1819"/>
      <c r="J35" s="1820"/>
      <c r="L35" s="946" t="str">
        <f t="shared" si="2"/>
        <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3"/>
      <c r="B36" s="1818"/>
      <c r="C36" s="1819"/>
      <c r="D36" s="1819"/>
      <c r="E36" s="1819"/>
      <c r="F36" s="1819"/>
      <c r="G36" s="1819"/>
      <c r="H36" s="1819"/>
      <c r="I36" s="1819"/>
      <c r="J36" s="1820"/>
      <c r="L36" s="946" t="str">
        <f t="shared" si="2"/>
        <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3"/>
      <c r="B37" s="1818"/>
      <c r="C37" s="1819"/>
      <c r="D37" s="1819"/>
      <c r="E37" s="1819"/>
      <c r="F37" s="1819"/>
      <c r="G37" s="1819"/>
      <c r="H37" s="1819"/>
      <c r="I37" s="1819"/>
      <c r="J37" s="1820"/>
      <c r="L37" s="946" t="str">
        <f t="shared" si="2"/>
        <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3"/>
      <c r="B38" s="1818"/>
      <c r="C38" s="1819"/>
      <c r="D38" s="1819"/>
      <c r="E38" s="1819"/>
      <c r="F38" s="1819"/>
      <c r="G38" s="1819"/>
      <c r="H38" s="1819"/>
      <c r="I38" s="1819"/>
      <c r="J38" s="1820"/>
      <c r="L38" s="946" t="str">
        <f t="shared" si="2"/>
        <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3"/>
      <c r="B39" s="1818"/>
      <c r="C39" s="1819"/>
      <c r="D39" s="1819"/>
      <c r="E39" s="1819"/>
      <c r="F39" s="1819"/>
      <c r="G39" s="1819"/>
      <c r="H39" s="1819"/>
      <c r="I39" s="1819"/>
      <c r="J39" s="1820"/>
      <c r="L39" s="946" t="str">
        <f t="shared" si="2"/>
        <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1493"/>
      <c r="B40" s="1818"/>
      <c r="C40" s="1819"/>
      <c r="D40" s="1819"/>
      <c r="E40" s="1819"/>
      <c r="F40" s="1819"/>
      <c r="G40" s="1819"/>
      <c r="H40" s="1819"/>
      <c r="I40" s="1819"/>
      <c r="J40" s="1820"/>
      <c r="L40" s="946" t="str">
        <f t="shared" si="2"/>
        <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1493"/>
      <c r="B41" s="1818"/>
      <c r="C41" s="1819"/>
      <c r="D41" s="1819"/>
      <c r="E41" s="1819"/>
      <c r="F41" s="1819"/>
      <c r="G41" s="1819"/>
      <c r="H41" s="1819"/>
      <c r="I41" s="1819"/>
      <c r="J41" s="1820"/>
      <c r="L41" s="946" t="str">
        <f t="shared" si="2"/>
        <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1493"/>
      <c r="B42" s="1818"/>
      <c r="C42" s="1819"/>
      <c r="D42" s="1819"/>
      <c r="E42" s="1819"/>
      <c r="F42" s="1819"/>
      <c r="G42" s="1819"/>
      <c r="H42" s="1819"/>
      <c r="I42" s="1819"/>
      <c r="J42" s="1820"/>
      <c r="L42" s="946" t="str">
        <f t="shared" si="2"/>
        <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1493"/>
      <c r="B43" s="1818"/>
      <c r="C43" s="1819"/>
      <c r="D43" s="1819"/>
      <c r="E43" s="1819"/>
      <c r="F43" s="1819"/>
      <c r="G43" s="1819"/>
      <c r="H43" s="1819"/>
      <c r="I43" s="1819"/>
      <c r="J43" s="1820"/>
      <c r="L43" s="946" t="str">
        <f t="shared" si="2"/>
        <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1493"/>
      <c r="B44" s="1818"/>
      <c r="C44" s="1819"/>
      <c r="D44" s="1819"/>
      <c r="E44" s="1819"/>
      <c r="F44" s="1819"/>
      <c r="G44" s="1819"/>
      <c r="H44" s="1819"/>
      <c r="I44" s="1819"/>
      <c r="J44" s="1820"/>
      <c r="L44" s="946" t="str">
        <f t="shared" si="2"/>
        <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1493"/>
      <c r="B45" s="1818"/>
      <c r="C45" s="1819"/>
      <c r="D45" s="1819"/>
      <c r="E45" s="1819"/>
      <c r="F45" s="1819"/>
      <c r="G45" s="1819"/>
      <c r="H45" s="1819"/>
      <c r="I45" s="1819"/>
      <c r="J45" s="1820"/>
      <c r="L45" s="946" t="str">
        <f t="shared" si="2"/>
        <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1493"/>
      <c r="B46" s="1818"/>
      <c r="C46" s="1819"/>
      <c r="D46" s="1819"/>
      <c r="E46" s="1819"/>
      <c r="F46" s="1819"/>
      <c r="G46" s="1819"/>
      <c r="H46" s="1819"/>
      <c r="I46" s="1819"/>
      <c r="J46" s="1820"/>
      <c r="L46" s="946" t="str">
        <f t="shared" si="2"/>
        <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1493"/>
      <c r="B47" s="1818"/>
      <c r="C47" s="1819"/>
      <c r="D47" s="1819"/>
      <c r="E47" s="1819"/>
      <c r="F47" s="1819"/>
      <c r="G47" s="1819"/>
      <c r="H47" s="1819"/>
      <c r="I47" s="1819"/>
      <c r="J47" s="1820"/>
      <c r="L47" s="946" t="str">
        <f t="shared" si="2"/>
        <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1493"/>
      <c r="B48" s="1818"/>
      <c r="C48" s="1819"/>
      <c r="D48" s="1819"/>
      <c r="E48" s="1819"/>
      <c r="F48" s="1819"/>
      <c r="G48" s="1819"/>
      <c r="H48" s="1819"/>
      <c r="I48" s="1819"/>
      <c r="J48" s="1820"/>
      <c r="L48" s="946" t="str">
        <f t="shared" si="2"/>
        <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1493"/>
      <c r="B49" s="1818"/>
      <c r="C49" s="1819"/>
      <c r="D49" s="1819"/>
      <c r="E49" s="1819"/>
      <c r="F49" s="1819"/>
      <c r="G49" s="1819"/>
      <c r="H49" s="1819"/>
      <c r="I49" s="1819"/>
      <c r="J49" s="1820"/>
      <c r="L49" s="946" t="str">
        <f t="shared" si="2"/>
        <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1493"/>
      <c r="B50" s="1818"/>
      <c r="C50" s="1819"/>
      <c r="D50" s="1819"/>
      <c r="E50" s="1819"/>
      <c r="F50" s="1819"/>
      <c r="G50" s="1819"/>
      <c r="H50" s="1819"/>
      <c r="I50" s="1819"/>
      <c r="J50" s="1820"/>
      <c r="L50" s="946" t="str">
        <f t="shared" si="2"/>
        <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7"/>
      <c r="B51" s="1830"/>
      <c r="C51" s="1831"/>
      <c r="D51" s="1831"/>
      <c r="E51" s="1831"/>
      <c r="F51" s="1831"/>
      <c r="G51" s="1831"/>
      <c r="H51" s="1831"/>
      <c r="I51" s="1831"/>
      <c r="J51" s="1832"/>
      <c r="L51" s="946" t="str">
        <f t="shared" si="2"/>
        <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404" priority="5" stopIfTrue="1" operator="equal">
      <formula>""</formula>
    </cfRule>
  </conditionalFormatting>
  <conditionalFormatting sqref="A13:J51">
    <cfRule type="expression" dxfId="1403" priority="2">
      <formula>AND(NOT($N13),NOT($O13),$M$1)</formula>
    </cfRule>
    <cfRule type="expression" dxfId="1402" priority="4">
      <formula>AND($M13,$L$1="M")</formula>
    </cfRule>
  </conditionalFormatting>
  <conditionalFormatting sqref="A13:A51">
    <cfRule type="expression" dxfId="1401" priority="3">
      <formula>NOT(OR($N13,$O13))</formula>
    </cfRule>
  </conditionalFormatting>
  <conditionalFormatting sqref="B13:J51">
    <cfRule type="expression" dxfId="1400"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02" t="str">
        <f>IF(P1="","",VLOOKUP(P1,'Job Info.'!$X:$AA,4,FALSE))</f>
        <v>Master</v>
      </c>
      <c r="I1" s="1802"/>
      <c r="J1" s="1802"/>
      <c r="K1" s="1803" t="s">
        <v>95</v>
      </c>
      <c r="L1" s="1804"/>
      <c r="M1" s="1805" t="str">
        <f ca="1">'Job Info.'!D12</f>
        <v>775-428-0600</v>
      </c>
      <c r="N1" s="180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07" t="str">
        <f>IF(P1="","",IF(VLOOKUP(P1,'Job Info.'!$X:$Z,2,FALSE),"Released for Fabrication",""))</f>
        <v/>
      </c>
      <c r="I2" s="1808"/>
      <c r="J2" s="1809"/>
      <c r="K2" s="1803" t="s">
        <v>96</v>
      </c>
      <c r="L2" s="1803"/>
      <c r="M2" s="1805" t="str">
        <f ca="1">'Job Info.'!D13</f>
        <v>775-867-2140</v>
      </c>
      <c r="N2" s="1806"/>
      <c r="R2" s="245" t="s">
        <v>122</v>
      </c>
      <c r="S2" s="245" t="s">
        <v>134</v>
      </c>
      <c r="T2" s="378"/>
    </row>
    <row r="3" spans="1:39" ht="12.95" customHeight="1" x14ac:dyDescent="0.2">
      <c r="A3" s="374"/>
      <c r="B3" s="462"/>
      <c r="C3" s="374"/>
      <c r="D3" s="474"/>
      <c r="E3" s="393"/>
      <c r="F3" s="393"/>
      <c r="G3" s="393"/>
      <c r="H3" s="1810"/>
      <c r="I3" s="1811"/>
      <c r="J3" s="1812"/>
      <c r="K3" s="1803" t="s">
        <v>98</v>
      </c>
      <c r="L3" s="1803"/>
      <c r="M3" s="1805" t="str">
        <f ca="1">'Job Info.'!D14</f>
        <v>775-867-2169</v>
      </c>
      <c r="N3" s="1806"/>
      <c r="R3" s="245" t="s">
        <v>123</v>
      </c>
      <c r="S3" s="245" t="s">
        <v>135</v>
      </c>
    </row>
    <row r="4" spans="1:39" ht="12.95" customHeight="1" thickBot="1" x14ac:dyDescent="0.25">
      <c r="A4" s="374"/>
      <c r="B4" s="462"/>
      <c r="C4" s="374"/>
      <c r="D4" s="474"/>
      <c r="E4" s="393"/>
      <c r="F4" s="393"/>
      <c r="G4" s="393"/>
      <c r="H4" s="1813" t="str">
        <f>IF(P1="","",IF(VLOOKUP(P1,'Job Info.'!$X:$Z,2,FALSE),VLOOKUP(P1,'Job Info.'!$X:$Z,3,FALSE),""))</f>
        <v/>
      </c>
      <c r="I4" s="1814"/>
      <c r="J4" s="1815"/>
      <c r="K4" s="1803" t="s">
        <v>97</v>
      </c>
      <c r="L4" s="1803"/>
      <c r="M4" s="1805" t="str">
        <f ca="1">'Job Info.'!D15</f>
        <v>775-867-2060</v>
      </c>
      <c r="N4" s="1806"/>
      <c r="R4" s="245" t="s">
        <v>124</v>
      </c>
      <c r="S4" s="245" t="s">
        <v>136</v>
      </c>
    </row>
    <row r="5" spans="1:39" ht="12.95" customHeight="1" thickTop="1" x14ac:dyDescent="0.2">
      <c r="A5" s="1816" t="str">
        <f ca="1">'Job Info.'!D11</f>
        <v>8200 Woolery Way | Fallon, NV 89406 | www.newmill.com</v>
      </c>
      <c r="B5" s="1863"/>
      <c r="C5" s="1863"/>
      <c r="D5" s="1863"/>
      <c r="E5" s="1863"/>
      <c r="F5" s="1863"/>
      <c r="G5" s="1863"/>
      <c r="H5" s="1863"/>
      <c r="I5" s="1863"/>
      <c r="J5" s="1863"/>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799">
        <f>IF(ISBLANK('Job Info.'!D8),"",'Job Info.'!D8)</f>
        <v>44909</v>
      </c>
      <c r="M6" s="1799"/>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 xml:space="preserve"> of 28</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796" t="str">
        <f>IF(ISBLANK('Job Info.'!D3),"",'Job Info.'!D3)</f>
        <v>SUNCAP CHEYENNE&amp;COMMERCE BLDG A&amp;B PP</v>
      </c>
      <c r="C9" s="1858"/>
      <c r="D9" s="1858"/>
      <c r="E9" s="1858"/>
      <c r="F9" s="1858"/>
      <c r="G9" s="1858"/>
      <c r="H9" s="1858"/>
      <c r="I9" s="1858"/>
      <c r="J9" s="1859"/>
      <c r="K9" s="480" t="s">
        <v>2</v>
      </c>
      <c r="L9" s="659" t="str">
        <f>IF(ISBLANK('Job Info.'!D5),"",'Job Info.'!D5)</f>
        <v>9122-0050</v>
      </c>
      <c r="M9" s="402"/>
      <c r="N9" s="477"/>
      <c r="R9" s="245" t="s">
        <v>129</v>
      </c>
      <c r="S9" s="245" t="s">
        <v>141</v>
      </c>
    </row>
    <row r="10" spans="1:39" ht="12.6" customHeight="1" x14ac:dyDescent="0.2">
      <c r="A10" s="480" t="s">
        <v>3</v>
      </c>
      <c r="B10" s="1796" t="str">
        <f>IF(ISBLANK('Job Info.'!D4),"",'Job Info.'!D4)</f>
        <v>LAS VEGAS, NV</v>
      </c>
      <c r="C10" s="1858"/>
      <c r="D10" s="1858"/>
      <c r="E10" s="1858"/>
      <c r="F10" s="1858"/>
      <c r="G10" s="1858"/>
      <c r="H10" s="1858"/>
      <c r="I10" s="1858"/>
      <c r="J10" s="1859"/>
      <c r="K10" s="480" t="s">
        <v>22</v>
      </c>
      <c r="L10" s="660" t="str">
        <f>IF(ISBLANK('Job Info.'!D6),"",'Job Info.'!D6)</f>
        <v>SA</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57" t="s">
        <v>120</v>
      </c>
      <c r="C12" s="1822"/>
      <c r="D12" s="1823"/>
      <c r="E12" s="1821" t="s">
        <v>1183</v>
      </c>
      <c r="F12" s="1822"/>
      <c r="G12" s="1822"/>
      <c r="H12" s="1822"/>
      <c r="I12" s="1822"/>
      <c r="J12" s="1822"/>
      <c r="K12" s="1855"/>
      <c r="L12" s="1855"/>
      <c r="M12" s="1855"/>
      <c r="N12" s="1856"/>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1078"/>
      <c r="B13" s="1079"/>
      <c r="C13" s="1057"/>
      <c r="D13" s="1080"/>
      <c r="E13" s="1860"/>
      <c r="F13" s="1861"/>
      <c r="G13" s="1861"/>
      <c r="H13" s="1861"/>
      <c r="I13" s="1861"/>
      <c r="J13" s="1861"/>
      <c r="K13" s="1861"/>
      <c r="L13" s="1861"/>
      <c r="M13" s="1861"/>
      <c r="N13" s="1862"/>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52"/>
      <c r="F14" s="1853"/>
      <c r="G14" s="1853"/>
      <c r="H14" s="1853"/>
      <c r="I14" s="1853"/>
      <c r="J14" s="1853"/>
      <c r="K14" s="1853"/>
      <c r="L14" s="1853"/>
      <c r="M14" s="1853"/>
      <c r="N14" s="1854"/>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52"/>
      <c r="F15" s="1853"/>
      <c r="G15" s="1853"/>
      <c r="H15" s="1853"/>
      <c r="I15" s="1853"/>
      <c r="J15" s="1853"/>
      <c r="K15" s="1853"/>
      <c r="L15" s="1853"/>
      <c r="M15" s="1853"/>
      <c r="N15" s="1854"/>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52"/>
      <c r="F16" s="1853"/>
      <c r="G16" s="1853"/>
      <c r="H16" s="1853"/>
      <c r="I16" s="1853"/>
      <c r="J16" s="1853"/>
      <c r="K16" s="1853"/>
      <c r="L16" s="1853"/>
      <c r="M16" s="1853"/>
      <c r="N16" s="1854"/>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52"/>
      <c r="F17" s="1853"/>
      <c r="G17" s="1853"/>
      <c r="H17" s="1853"/>
      <c r="I17" s="1853"/>
      <c r="J17" s="1853"/>
      <c r="K17" s="1853"/>
      <c r="L17" s="1853"/>
      <c r="M17" s="1853"/>
      <c r="N17" s="1854"/>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52"/>
      <c r="F18" s="1853"/>
      <c r="G18" s="1853"/>
      <c r="H18" s="1853"/>
      <c r="I18" s="1853"/>
      <c r="J18" s="1853"/>
      <c r="K18" s="1853"/>
      <c r="L18" s="1853"/>
      <c r="M18" s="1853"/>
      <c r="N18" s="1854"/>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52"/>
      <c r="F19" s="1853"/>
      <c r="G19" s="1853"/>
      <c r="H19" s="1853"/>
      <c r="I19" s="1853"/>
      <c r="J19" s="1853"/>
      <c r="K19" s="1853"/>
      <c r="L19" s="1853"/>
      <c r="M19" s="1853"/>
      <c r="N19" s="1854"/>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52"/>
      <c r="F20" s="1853"/>
      <c r="G20" s="1853"/>
      <c r="H20" s="1853"/>
      <c r="I20" s="1853"/>
      <c r="J20" s="1853"/>
      <c r="K20" s="1853"/>
      <c r="L20" s="1853"/>
      <c r="M20" s="1853"/>
      <c r="N20" s="1854"/>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52"/>
      <c r="F21" s="1853"/>
      <c r="G21" s="1853"/>
      <c r="H21" s="1853"/>
      <c r="I21" s="1853"/>
      <c r="J21" s="1853"/>
      <c r="K21" s="1853"/>
      <c r="L21" s="1853"/>
      <c r="M21" s="1853"/>
      <c r="N21" s="1854"/>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52"/>
      <c r="F22" s="1853"/>
      <c r="G22" s="1853"/>
      <c r="H22" s="1853"/>
      <c r="I22" s="1853"/>
      <c r="J22" s="1853"/>
      <c r="K22" s="1853"/>
      <c r="L22" s="1853"/>
      <c r="M22" s="1853"/>
      <c r="N22" s="1854"/>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52"/>
      <c r="F23" s="1853"/>
      <c r="G23" s="1853"/>
      <c r="H23" s="1853"/>
      <c r="I23" s="1853"/>
      <c r="J23" s="1853"/>
      <c r="K23" s="1853"/>
      <c r="L23" s="1853"/>
      <c r="M23" s="1853"/>
      <c r="N23" s="1854"/>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52"/>
      <c r="F24" s="1853"/>
      <c r="G24" s="1853"/>
      <c r="H24" s="1853"/>
      <c r="I24" s="1853"/>
      <c r="J24" s="1853"/>
      <c r="K24" s="1853"/>
      <c r="L24" s="1853"/>
      <c r="M24" s="1853"/>
      <c r="N24" s="1854"/>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52"/>
      <c r="F25" s="1853"/>
      <c r="G25" s="1853"/>
      <c r="H25" s="1853"/>
      <c r="I25" s="1853"/>
      <c r="J25" s="1853"/>
      <c r="K25" s="1853"/>
      <c r="L25" s="1853"/>
      <c r="M25" s="1853"/>
      <c r="N25" s="1854"/>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52"/>
      <c r="F26" s="1853"/>
      <c r="G26" s="1853"/>
      <c r="H26" s="1853"/>
      <c r="I26" s="1853"/>
      <c r="J26" s="1853"/>
      <c r="K26" s="1853"/>
      <c r="L26" s="1853"/>
      <c r="M26" s="1853"/>
      <c r="N26" s="1854"/>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52"/>
      <c r="F27" s="1853"/>
      <c r="G27" s="1853"/>
      <c r="H27" s="1853"/>
      <c r="I27" s="1853"/>
      <c r="J27" s="1853"/>
      <c r="K27" s="1853"/>
      <c r="L27" s="1853"/>
      <c r="M27" s="1853"/>
      <c r="N27" s="1854"/>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70"/>
      <c r="F28" s="1871"/>
      <c r="G28" s="1871"/>
      <c r="H28" s="1871"/>
      <c r="I28" s="1871"/>
      <c r="J28" s="1871"/>
      <c r="K28" s="1871"/>
      <c r="L28" s="1871"/>
      <c r="M28" s="1871"/>
      <c r="N28" s="1872"/>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70"/>
      <c r="F29" s="1871"/>
      <c r="G29" s="1871"/>
      <c r="H29" s="1871"/>
      <c r="I29" s="1871"/>
      <c r="J29" s="1871"/>
      <c r="K29" s="1871"/>
      <c r="L29" s="1871"/>
      <c r="M29" s="1871"/>
      <c r="N29" s="1872"/>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70"/>
      <c r="F30" s="1871"/>
      <c r="G30" s="1871"/>
      <c r="H30" s="1871"/>
      <c r="I30" s="1871"/>
      <c r="J30" s="1871"/>
      <c r="K30" s="1871"/>
      <c r="L30" s="1871"/>
      <c r="M30" s="1871"/>
      <c r="N30" s="1872"/>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70"/>
      <c r="F31" s="1871"/>
      <c r="G31" s="1871"/>
      <c r="H31" s="1871"/>
      <c r="I31" s="1871"/>
      <c r="J31" s="1871"/>
      <c r="K31" s="1871"/>
      <c r="L31" s="1871"/>
      <c r="M31" s="1871"/>
      <c r="N31" s="1872"/>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70"/>
      <c r="F32" s="1871"/>
      <c r="G32" s="1871"/>
      <c r="H32" s="1871"/>
      <c r="I32" s="1871"/>
      <c r="J32" s="1871"/>
      <c r="K32" s="1871"/>
      <c r="L32" s="1871"/>
      <c r="M32" s="1871"/>
      <c r="N32" s="1872"/>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70"/>
      <c r="F33" s="1871"/>
      <c r="G33" s="1871"/>
      <c r="H33" s="1871"/>
      <c r="I33" s="1871"/>
      <c r="J33" s="1871"/>
      <c r="K33" s="1871"/>
      <c r="L33" s="1871"/>
      <c r="M33" s="1871"/>
      <c r="N33" s="1872"/>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70"/>
      <c r="F34" s="1871"/>
      <c r="G34" s="1871"/>
      <c r="H34" s="1871"/>
      <c r="I34" s="1871"/>
      <c r="J34" s="1871"/>
      <c r="K34" s="1871"/>
      <c r="L34" s="1871"/>
      <c r="M34" s="1871"/>
      <c r="N34" s="1872"/>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52"/>
      <c r="F35" s="1853"/>
      <c r="G35" s="1853"/>
      <c r="H35" s="1853"/>
      <c r="I35" s="1853"/>
      <c r="J35" s="1853"/>
      <c r="K35" s="1853"/>
      <c r="L35" s="1853"/>
      <c r="M35" s="1853"/>
      <c r="N35" s="1854"/>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52"/>
      <c r="F36" s="1853"/>
      <c r="G36" s="1853"/>
      <c r="H36" s="1853"/>
      <c r="I36" s="1853"/>
      <c r="J36" s="1853"/>
      <c r="K36" s="1853"/>
      <c r="L36" s="1853"/>
      <c r="M36" s="1853"/>
      <c r="N36" s="1854"/>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52"/>
      <c r="F37" s="1853"/>
      <c r="G37" s="1853"/>
      <c r="H37" s="1853"/>
      <c r="I37" s="1853"/>
      <c r="J37" s="1853"/>
      <c r="K37" s="1853"/>
      <c r="L37" s="1853"/>
      <c r="M37" s="1853"/>
      <c r="N37" s="1854"/>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52"/>
      <c r="F38" s="1853"/>
      <c r="G38" s="1853"/>
      <c r="H38" s="1853"/>
      <c r="I38" s="1853"/>
      <c r="J38" s="1853"/>
      <c r="K38" s="1853"/>
      <c r="L38" s="1853"/>
      <c r="M38" s="1853"/>
      <c r="N38" s="1854"/>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52"/>
      <c r="F39" s="1853"/>
      <c r="G39" s="1853"/>
      <c r="H39" s="1853"/>
      <c r="I39" s="1853"/>
      <c r="J39" s="1853"/>
      <c r="K39" s="1853"/>
      <c r="L39" s="1853"/>
      <c r="M39" s="1853"/>
      <c r="N39" s="1854"/>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52"/>
      <c r="F40" s="1853"/>
      <c r="G40" s="1853"/>
      <c r="H40" s="1853"/>
      <c r="I40" s="1853"/>
      <c r="J40" s="1853"/>
      <c r="K40" s="1853"/>
      <c r="L40" s="1853"/>
      <c r="M40" s="1853"/>
      <c r="N40" s="1854"/>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52"/>
      <c r="F41" s="1853"/>
      <c r="G41" s="1853"/>
      <c r="H41" s="1853"/>
      <c r="I41" s="1853"/>
      <c r="J41" s="1853"/>
      <c r="K41" s="1853"/>
      <c r="L41" s="1853"/>
      <c r="M41" s="1853"/>
      <c r="N41" s="1854"/>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52"/>
      <c r="F42" s="1853"/>
      <c r="G42" s="1853"/>
      <c r="H42" s="1853"/>
      <c r="I42" s="1853"/>
      <c r="J42" s="1853"/>
      <c r="K42" s="1853"/>
      <c r="L42" s="1853"/>
      <c r="M42" s="1853"/>
      <c r="N42" s="1854"/>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52"/>
      <c r="F43" s="1853"/>
      <c r="G43" s="1853"/>
      <c r="H43" s="1853"/>
      <c r="I43" s="1853"/>
      <c r="J43" s="1853"/>
      <c r="K43" s="1853"/>
      <c r="L43" s="1853"/>
      <c r="M43" s="1853"/>
      <c r="N43" s="1854"/>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52"/>
      <c r="F44" s="1853"/>
      <c r="G44" s="1853"/>
      <c r="H44" s="1853"/>
      <c r="I44" s="1853"/>
      <c r="J44" s="1853"/>
      <c r="K44" s="1853"/>
      <c r="L44" s="1853"/>
      <c r="M44" s="1853"/>
      <c r="N44" s="1854"/>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52"/>
      <c r="F45" s="1853"/>
      <c r="G45" s="1853"/>
      <c r="H45" s="1853"/>
      <c r="I45" s="1853"/>
      <c r="J45" s="1853"/>
      <c r="K45" s="1853"/>
      <c r="L45" s="1853"/>
      <c r="M45" s="1853"/>
      <c r="N45" s="1854"/>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52"/>
      <c r="F46" s="1853"/>
      <c r="G46" s="1853"/>
      <c r="H46" s="1853"/>
      <c r="I46" s="1853"/>
      <c r="J46" s="1853"/>
      <c r="K46" s="1853"/>
      <c r="L46" s="1853"/>
      <c r="M46" s="1853"/>
      <c r="N46" s="1854"/>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52"/>
      <c r="F47" s="1853"/>
      <c r="G47" s="1853"/>
      <c r="H47" s="1853"/>
      <c r="I47" s="1853"/>
      <c r="J47" s="1853"/>
      <c r="K47" s="1853"/>
      <c r="L47" s="1853"/>
      <c r="M47" s="1853"/>
      <c r="N47" s="1854"/>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52"/>
      <c r="F48" s="1853"/>
      <c r="G48" s="1853"/>
      <c r="H48" s="1853"/>
      <c r="I48" s="1853"/>
      <c r="J48" s="1853"/>
      <c r="K48" s="1853"/>
      <c r="L48" s="1853"/>
      <c r="M48" s="1853"/>
      <c r="N48" s="1854"/>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64"/>
      <c r="F49" s="1865"/>
      <c r="G49" s="1865"/>
      <c r="H49" s="1865"/>
      <c r="I49" s="1865"/>
      <c r="J49" s="1865"/>
      <c r="K49" s="1865"/>
      <c r="L49" s="1865"/>
      <c r="M49" s="1865"/>
      <c r="N49" s="1866"/>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399" priority="1" stopIfTrue="1" operator="equal">
      <formula>""</formula>
    </cfRule>
  </conditionalFormatting>
  <conditionalFormatting sqref="E13:N49">
    <cfRule type="expression" dxfId="1398"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 xml:space="preserve"> of 28</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c r="C13" s="1502"/>
      <c r="D13" s="1502"/>
      <c r="E13" s="1502"/>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c r="B14" s="1490"/>
      <c r="C14" s="1491"/>
      <c r="D14" s="1491"/>
      <c r="E14" s="1491"/>
      <c r="F14" s="1491"/>
      <c r="G14" s="1491"/>
      <c r="H14" s="1491"/>
      <c r="I14" s="1491"/>
      <c r="J14" s="1491"/>
      <c r="K14" s="1491"/>
      <c r="L14" s="1491"/>
      <c r="M14" s="1491"/>
      <c r="N14" s="1491"/>
      <c r="O14" s="1492"/>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c r="B15" s="1494"/>
      <c r="C15" s="1495"/>
      <c r="D15" s="1495"/>
      <c r="E15" s="1495"/>
      <c r="F15" s="1495"/>
      <c r="G15" s="1495"/>
      <c r="H15" s="1495"/>
      <c r="I15" s="1495"/>
      <c r="J15" s="1495"/>
      <c r="K15" s="1495"/>
      <c r="L15" s="1495"/>
      <c r="M15" s="1495"/>
      <c r="N15" s="1495"/>
      <c r="O15" s="1496"/>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3"/>
      <c r="B16" s="1494"/>
      <c r="C16" s="1495"/>
      <c r="D16" s="1495"/>
      <c r="E16" s="1495"/>
      <c r="F16" s="1495"/>
      <c r="G16" s="1495"/>
      <c r="H16" s="1495"/>
      <c r="I16" s="1495"/>
      <c r="J16" s="1495"/>
      <c r="K16" s="1495"/>
      <c r="L16" s="1495"/>
      <c r="M16" s="1495"/>
      <c r="N16" s="1495"/>
      <c r="O16" s="1496"/>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3"/>
      <c r="B17" s="1494"/>
      <c r="C17" s="1495"/>
      <c r="D17" s="1495"/>
      <c r="E17" s="1495"/>
      <c r="F17" s="1495"/>
      <c r="G17" s="1495"/>
      <c r="H17" s="1495"/>
      <c r="I17" s="1495"/>
      <c r="J17" s="1495"/>
      <c r="K17" s="1495"/>
      <c r="L17" s="1495"/>
      <c r="M17" s="1495"/>
      <c r="N17" s="1495"/>
      <c r="O17" s="1496"/>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3"/>
      <c r="B18" s="1494"/>
      <c r="C18" s="1495"/>
      <c r="D18" s="1495"/>
      <c r="E18" s="1495"/>
      <c r="F18" s="1495"/>
      <c r="G18" s="1495"/>
      <c r="H18" s="1495"/>
      <c r="I18" s="1495"/>
      <c r="J18" s="1495"/>
      <c r="K18" s="1495"/>
      <c r="L18" s="1495"/>
      <c r="M18" s="1495"/>
      <c r="N18" s="1495"/>
      <c r="O18" s="1496"/>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3"/>
      <c r="B19" s="1494"/>
      <c r="C19" s="1495"/>
      <c r="D19" s="1495"/>
      <c r="E19" s="1495"/>
      <c r="F19" s="1495"/>
      <c r="G19" s="1495"/>
      <c r="H19" s="1495"/>
      <c r="I19" s="1495"/>
      <c r="J19" s="1495"/>
      <c r="K19" s="1495"/>
      <c r="L19" s="1495"/>
      <c r="M19" s="1495"/>
      <c r="N19" s="1495"/>
      <c r="O19" s="1496"/>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3"/>
      <c r="B20" s="1494"/>
      <c r="C20" s="1495"/>
      <c r="D20" s="1495"/>
      <c r="E20" s="1495"/>
      <c r="F20" s="1495"/>
      <c r="G20" s="1495"/>
      <c r="H20" s="1495"/>
      <c r="I20" s="1495"/>
      <c r="J20" s="1495"/>
      <c r="K20" s="1495"/>
      <c r="L20" s="1495"/>
      <c r="M20" s="1495"/>
      <c r="N20" s="1495"/>
      <c r="O20" s="1496"/>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3"/>
      <c r="B21" s="1494"/>
      <c r="C21" s="1495"/>
      <c r="D21" s="1495"/>
      <c r="E21" s="1495"/>
      <c r="F21" s="1495"/>
      <c r="G21" s="1495"/>
      <c r="H21" s="1495"/>
      <c r="I21" s="1495"/>
      <c r="J21" s="1495"/>
      <c r="K21" s="1495"/>
      <c r="L21" s="1495"/>
      <c r="M21" s="1495"/>
      <c r="N21" s="1495"/>
      <c r="O21" s="1496"/>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3"/>
      <c r="B22" s="1494"/>
      <c r="C22" s="1495"/>
      <c r="D22" s="1495"/>
      <c r="E22" s="1495"/>
      <c r="F22" s="1495"/>
      <c r="G22" s="1495"/>
      <c r="H22" s="1495"/>
      <c r="I22" s="1495"/>
      <c r="J22" s="1495"/>
      <c r="K22" s="1495"/>
      <c r="L22" s="1495"/>
      <c r="M22" s="1495"/>
      <c r="N22" s="1495"/>
      <c r="O22" s="1496"/>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3"/>
      <c r="B23" s="1494"/>
      <c r="C23" s="1495"/>
      <c r="D23" s="1495"/>
      <c r="E23" s="1495"/>
      <c r="F23" s="1495"/>
      <c r="G23" s="1495"/>
      <c r="H23" s="1495"/>
      <c r="I23" s="1495"/>
      <c r="J23" s="1495"/>
      <c r="K23" s="1495"/>
      <c r="L23" s="1495"/>
      <c r="M23" s="1495"/>
      <c r="N23" s="1495"/>
      <c r="O23" s="1496"/>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3"/>
      <c r="B24" s="1494"/>
      <c r="C24" s="1495"/>
      <c r="D24" s="1495"/>
      <c r="E24" s="1495"/>
      <c r="F24" s="1495"/>
      <c r="G24" s="1495"/>
      <c r="H24" s="1495"/>
      <c r="I24" s="1495"/>
      <c r="J24" s="1495"/>
      <c r="K24" s="1495"/>
      <c r="L24" s="1495"/>
      <c r="M24" s="1495"/>
      <c r="N24" s="1495"/>
      <c r="O24" s="1496"/>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3"/>
      <c r="B25" s="1494"/>
      <c r="C25" s="1495"/>
      <c r="D25" s="1495"/>
      <c r="E25" s="1495"/>
      <c r="F25" s="1495"/>
      <c r="G25" s="1495"/>
      <c r="H25" s="1495"/>
      <c r="I25" s="1495"/>
      <c r="J25" s="1495"/>
      <c r="K25" s="1495"/>
      <c r="L25" s="1495"/>
      <c r="M25" s="1495"/>
      <c r="N25" s="1495"/>
      <c r="O25" s="1496"/>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3"/>
      <c r="B26" s="1494"/>
      <c r="C26" s="1495"/>
      <c r="D26" s="1495"/>
      <c r="E26" s="1495"/>
      <c r="F26" s="1495"/>
      <c r="G26" s="1495"/>
      <c r="H26" s="1495"/>
      <c r="I26" s="1495"/>
      <c r="J26" s="1495"/>
      <c r="K26" s="1495"/>
      <c r="L26" s="1495"/>
      <c r="M26" s="1495"/>
      <c r="N26" s="1495"/>
      <c r="O26" s="1496"/>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3"/>
      <c r="B27" s="1494"/>
      <c r="C27" s="1495"/>
      <c r="D27" s="1495"/>
      <c r="E27" s="1495"/>
      <c r="F27" s="1495"/>
      <c r="G27" s="1495"/>
      <c r="H27" s="1495"/>
      <c r="I27" s="1495"/>
      <c r="J27" s="1495"/>
      <c r="K27" s="1495"/>
      <c r="L27" s="1495"/>
      <c r="M27" s="1495"/>
      <c r="N27" s="1495"/>
      <c r="O27" s="1496"/>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3"/>
      <c r="B28" s="1494"/>
      <c r="C28" s="1495"/>
      <c r="D28" s="1495"/>
      <c r="E28" s="1495"/>
      <c r="F28" s="1495"/>
      <c r="G28" s="1495"/>
      <c r="H28" s="1495"/>
      <c r="I28" s="1495"/>
      <c r="J28" s="1495"/>
      <c r="K28" s="1495"/>
      <c r="L28" s="1495"/>
      <c r="M28" s="1495"/>
      <c r="N28" s="1495"/>
      <c r="O28" s="1496"/>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3"/>
      <c r="B29" s="1494"/>
      <c r="C29" s="1495"/>
      <c r="D29" s="1495"/>
      <c r="E29" s="1495"/>
      <c r="F29" s="1495"/>
      <c r="G29" s="1495"/>
      <c r="H29" s="1495"/>
      <c r="I29" s="1495"/>
      <c r="J29" s="1495"/>
      <c r="K29" s="1495"/>
      <c r="L29" s="1495"/>
      <c r="M29" s="1495"/>
      <c r="N29" s="1495"/>
      <c r="O29" s="1496"/>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3"/>
      <c r="B30" s="1494"/>
      <c r="C30" s="1495"/>
      <c r="D30" s="1495"/>
      <c r="E30" s="1495"/>
      <c r="F30" s="1495"/>
      <c r="G30" s="1495"/>
      <c r="H30" s="1495"/>
      <c r="I30" s="1495"/>
      <c r="J30" s="1495"/>
      <c r="K30" s="1495"/>
      <c r="L30" s="1495"/>
      <c r="M30" s="1495"/>
      <c r="N30" s="1495"/>
      <c r="O30" s="1496"/>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3"/>
      <c r="B31" s="1494"/>
      <c r="C31" s="1495"/>
      <c r="D31" s="1495"/>
      <c r="E31" s="1495"/>
      <c r="F31" s="1495"/>
      <c r="G31" s="1495"/>
      <c r="H31" s="1495"/>
      <c r="I31" s="1495"/>
      <c r="J31" s="1495"/>
      <c r="K31" s="1495"/>
      <c r="L31" s="1495"/>
      <c r="M31" s="1495"/>
      <c r="N31" s="1495"/>
      <c r="O31" s="1496"/>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3"/>
      <c r="B32" s="1494"/>
      <c r="C32" s="1495"/>
      <c r="D32" s="1495"/>
      <c r="E32" s="1495"/>
      <c r="F32" s="1495"/>
      <c r="G32" s="1495"/>
      <c r="H32" s="1495"/>
      <c r="I32" s="1495"/>
      <c r="J32" s="1495"/>
      <c r="K32" s="1495"/>
      <c r="L32" s="1495"/>
      <c r="M32" s="1495"/>
      <c r="N32" s="1495"/>
      <c r="O32" s="1496"/>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3"/>
      <c r="B33" s="1494"/>
      <c r="C33" s="1495"/>
      <c r="D33" s="1495"/>
      <c r="E33" s="1495"/>
      <c r="F33" s="1495"/>
      <c r="G33" s="1495"/>
      <c r="H33" s="1495"/>
      <c r="I33" s="1495"/>
      <c r="J33" s="1495"/>
      <c r="K33" s="1495"/>
      <c r="L33" s="1495"/>
      <c r="M33" s="1495"/>
      <c r="N33" s="1495"/>
      <c r="O33" s="1496"/>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3"/>
      <c r="B34" s="1494"/>
      <c r="C34" s="1495"/>
      <c r="D34" s="1495"/>
      <c r="E34" s="1495"/>
      <c r="F34" s="1495"/>
      <c r="G34" s="1495"/>
      <c r="H34" s="1495"/>
      <c r="I34" s="1495"/>
      <c r="J34" s="1495"/>
      <c r="K34" s="1495"/>
      <c r="L34" s="1495"/>
      <c r="M34" s="1495"/>
      <c r="N34" s="1495"/>
      <c r="O34" s="1496"/>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3"/>
      <c r="B35" s="1494"/>
      <c r="C35" s="1495"/>
      <c r="D35" s="1495"/>
      <c r="E35" s="1495"/>
      <c r="F35" s="1495"/>
      <c r="G35" s="1495"/>
      <c r="H35" s="1495"/>
      <c r="I35" s="1495"/>
      <c r="J35" s="1495"/>
      <c r="K35" s="1495"/>
      <c r="L35" s="1495"/>
      <c r="M35" s="1495"/>
      <c r="N35" s="1495"/>
      <c r="O35" s="1496"/>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3"/>
      <c r="B36" s="1494"/>
      <c r="C36" s="1495"/>
      <c r="D36" s="1495"/>
      <c r="E36" s="1495"/>
      <c r="F36" s="1495"/>
      <c r="G36" s="1495"/>
      <c r="H36" s="1495"/>
      <c r="I36" s="1495"/>
      <c r="J36" s="1495"/>
      <c r="K36" s="1495"/>
      <c r="L36" s="1495"/>
      <c r="M36" s="1495"/>
      <c r="N36" s="1495"/>
      <c r="O36" s="1496"/>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3"/>
      <c r="B37" s="1494"/>
      <c r="C37" s="1495"/>
      <c r="D37" s="1495"/>
      <c r="E37" s="1495"/>
      <c r="F37" s="1495"/>
      <c r="G37" s="1495"/>
      <c r="H37" s="1495"/>
      <c r="I37" s="1495"/>
      <c r="J37" s="1495"/>
      <c r="K37" s="1495"/>
      <c r="L37" s="1495"/>
      <c r="M37" s="1495"/>
      <c r="N37" s="1495"/>
      <c r="O37" s="1496"/>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3"/>
      <c r="B38" s="1494"/>
      <c r="C38" s="1495"/>
      <c r="D38" s="1495"/>
      <c r="E38" s="1495"/>
      <c r="F38" s="1495"/>
      <c r="G38" s="1495"/>
      <c r="H38" s="1495"/>
      <c r="I38" s="1495"/>
      <c r="J38" s="1495"/>
      <c r="K38" s="1495"/>
      <c r="L38" s="1495"/>
      <c r="M38" s="1495"/>
      <c r="N38" s="1495"/>
      <c r="O38" s="1496"/>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3"/>
      <c r="B39" s="1494"/>
      <c r="C39" s="1495"/>
      <c r="D39" s="1495"/>
      <c r="E39" s="1495"/>
      <c r="F39" s="1495"/>
      <c r="G39" s="1495"/>
      <c r="H39" s="1495"/>
      <c r="I39" s="1495"/>
      <c r="J39" s="1495"/>
      <c r="K39" s="1495"/>
      <c r="L39" s="1495"/>
      <c r="M39" s="1495"/>
      <c r="N39" s="1495"/>
      <c r="O39" s="1496"/>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3"/>
      <c r="B40" s="1494"/>
      <c r="C40" s="1495"/>
      <c r="D40" s="1495"/>
      <c r="E40" s="1495"/>
      <c r="F40" s="1495"/>
      <c r="G40" s="1495"/>
      <c r="H40" s="1495"/>
      <c r="I40" s="1495"/>
      <c r="J40" s="1495"/>
      <c r="K40" s="1495"/>
      <c r="L40" s="1495"/>
      <c r="M40" s="1495"/>
      <c r="N40" s="1495"/>
      <c r="O40" s="1496"/>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3"/>
      <c r="B41" s="1494"/>
      <c r="C41" s="1495"/>
      <c r="D41" s="1495"/>
      <c r="E41" s="1495"/>
      <c r="F41" s="1495"/>
      <c r="G41" s="1495"/>
      <c r="H41" s="1495"/>
      <c r="I41" s="1495"/>
      <c r="J41" s="1495"/>
      <c r="K41" s="1495"/>
      <c r="L41" s="1495"/>
      <c r="M41" s="1495"/>
      <c r="N41" s="1495"/>
      <c r="O41" s="1496"/>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3"/>
      <c r="B42" s="1494"/>
      <c r="C42" s="1495"/>
      <c r="D42" s="1495"/>
      <c r="E42" s="1495"/>
      <c r="F42" s="1495"/>
      <c r="G42" s="1495"/>
      <c r="H42" s="1495"/>
      <c r="I42" s="1495"/>
      <c r="J42" s="1495"/>
      <c r="K42" s="1495"/>
      <c r="L42" s="1495"/>
      <c r="M42" s="1495"/>
      <c r="N42" s="1495"/>
      <c r="O42" s="1496"/>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3"/>
      <c r="B43" s="1494"/>
      <c r="C43" s="1495"/>
      <c r="D43" s="1495"/>
      <c r="E43" s="1495"/>
      <c r="F43" s="1495"/>
      <c r="G43" s="1495"/>
      <c r="H43" s="1495"/>
      <c r="I43" s="1495"/>
      <c r="J43" s="1495"/>
      <c r="K43" s="1495"/>
      <c r="L43" s="1495"/>
      <c r="M43" s="1495"/>
      <c r="N43" s="1495"/>
      <c r="O43" s="1496"/>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3"/>
      <c r="B44" s="1494"/>
      <c r="C44" s="1495"/>
      <c r="D44" s="1495"/>
      <c r="E44" s="1495"/>
      <c r="F44" s="1495"/>
      <c r="G44" s="1495"/>
      <c r="H44" s="1495"/>
      <c r="I44" s="1495"/>
      <c r="J44" s="1495"/>
      <c r="K44" s="1495"/>
      <c r="L44" s="1495"/>
      <c r="M44" s="1495"/>
      <c r="N44" s="1495"/>
      <c r="O44" s="1496"/>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3"/>
      <c r="B45" s="1494"/>
      <c r="C45" s="1495"/>
      <c r="D45" s="1495"/>
      <c r="E45" s="1495"/>
      <c r="F45" s="1495"/>
      <c r="G45" s="1495"/>
      <c r="H45" s="1495"/>
      <c r="I45" s="1495"/>
      <c r="J45" s="1495"/>
      <c r="K45" s="1495"/>
      <c r="L45" s="1495"/>
      <c r="M45" s="1495"/>
      <c r="N45" s="1495"/>
      <c r="O45" s="1496"/>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3"/>
      <c r="B46" s="1494"/>
      <c r="C46" s="1495"/>
      <c r="D46" s="1495"/>
      <c r="E46" s="1495"/>
      <c r="F46" s="1495"/>
      <c r="G46" s="1495"/>
      <c r="H46" s="1495"/>
      <c r="I46" s="1495"/>
      <c r="J46" s="1495"/>
      <c r="K46" s="1495"/>
      <c r="L46" s="1495"/>
      <c r="M46" s="1495"/>
      <c r="N46" s="1495"/>
      <c r="O46" s="1496"/>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3"/>
      <c r="B47" s="1494"/>
      <c r="C47" s="1495"/>
      <c r="D47" s="1495"/>
      <c r="E47" s="1495"/>
      <c r="F47" s="1495"/>
      <c r="G47" s="1495"/>
      <c r="H47" s="1495"/>
      <c r="I47" s="1495"/>
      <c r="J47" s="1495"/>
      <c r="K47" s="1495"/>
      <c r="L47" s="1495"/>
      <c r="M47" s="1495"/>
      <c r="N47" s="1495"/>
      <c r="O47" s="1496"/>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3"/>
      <c r="B48" s="1494"/>
      <c r="C48" s="1495"/>
      <c r="D48" s="1495"/>
      <c r="E48" s="1495"/>
      <c r="F48" s="1495"/>
      <c r="G48" s="1495"/>
      <c r="H48" s="1495"/>
      <c r="I48" s="1495"/>
      <c r="J48" s="1495"/>
      <c r="K48" s="1495"/>
      <c r="L48" s="1495"/>
      <c r="M48" s="1495"/>
      <c r="N48" s="1495"/>
      <c r="O48" s="1496"/>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7"/>
      <c r="B49" s="1498"/>
      <c r="C49" s="1499"/>
      <c r="D49" s="1499"/>
      <c r="E49" s="1499"/>
      <c r="F49" s="1499"/>
      <c r="G49" s="1499"/>
      <c r="H49" s="1499"/>
      <c r="I49" s="1499"/>
      <c r="J49" s="1499"/>
      <c r="K49" s="1499"/>
      <c r="L49" s="1499"/>
      <c r="M49" s="1499"/>
      <c r="N49" s="1499"/>
      <c r="O49" s="1500"/>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397" priority="2">
      <formula>OR(A14="Girder",A14="Girders",A14="Joist",A14="Joists",A14="Bridging")</formula>
    </cfRule>
    <cfRule type="expression" dxfId="1396" priority="3">
      <formula>AND(P14&gt;0,ISBLANK(AF14),OR($R$1="",$R$1="M"))</formula>
    </cfRule>
    <cfRule type="expression" dxfId="1395" priority="11">
      <formula>$AH14</formula>
    </cfRule>
  </conditionalFormatting>
  <conditionalFormatting sqref="H2:J4">
    <cfRule type="cellIs" dxfId="1394" priority="9" stopIfTrue="1" operator="equal">
      <formula>""</formula>
    </cfRule>
  </conditionalFormatting>
  <conditionalFormatting sqref="B14:O49">
    <cfRule type="expression" dxfId="1393" priority="4">
      <formula>IF($R$1="M",AND(B14&gt;R14,R14&gt;0),B14&lt;R14)</formula>
    </cfRule>
    <cfRule type="expression" dxfId="1392" priority="7">
      <formula>OR(AND($R$1="M",NOT($S$1),B14=R14),B14="-")</formula>
    </cfRule>
    <cfRule type="expression" dxfId="1391" priority="8">
      <formula>IF(NOT(ISBLANK($R$1)),IF($R$1="M",IF(ISTEXT(B14),0,B14)&lt;R14,IF(ISTEXT(B14),0,B14)&gt;R14))</formula>
    </cfRule>
    <cfRule type="expression" dxfId="1390" priority="10">
      <formula>OR($AH14,B$63)</formula>
    </cfRule>
  </conditionalFormatting>
  <conditionalFormatting sqref="B13:O13">
    <cfRule type="expression" dxfId="1389" priority="1">
      <formula>AND(NOT(ISBLANK(B$13)),ISERROR(MATCH(B$13,$AK:$AK,0)))</formula>
    </cfRule>
    <cfRule type="expression" dxfId="1388"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topLeftCell="CB1" zoomScaleNormal="100" zoomScaleSheetLayoutView="50" workbookViewId="0">
      <selection activeCell="CB28" sqref="CB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2113" t="str">
        <f>Q1</f>
        <v>Master</v>
      </c>
      <c r="AV1" s="2113"/>
      <c r="AW1" s="2113"/>
      <c r="AX1" s="2113"/>
      <c r="AY1" s="382"/>
      <c r="AZ1" s="382"/>
      <c r="BA1" s="2117" t="s">
        <v>95</v>
      </c>
      <c r="BB1" s="2117"/>
      <c r="BC1" s="2117"/>
      <c r="BD1" s="1805" t="str">
        <f ca="1">'Job Info.'!D12</f>
        <v>775-428-0600</v>
      </c>
      <c r="BE1" s="1805"/>
      <c r="BF1" s="180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34" t="s">
        <v>40</v>
      </c>
      <c r="HB2" s="1935" t="s">
        <v>130</v>
      </c>
      <c r="HC2" s="1935" t="s">
        <v>31</v>
      </c>
      <c r="HD2" s="1935" t="s">
        <v>25</v>
      </c>
      <c r="HE2" s="1936"/>
      <c r="HF2" s="1937" t="s">
        <v>88</v>
      </c>
      <c r="HG2" s="1910" t="s">
        <v>9</v>
      </c>
      <c r="HH2" s="1908"/>
      <c r="HI2" s="1908"/>
      <c r="HJ2" s="1908" t="s">
        <v>10</v>
      </c>
      <c r="HK2" s="1908"/>
      <c r="HL2" s="1911"/>
      <c r="HM2" s="1938" t="s">
        <v>11</v>
      </c>
      <c r="HN2" s="1939"/>
      <c r="HO2" s="1940" t="s">
        <v>12</v>
      </c>
      <c r="HP2" s="1905"/>
      <c r="HQ2" s="1905" t="s">
        <v>13</v>
      </c>
      <c r="HR2" s="1906"/>
      <c r="HS2" s="1907" t="s">
        <v>14</v>
      </c>
      <c r="HT2" s="1908"/>
      <c r="HU2" s="1908"/>
      <c r="HV2" s="1908"/>
      <c r="HW2" s="1909"/>
      <c r="HX2" s="1910" t="s">
        <v>111</v>
      </c>
      <c r="HY2" s="1911"/>
      <c r="HZ2" s="1117" t="s">
        <v>15</v>
      </c>
      <c r="IA2" s="1912" t="s">
        <v>939</v>
      </c>
      <c r="IB2" s="243"/>
      <c r="IC2" s="243"/>
      <c r="ID2" s="243"/>
      <c r="IE2" s="243"/>
      <c r="IF2" s="2090" t="s">
        <v>62</v>
      </c>
      <c r="IG2" s="2120" t="s">
        <v>32</v>
      </c>
      <c r="IH2" s="2121"/>
      <c r="II2" s="1911" t="s">
        <v>34</v>
      </c>
      <c r="IJ2" s="2108"/>
      <c r="IK2" s="1910"/>
      <c r="IL2" s="2120" t="s">
        <v>35</v>
      </c>
      <c r="IM2" s="2121"/>
      <c r="IN2" s="2135" t="s">
        <v>63</v>
      </c>
      <c r="IO2" s="2104" t="s">
        <v>737</v>
      </c>
      <c r="IP2" s="2105"/>
      <c r="IQ2" s="2105"/>
      <c r="IR2" s="2105"/>
      <c r="IS2" s="2105"/>
      <c r="IT2" s="2106"/>
      <c r="IU2" s="2108" t="s">
        <v>82</v>
      </c>
      <c r="IV2" s="2108"/>
      <c r="IW2" s="2108"/>
      <c r="IX2" s="2108"/>
      <c r="IY2" s="2108"/>
      <c r="IZ2" s="2108"/>
      <c r="JA2" s="2108"/>
      <c r="JB2" s="2108"/>
      <c r="JC2" s="2108"/>
      <c r="JD2" s="2108"/>
      <c r="JE2" s="2108"/>
      <c r="JF2" s="2108"/>
      <c r="JG2" s="2108"/>
      <c r="JH2" s="2108"/>
      <c r="JI2" s="2108"/>
      <c r="JJ2" s="2132"/>
      <c r="JK2" s="2201"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66" t="s">
        <v>1107</v>
      </c>
      <c r="FH3" s="2167"/>
      <c r="FI3" s="2168"/>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34"/>
      <c r="HB3" s="1935"/>
      <c r="HC3" s="1935"/>
      <c r="HD3" s="1935"/>
      <c r="HE3" s="1936"/>
      <c r="HF3" s="1937"/>
      <c r="HG3" s="1914" t="s">
        <v>16</v>
      </c>
      <c r="HH3" s="1915"/>
      <c r="HI3" s="1103" t="s">
        <v>732</v>
      </c>
      <c r="HJ3" s="1915" t="s">
        <v>16</v>
      </c>
      <c r="HK3" s="1915"/>
      <c r="HL3" s="1065" t="s">
        <v>732</v>
      </c>
      <c r="HM3" s="1107" t="s">
        <v>18</v>
      </c>
      <c r="HN3" s="461" t="s">
        <v>19</v>
      </c>
      <c r="HO3" s="1940"/>
      <c r="HP3" s="1905"/>
      <c r="HQ3" s="1905"/>
      <c r="HR3" s="1906"/>
      <c r="HS3" s="1916" t="s">
        <v>80</v>
      </c>
      <c r="HT3" s="1915"/>
      <c r="HU3" s="1915" t="s">
        <v>81</v>
      </c>
      <c r="HV3" s="1915"/>
      <c r="HW3" s="461" t="s">
        <v>27</v>
      </c>
      <c r="HX3" s="1102" t="s">
        <v>112</v>
      </c>
      <c r="HY3" s="1065" t="s">
        <v>113</v>
      </c>
      <c r="HZ3" s="1118" t="s">
        <v>57</v>
      </c>
      <c r="IA3" s="1913"/>
      <c r="IB3" s="243"/>
      <c r="IC3" s="243"/>
      <c r="ID3" s="243"/>
      <c r="IE3" s="243"/>
      <c r="IF3" s="2091"/>
      <c r="IG3" s="2122"/>
      <c r="IH3" s="2123"/>
      <c r="II3" s="1103" t="s">
        <v>33</v>
      </c>
      <c r="IJ3" s="2109" t="s">
        <v>16</v>
      </c>
      <c r="IK3" s="1914"/>
      <c r="IL3" s="2122"/>
      <c r="IM3" s="2123"/>
      <c r="IN3" s="2136"/>
      <c r="IO3" s="1119" t="s">
        <v>738</v>
      </c>
      <c r="IP3" s="1104" t="s">
        <v>735</v>
      </c>
      <c r="IQ3" s="1104" t="s">
        <v>736</v>
      </c>
      <c r="IR3" s="1108" t="s">
        <v>60</v>
      </c>
      <c r="IS3" s="1106" t="s">
        <v>739</v>
      </c>
      <c r="IT3" s="1120" t="s">
        <v>740</v>
      </c>
      <c r="IU3" s="2131" t="s">
        <v>58</v>
      </c>
      <c r="IV3" s="1914"/>
      <c r="IW3" s="1121" t="s">
        <v>63</v>
      </c>
      <c r="IX3" s="1122" t="s">
        <v>59</v>
      </c>
      <c r="IY3" s="2130" t="s">
        <v>58</v>
      </c>
      <c r="IZ3" s="1916"/>
      <c r="JA3" s="1121" t="s">
        <v>63</v>
      </c>
      <c r="JB3" s="1122" t="s">
        <v>59</v>
      </c>
      <c r="JC3" s="2130" t="s">
        <v>58</v>
      </c>
      <c r="JD3" s="1916"/>
      <c r="JE3" s="1121" t="s">
        <v>63</v>
      </c>
      <c r="JF3" s="1122" t="s">
        <v>59</v>
      </c>
      <c r="JG3" s="2130" t="s">
        <v>58</v>
      </c>
      <c r="JH3" s="1916"/>
      <c r="JI3" s="1121" t="s">
        <v>63</v>
      </c>
      <c r="JJ3" s="1122" t="s">
        <v>59</v>
      </c>
      <c r="JK3" s="2202"/>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14" t="str">
        <f>Q4</f>
        <v/>
      </c>
      <c r="AV4" s="2115"/>
      <c r="AW4" s="2115"/>
      <c r="AX4" s="2116"/>
      <c r="AY4" s="382"/>
      <c r="AZ4" s="382"/>
      <c r="BA4" s="2117" t="s">
        <v>97</v>
      </c>
      <c r="BB4" s="2117"/>
      <c r="BC4" s="2117"/>
      <c r="BD4" s="1805" t="str">
        <f ca="1">'Job Info.'!D15</f>
        <v>775-867-2060</v>
      </c>
      <c r="BE4" s="1805"/>
      <c r="BF4" s="180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2" t="s">
        <v>597</v>
      </c>
      <c r="HB4" s="2111" t="s">
        <v>130</v>
      </c>
      <c r="HC4" s="2009" t="s">
        <v>478</v>
      </c>
      <c r="HD4" s="2011" t="s">
        <v>479</v>
      </c>
      <c r="HE4" s="2012"/>
      <c r="HF4" s="1928" t="s">
        <v>611</v>
      </c>
      <c r="HG4" s="1922" t="s">
        <v>595</v>
      </c>
      <c r="HH4" s="1923"/>
      <c r="HI4" s="1922" t="s">
        <v>596</v>
      </c>
      <c r="HJ4" s="1923"/>
      <c r="HK4" s="1926" t="s">
        <v>488</v>
      </c>
      <c r="HL4" s="1932" t="s">
        <v>612</v>
      </c>
      <c r="HM4" s="1928" t="s">
        <v>611</v>
      </c>
      <c r="HN4" s="1922" t="s">
        <v>595</v>
      </c>
      <c r="HO4" s="1923"/>
      <c r="HP4" s="1922" t="s">
        <v>596</v>
      </c>
      <c r="HQ4" s="1923"/>
      <c r="HR4" s="1926" t="s">
        <v>488</v>
      </c>
      <c r="HS4" s="1932" t="s">
        <v>612</v>
      </c>
      <c r="HT4" s="1930" t="s">
        <v>552</v>
      </c>
      <c r="HU4" s="2094" t="s">
        <v>480</v>
      </c>
      <c r="HV4" s="2095"/>
      <c r="HW4" s="2096" t="s">
        <v>1155</v>
      </c>
      <c r="HX4" s="2096" t="s">
        <v>481</v>
      </c>
      <c r="HY4" s="1917" t="s">
        <v>636</v>
      </c>
      <c r="HZ4" s="1919" t="s">
        <v>637</v>
      </c>
      <c r="IA4" s="1921" t="s">
        <v>805</v>
      </c>
      <c r="IB4" s="1921"/>
      <c r="IC4" s="2110" t="s">
        <v>1021</v>
      </c>
      <c r="ID4" s="2110"/>
      <c r="IE4" s="243"/>
      <c r="IF4" s="2205" t="s">
        <v>1062</v>
      </c>
      <c r="IG4" s="2182" t="s">
        <v>32</v>
      </c>
      <c r="IH4" s="2183"/>
      <c r="II4" s="2164" t="s">
        <v>34</v>
      </c>
      <c r="IJ4" s="2163" t="s">
        <v>489</v>
      </c>
      <c r="IK4" s="2175"/>
      <c r="IL4" s="2203" t="s">
        <v>600</v>
      </c>
      <c r="IM4" s="2203" t="s">
        <v>601</v>
      </c>
      <c r="IN4" s="2175" t="s">
        <v>602</v>
      </c>
      <c r="IO4" s="2175" t="s">
        <v>603</v>
      </c>
      <c r="IP4" s="2175" t="s">
        <v>604</v>
      </c>
      <c r="IQ4" s="2199" t="s">
        <v>605</v>
      </c>
      <c r="IR4" s="2200"/>
      <c r="IS4" s="2025" t="s">
        <v>598</v>
      </c>
      <c r="IT4" s="2026"/>
      <c r="IU4" s="2164" t="s">
        <v>609</v>
      </c>
      <c r="IV4" s="2162" t="s">
        <v>599</v>
      </c>
      <c r="IW4" s="2025" t="s">
        <v>598</v>
      </c>
      <c r="IX4" s="2026"/>
      <c r="IY4" s="2164" t="s">
        <v>609</v>
      </c>
      <c r="IZ4" s="2162" t="s">
        <v>599</v>
      </c>
      <c r="JA4" s="2025" t="s">
        <v>598</v>
      </c>
      <c r="JB4" s="2026"/>
      <c r="JC4" s="2164" t="s">
        <v>609</v>
      </c>
      <c r="JD4" s="2162" t="s">
        <v>599</v>
      </c>
      <c r="JE4" s="2025" t="s">
        <v>598</v>
      </c>
      <c r="JF4" s="2026"/>
      <c r="JG4" s="2164" t="s">
        <v>609</v>
      </c>
      <c r="JH4" s="2201" t="s">
        <v>599</v>
      </c>
      <c r="JK4" s="2201" t="s">
        <v>1160</v>
      </c>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118"/>
      <c r="AD5" s="2118"/>
      <c r="AE5" s="2118"/>
      <c r="AF5" s="2118"/>
      <c r="AG5" s="2118"/>
      <c r="AH5" s="2118"/>
      <c r="AI5" s="2118"/>
      <c r="AJ5" s="2118"/>
      <c r="AK5" s="2118"/>
      <c r="AL5" s="2118"/>
      <c r="AM5" s="2118"/>
      <c r="AN5" s="2118"/>
      <c r="AO5" s="2118"/>
      <c r="AP5" s="2118"/>
      <c r="AQ5" s="2118"/>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3"/>
      <c r="HB5" s="2112"/>
      <c r="HC5" s="2010"/>
      <c r="HD5" s="2013"/>
      <c r="HE5" s="1931"/>
      <c r="HF5" s="1929"/>
      <c r="HG5" s="1924"/>
      <c r="HH5" s="1925"/>
      <c r="HI5" s="1924"/>
      <c r="HJ5" s="1925"/>
      <c r="HK5" s="1927"/>
      <c r="HL5" s="1933"/>
      <c r="HM5" s="1929"/>
      <c r="HN5" s="1924"/>
      <c r="HO5" s="1925"/>
      <c r="HP5" s="1924"/>
      <c r="HQ5" s="1925"/>
      <c r="HR5" s="1927"/>
      <c r="HS5" s="1933"/>
      <c r="HT5" s="1931"/>
      <c r="HU5" s="128" t="s">
        <v>418</v>
      </c>
      <c r="HV5" s="129" t="s">
        <v>553</v>
      </c>
      <c r="HW5" s="2097"/>
      <c r="HX5" s="2097"/>
      <c r="HY5" s="1918"/>
      <c r="HZ5" s="1920"/>
      <c r="IA5" s="810" t="s">
        <v>606</v>
      </c>
      <c r="IB5" s="811" t="s">
        <v>607</v>
      </c>
      <c r="IC5" s="496" t="s">
        <v>606</v>
      </c>
      <c r="ID5" s="497" t="s">
        <v>607</v>
      </c>
      <c r="IE5" s="243"/>
      <c r="IF5" s="2206"/>
      <c r="IG5" s="2184"/>
      <c r="IH5" s="2185"/>
      <c r="II5" s="2165"/>
      <c r="IJ5" s="2176"/>
      <c r="IK5" s="2177"/>
      <c r="IL5" s="2204"/>
      <c r="IM5" s="2204"/>
      <c r="IN5" s="2177"/>
      <c r="IO5" s="2177"/>
      <c r="IP5" s="2177"/>
      <c r="IQ5" s="520" t="s">
        <v>606</v>
      </c>
      <c r="IR5" s="521" t="s">
        <v>607</v>
      </c>
      <c r="IS5" s="545" t="s">
        <v>633</v>
      </c>
      <c r="IT5" s="546" t="s">
        <v>608</v>
      </c>
      <c r="IU5" s="2165"/>
      <c r="IV5" s="2163"/>
      <c r="IW5" s="545" t="s">
        <v>633</v>
      </c>
      <c r="IX5" s="546" t="s">
        <v>608</v>
      </c>
      <c r="IY5" s="2165"/>
      <c r="IZ5" s="2163"/>
      <c r="JA5" s="545" t="s">
        <v>633</v>
      </c>
      <c r="JB5" s="546" t="s">
        <v>608</v>
      </c>
      <c r="JC5" s="2165"/>
      <c r="JD5" s="2163"/>
      <c r="JE5" s="545" t="s">
        <v>633</v>
      </c>
      <c r="JF5" s="546" t="s">
        <v>608</v>
      </c>
      <c r="JG5" s="2165"/>
      <c r="JH5" s="2202"/>
      <c r="JK5" s="2202"/>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55" t="s">
        <v>639</v>
      </c>
      <c r="DI6" s="2191"/>
      <c r="DJ6" s="2191"/>
      <c r="DK6" s="2191"/>
      <c r="DL6" s="2191"/>
      <c r="DM6" s="2191"/>
      <c r="DN6" s="2191"/>
      <c r="DO6" s="2191"/>
      <c r="DP6" s="2191"/>
      <c r="DQ6" s="2191"/>
      <c r="DR6" s="2191"/>
      <c r="DS6" s="2191"/>
      <c r="DT6" s="2191"/>
      <c r="DU6" s="2191"/>
      <c r="DV6" s="2191"/>
      <c r="DW6" s="2191"/>
      <c r="DX6" s="2191"/>
      <c r="DY6" s="2191"/>
      <c r="DZ6" s="2191"/>
      <c r="EA6" s="2191"/>
      <c r="EB6" s="2191"/>
      <c r="EC6" s="2191"/>
      <c r="ED6" s="2191"/>
      <c r="EE6" s="2191"/>
      <c r="EF6" s="2191"/>
      <c r="EG6" s="2191"/>
      <c r="EH6" s="2191"/>
      <c r="EI6" s="2191"/>
      <c r="EJ6" s="2191"/>
      <c r="EK6" s="2192"/>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25" t="s">
        <v>26</v>
      </c>
      <c r="L7" s="2134"/>
      <c r="M7" s="2128" t="str">
        <f>IF(ISBLANK(DA20),"",DA20)</f>
        <v/>
      </c>
      <c r="N7" s="1971"/>
      <c r="O7" s="1971"/>
      <c r="P7" s="1971"/>
      <c r="Q7" s="1971"/>
      <c r="R7" s="1971"/>
      <c r="S7" s="1971"/>
      <c r="T7"/>
      <c r="U7"/>
      <c r="V7" s="2125" t="s">
        <v>21</v>
      </c>
      <c r="W7" s="2125"/>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 xml:space="preserve"> of 28</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193"/>
      <c r="DI7" s="2194"/>
      <c r="DJ7" s="2194"/>
      <c r="DK7" s="2194"/>
      <c r="DL7" s="2194"/>
      <c r="DM7" s="2194"/>
      <c r="DN7" s="2194"/>
      <c r="DO7" s="2194"/>
      <c r="DP7" s="2194"/>
      <c r="DQ7" s="2194"/>
      <c r="DR7" s="2194"/>
      <c r="DS7" s="2194"/>
      <c r="DT7" s="2194"/>
      <c r="DU7" s="2194"/>
      <c r="DV7" s="2194"/>
      <c r="DW7" s="2194"/>
      <c r="DX7" s="2194"/>
      <c r="DY7" s="2194"/>
      <c r="DZ7" s="2194"/>
      <c r="EA7" s="2194"/>
      <c r="EB7" s="2194"/>
      <c r="EC7" s="2194"/>
      <c r="ED7" s="2194"/>
      <c r="EE7" s="2194"/>
      <c r="EF7" s="2194"/>
      <c r="EG7" s="2194"/>
      <c r="EH7" s="2194"/>
      <c r="EI7" s="2194"/>
      <c r="EJ7" s="2194"/>
      <c r="EK7" s="2195"/>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124"/>
      <c r="B8" s="2124"/>
      <c r="C8" s="2124"/>
      <c r="D8" s="2124"/>
      <c r="E8" s="2124"/>
      <c r="F8" s="2124"/>
      <c r="G8" s="2124"/>
      <c r="H8" s="2124"/>
      <c r="I8" s="2124"/>
      <c r="J8" s="2124"/>
      <c r="K8" s="2124"/>
      <c r="L8" s="2124"/>
      <c r="M8" s="2124"/>
      <c r="N8" s="2124"/>
      <c r="O8" s="2124"/>
      <c r="P8" s="2124"/>
      <c r="Q8" s="2124"/>
      <c r="R8" s="2124"/>
      <c r="S8" s="2124"/>
      <c r="T8" s="2124"/>
      <c r="U8" s="2124"/>
      <c r="V8" s="2124"/>
      <c r="W8" s="2124"/>
      <c r="X8" s="2124"/>
      <c r="Y8" s="2124"/>
      <c r="Z8" s="2124"/>
      <c r="AA8" s="2124"/>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196"/>
      <c r="DI8" s="2197"/>
      <c r="DJ8" s="2197"/>
      <c r="DK8" s="2197"/>
      <c r="DL8" s="2197"/>
      <c r="DM8" s="2197"/>
      <c r="DN8" s="2197"/>
      <c r="DO8" s="2197"/>
      <c r="DP8" s="2197"/>
      <c r="DQ8" s="2197"/>
      <c r="DR8" s="2197"/>
      <c r="DS8" s="2197"/>
      <c r="DT8" s="2197"/>
      <c r="DU8" s="2197"/>
      <c r="DV8" s="2197"/>
      <c r="DW8" s="2197"/>
      <c r="DX8" s="2197"/>
      <c r="DY8" s="2197"/>
      <c r="DZ8" s="2197"/>
      <c r="EA8" s="2197"/>
      <c r="EB8" s="2197"/>
      <c r="EC8" s="2197"/>
      <c r="ED8" s="2197"/>
      <c r="EE8" s="2197"/>
      <c r="EF8" s="2197"/>
      <c r="EG8" s="2197"/>
      <c r="EH8" s="2197"/>
      <c r="EI8" s="2197"/>
      <c r="EJ8" s="2197"/>
      <c r="EK8" s="2198"/>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133"/>
      <c r="AD9" s="1878"/>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6" t="str">
        <f>T9</f>
        <v>9122-0050</v>
      </c>
      <c r="AY9" s="1796"/>
      <c r="AZ9" s="1796"/>
      <c r="BA9" s="1796"/>
      <c r="BB9" s="1796"/>
      <c r="BC9" s="1796"/>
      <c r="BD9" s="1796"/>
      <c r="BE9" s="1796"/>
      <c r="BF9" s="1796"/>
      <c r="BG9" s="1797"/>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133"/>
      <c r="AD10" s="1878"/>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6" t="str">
        <f>Z10</f>
        <v>NR</v>
      </c>
      <c r="BF10" s="1796"/>
      <c r="BG10" s="1797"/>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73"/>
      <c r="DI11" s="2241"/>
      <c r="DJ11" s="1971"/>
      <c r="DK11" s="1971"/>
      <c r="DL11" s="1971"/>
      <c r="DM11" s="1971"/>
      <c r="DN11" s="2242"/>
      <c r="DO11" s="2170"/>
      <c r="DP11" s="2209"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108" t="s">
        <v>82</v>
      </c>
      <c r="AS12" s="2108"/>
      <c r="AT12" s="2108"/>
      <c r="AU12" s="2108"/>
      <c r="AV12" s="2108"/>
      <c r="AW12" s="2108"/>
      <c r="AX12" s="2108"/>
      <c r="AY12" s="2108"/>
      <c r="AZ12" s="2108"/>
      <c r="BA12" s="2108"/>
      <c r="BB12" s="2108"/>
      <c r="BC12" s="2108"/>
      <c r="BD12" s="2108"/>
      <c r="BE12" s="2108"/>
      <c r="BF12" s="2108"/>
      <c r="BG12" s="2132"/>
      <c r="BH12" s="261"/>
      <c r="BJ12" s="117"/>
      <c r="BK12" s="117"/>
      <c r="BL12" s="117"/>
      <c r="BM12" s="117"/>
      <c r="BN12" s="117"/>
      <c r="BO12" s="117"/>
      <c r="BW12" s="2137" t="s">
        <v>630</v>
      </c>
      <c r="BX12" s="2138"/>
      <c r="BY12" s="2138"/>
      <c r="BZ12" s="2139"/>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73"/>
      <c r="DI12" s="2180" t="s">
        <v>1289</v>
      </c>
      <c r="DJ12" s="2182" t="s">
        <v>32</v>
      </c>
      <c r="DK12" s="2183"/>
      <c r="DL12" s="2164" t="s">
        <v>34</v>
      </c>
      <c r="DM12" s="2163" t="s">
        <v>489</v>
      </c>
      <c r="DN12" s="2175"/>
      <c r="DO12" s="2170"/>
      <c r="DP12" s="2209"/>
      <c r="DQ12" s="2186" t="s">
        <v>602</v>
      </c>
      <c r="DR12" s="2211"/>
      <c r="DS12" s="2186" t="s">
        <v>604</v>
      </c>
      <c r="DT12" s="2188" t="s">
        <v>605</v>
      </c>
      <c r="DU12" s="2189"/>
      <c r="DV12" s="2025" t="s">
        <v>598</v>
      </c>
      <c r="DW12" s="2026"/>
      <c r="DX12" s="2021" t="s">
        <v>1287</v>
      </c>
      <c r="DY12" s="2178" t="s">
        <v>1288</v>
      </c>
      <c r="DZ12" s="2025" t="s">
        <v>598</v>
      </c>
      <c r="EA12" s="2026"/>
      <c r="EB12" s="2021" t="s">
        <v>1287</v>
      </c>
      <c r="EC12" s="2178" t="s">
        <v>1288</v>
      </c>
      <c r="ED12" s="2025" t="s">
        <v>598</v>
      </c>
      <c r="EE12" s="2026"/>
      <c r="EF12" s="2021" t="s">
        <v>1287</v>
      </c>
      <c r="EG12" s="2178" t="s">
        <v>1288</v>
      </c>
      <c r="EH12" s="2025" t="s">
        <v>598</v>
      </c>
      <c r="EI12" s="2026"/>
      <c r="EJ12" s="2021" t="s">
        <v>1287</v>
      </c>
      <c r="EK12" s="2023" t="s">
        <v>1288</v>
      </c>
      <c r="EL12" s="141"/>
      <c r="EM12" s="2190"/>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34"/>
      <c r="AC13" s="2091"/>
      <c r="AD13" s="2122"/>
      <c r="AE13" s="2123"/>
      <c r="AF13" s="1103" t="s">
        <v>33</v>
      </c>
      <c r="AG13" s="2109" t="s">
        <v>16</v>
      </c>
      <c r="AH13" s="1914"/>
      <c r="AI13" s="2122"/>
      <c r="AJ13" s="2123"/>
      <c r="AK13" s="2136"/>
      <c r="AL13" s="1119" t="s">
        <v>738</v>
      </c>
      <c r="AM13" s="1104" t="s">
        <v>735</v>
      </c>
      <c r="AN13" s="1104" t="s">
        <v>736</v>
      </c>
      <c r="AO13" s="1108"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74"/>
      <c r="DI13" s="2181"/>
      <c r="DJ13" s="2184"/>
      <c r="DK13" s="2185"/>
      <c r="DL13" s="2165"/>
      <c r="DM13" s="2176"/>
      <c r="DN13" s="2177"/>
      <c r="DO13" s="2171"/>
      <c r="DP13" s="2210"/>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141"/>
      <c r="EM13" s="2190"/>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28" t="str">
        <f>IF(ISBLANK(DH14),"",DH14)</f>
        <v/>
      </c>
      <c r="AC14" s="1729" t="str">
        <f t="shared" ref="AC14:AC45" si="4">IF(ISBLANK(DI14),"",UPPER(DI14))</f>
        <v/>
      </c>
      <c r="AD14" s="1730" t="str">
        <f>IF(ISERROR(FV54),"",IF(FV54="","",TRUNC(FV54/12)))</f>
        <v/>
      </c>
      <c r="AE14" s="1731" t="str">
        <f>IF(ISERROR(FV54),"",IF(FV54="","",FV54-(AD14*12)))</f>
        <v/>
      </c>
      <c r="AF14" s="1729" t="str">
        <f>IF(ISERROR(FO54),"",IF(FO54="","",FO54))</f>
        <v/>
      </c>
      <c r="AG14" s="1730" t="str">
        <f>IF(ISERROR(FX54),"",IF(FX54="","",TRUNC(FX54/12)))</f>
        <v/>
      </c>
      <c r="AH14" s="1731" t="str">
        <f>IF(ISERROR(FX54),"",IF(FX54="","",FX54-(AG14*12)))</f>
        <v/>
      </c>
      <c r="AI14" s="1730" t="str">
        <f>IF(ISERROR(FZ54),"",IF(FZ54="","",TRUNC(FZ54/12)))</f>
        <v/>
      </c>
      <c r="AJ14" s="1731" t="str">
        <f>IF(ISERROR(FZ54),"",IF(FZ54="","",FZ54-(AI14*12)))</f>
        <v/>
      </c>
      <c r="AK14" s="1732" t="str">
        <f>IF(ISBLANK(DO14),"",DO14)</f>
        <v/>
      </c>
      <c r="AL14" s="1733" t="str">
        <f t="shared" ref="AL14:AL45" si="5">IF(ISBLANK(DP14),"",UPPER(DP14))</f>
        <v/>
      </c>
      <c r="AM14" s="1734" t="str">
        <f>IF(ISBLANK(DQ14),"",DQ14)</f>
        <v/>
      </c>
      <c r="AN14" s="1729" t="str">
        <f>IF(ISBLANK(DR14),"",DR14)</f>
        <v/>
      </c>
      <c r="AO14" s="1735" t="str">
        <f>IF(ISBLANK(DS14),"",DS14)</f>
        <v/>
      </c>
      <c r="AP14" s="1736" t="str">
        <f t="shared" ref="AP14:AP45" si="6">IF(ISERROR(GD54),"ERR",IF(OR(GD54="",GD54=0),"",GD54))</f>
        <v/>
      </c>
      <c r="AQ14" s="1737" t="str">
        <f t="shared" ref="AQ14:AQ45" si="7">IF(ISERROR(GE54),"ERR",IF(OR(GE54="",GE54=0),"",GE54))</f>
        <v/>
      </c>
      <c r="AR14" s="1738" t="str">
        <f>IF(ISERROR(GF54),"ERR",IF(GF54="","",IF(ISTEXT(GF54),"P",TRUNC(GF54/12))))</f>
        <v/>
      </c>
      <c r="AS14" s="1731" t="str">
        <f>IF(ISERROR(GF54),"",IF(GF54="","",IF(AR14="P",GF54,GF54-(AR14*12))))</f>
        <v/>
      </c>
      <c r="AT14" s="1739" t="str">
        <f>IF(ISBLANK(DX14),"",DX14)</f>
        <v/>
      </c>
      <c r="AU14" s="1740" t="str">
        <f t="shared" ref="AU14:AU45" si="8">IF(ISBLANK(DY14),"",UPPER(DY14))</f>
        <v/>
      </c>
      <c r="AV14" s="1704" t="str">
        <f>IF(ISERROR(GG54),"ERR",IF(GG54="","",IF(ISTEXT(GG54),"P",TRUNC(GG54/12))))</f>
        <v/>
      </c>
      <c r="AW14" s="1731" t="str">
        <f>IF(ISERROR(GG54),"",IF(GG54="","",IF(AV14="P",GG54,GG54-(AV14*12))))</f>
        <v/>
      </c>
      <c r="AX14" s="1739" t="str">
        <f>IF(ISBLANK(EB14),"",EB14)</f>
        <v/>
      </c>
      <c r="AY14" s="1740" t="str">
        <f t="shared" ref="AY14:AY45" si="9">IF(ISBLANK(EC14),"",UPPER(EC14))</f>
        <v/>
      </c>
      <c r="AZ14" s="1704" t="str">
        <f>IF(ISERROR(GH54),"ERR",IF(GH54="","",IF(ISTEXT(GH54),"P",TRUNC(GH54/12))))</f>
        <v/>
      </c>
      <c r="BA14" s="1731" t="str">
        <f>IF(ISERROR(GH54),"",IF(GH54="","",IF(AZ14="P",GH54,GH54-(AZ14*12))))</f>
        <v/>
      </c>
      <c r="BB14" s="1739" t="str">
        <f>IF(ISBLANK(EF14),"",EF14)</f>
        <v/>
      </c>
      <c r="BC14" s="1740" t="str">
        <f t="shared" ref="BC14:BC45" si="10">IF(ISBLANK(EG14),"",UPPER(EG14))</f>
        <v/>
      </c>
      <c r="BD14" s="1704" t="str">
        <f>IF(ISERROR(GI54),"ERR",IF(GI54="","",IF(ISTEXT(GI54),"P",TRUNC(GI54/12))))</f>
        <v/>
      </c>
      <c r="BE14" s="1731" t="str">
        <f>IF(ISERROR(GI54),"",IF(GI54="","",IF(BD14="P",GI54,GI54-(BD14*12))))</f>
        <v/>
      </c>
      <c r="BF14" s="1739" t="str">
        <f>IF(ISBLANK(EJ14),"",EJ14)</f>
        <v/>
      </c>
      <c r="BG14" s="1741"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1"/>
      <c r="DL14" s="666"/>
      <c r="DM14" s="691"/>
      <c r="DN14" s="1334"/>
      <c r="DO14" s="667"/>
      <c r="DP14" s="668"/>
      <c r="DQ14" s="1419"/>
      <c r="DR14" s="669"/>
      <c r="DS14" s="1611"/>
      <c r="DT14" s="1605"/>
      <c r="DU14" s="1606"/>
      <c r="DV14" s="678"/>
      <c r="DW14" s="1337"/>
      <c r="DX14" s="670"/>
      <c r="DY14" s="666"/>
      <c r="DZ14" s="678"/>
      <c r="EA14" s="1339"/>
      <c r="EB14" s="670"/>
      <c r="EC14" s="666"/>
      <c r="ED14" s="678"/>
      <c r="EE14" s="1339"/>
      <c r="EF14" s="670"/>
      <c r="EG14" s="666"/>
      <c r="EH14" s="678"/>
      <c r="EI14" s="1339"/>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215" t="str">
        <f t="shared" ref="AB15:AB23" si="16">IF(ISBLANK(DH15),"",DH15)</f>
        <v/>
      </c>
      <c r="AC15" s="1222" t="str">
        <f t="shared" si="4"/>
        <v/>
      </c>
      <c r="AD15" s="1217" t="str">
        <f ca="1">IF(ISERROR(FV55),"",IF(FV55="","",TRUNC(FV55/12)))</f>
        <v/>
      </c>
      <c r="AE15" s="1221" t="str">
        <f ca="1">IF(ISERROR(FV55),"",IF(FV55="","",FV55-(AD15*12)))</f>
        <v/>
      </c>
      <c r="AF15" s="1222" t="str">
        <f ca="1">IF(ISERROR(FO55),"",IF(FO55="","",FO55))</f>
        <v/>
      </c>
      <c r="AG15" s="1217" t="str">
        <f ca="1">IF(ISERROR(FX55),"",IF(FX55="","",TRUNC(FX55/12)))</f>
        <v/>
      </c>
      <c r="AH15" s="1221" t="str">
        <f ca="1">IF(ISERROR(FX55),"",IF(FX55="","",FX55-(AG15*12)))</f>
        <v/>
      </c>
      <c r="AI15" s="1217" t="str">
        <f ca="1">IF(ISERROR(FZ55),"",IF(FZ55="","",TRUNC(FZ55/12)))</f>
        <v/>
      </c>
      <c r="AJ15" s="1221" t="str">
        <f ca="1">IF(ISERROR(FZ55),"",IF(FZ55="","",FZ55-(AI15*12)))</f>
        <v/>
      </c>
      <c r="AK15" s="1742" t="str">
        <f t="shared" ref="AK15:AK20" si="17">IF(ISBLANK(DO15),"",DO15)</f>
        <v/>
      </c>
      <c r="AL15" s="1743" t="str">
        <f t="shared" si="5"/>
        <v/>
      </c>
      <c r="AM15" s="1744" t="str">
        <f t="shared" ref="AM15:AM20" si="18">IF(ISBLANK(DQ15),"",DQ15)</f>
        <v/>
      </c>
      <c r="AN15" s="1222" t="str">
        <f t="shared" ref="AN15:AN20" si="19">IF(ISBLANK(DR15),"",DR15)</f>
        <v/>
      </c>
      <c r="AO15" s="1745" t="str">
        <f t="shared" ref="AO15:AO20" si="20">IF(ISBLANK(DS15),"",DS15)</f>
        <v/>
      </c>
      <c r="AP15" s="1224" t="str">
        <f t="shared" si="6"/>
        <v/>
      </c>
      <c r="AQ15" s="1746" t="str">
        <f t="shared" si="7"/>
        <v/>
      </c>
      <c r="AR15" s="1220" t="str">
        <f t="shared" ref="AR15:AR45" si="21">IF(ISERROR(GF55),"ERR",IF(GF55="","",IF(ISTEXT(GF55),"P",TRUNC(GF55/12))))</f>
        <v/>
      </c>
      <c r="AS15" s="1221" t="str">
        <f t="shared" ref="AS15:AS45" si="22">IF(ISERROR(GF55),"",IF(GF55="","",IF(AR15="P",GF55,GF55-(AR15*12))))</f>
        <v/>
      </c>
      <c r="AT15" s="1747" t="str">
        <f t="shared" ref="AT15:AT45" si="23">IF(ISBLANK(DX15),"",DX15)</f>
        <v/>
      </c>
      <c r="AU15" s="1748" t="str">
        <f t="shared" si="8"/>
        <v/>
      </c>
      <c r="AV15" s="1226" t="str">
        <f t="shared" ref="AV15:AV45" si="24">IF(ISERROR(GG55),"ERR",IF(GG55="","",IF(ISTEXT(GG55),"P",TRUNC(GG55/12))))</f>
        <v/>
      </c>
      <c r="AW15" s="1221" t="str">
        <f t="shared" ref="AW15:AW45" si="25">IF(ISERROR(GG55),"",IF(GG55="","",IF(AV15="P",GG55,GG55-(AV15*12))))</f>
        <v/>
      </c>
      <c r="AX15" s="1747" t="str">
        <f t="shared" ref="AX15:AX45" si="26">IF(ISBLANK(EB15),"",EB15)</f>
        <v/>
      </c>
      <c r="AY15" s="1748" t="str">
        <f t="shared" si="9"/>
        <v/>
      </c>
      <c r="AZ15" s="1226" t="str">
        <f t="shared" ref="AZ15:AZ45" si="27">IF(ISERROR(GH55),"ERR",IF(GH55="","",IF(ISTEXT(GH55),"P",TRUNC(GH55/12))))</f>
        <v/>
      </c>
      <c r="BA15" s="1221" t="str">
        <f t="shared" ref="BA15:BA45" si="28">IF(ISERROR(GH55),"",IF(GH55="","",IF(AZ15="P",GH55,GH55-(AZ15*12))))</f>
        <v/>
      </c>
      <c r="BB15" s="1747" t="str">
        <f t="shared" ref="BB15:BB45" si="29">IF(ISBLANK(EF15),"",EF15)</f>
        <v/>
      </c>
      <c r="BC15" s="1748" t="str">
        <f t="shared" si="10"/>
        <v/>
      </c>
      <c r="BD15" s="1226" t="str">
        <f t="shared" ref="BD15:BD45" si="30">IF(ISERROR(GI55),"ERR",IF(GI55="","",IF(ISTEXT(GI55),"P",TRUNC(GI55/12))))</f>
        <v/>
      </c>
      <c r="BE15" s="1221" t="str">
        <f t="shared" ref="BE15:BE45" si="31">IF(ISERROR(GI55),"",IF(GI55="","",IF(BD15="P",GI55,GI55-(BD15*12))))</f>
        <v/>
      </c>
      <c r="BF15" s="1747" t="str">
        <f t="shared" ref="BF15:BF20" si="32">IF(ISBLANK(EJ15),"",EJ15)</f>
        <v/>
      </c>
      <c r="BG15" s="1748"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2"/>
      <c r="DL15" s="674"/>
      <c r="DM15" s="693"/>
      <c r="DN15" s="1335"/>
      <c r="DO15" s="675"/>
      <c r="DP15" s="676"/>
      <c r="DQ15" s="1420"/>
      <c r="DR15" s="677"/>
      <c r="DS15" s="1612"/>
      <c r="DT15" s="1607"/>
      <c r="DU15" s="1608"/>
      <c r="DV15" s="678"/>
      <c r="DW15" s="1337"/>
      <c r="DX15" s="679"/>
      <c r="DY15" s="674"/>
      <c r="DZ15" s="678"/>
      <c r="EA15" s="1337"/>
      <c r="EB15" s="679"/>
      <c r="EC15" s="674"/>
      <c r="ED15" s="678"/>
      <c r="EE15" s="1337"/>
      <c r="EF15" s="679"/>
      <c r="EG15" s="674"/>
      <c r="EH15" s="678"/>
      <c r="EI15" s="1337"/>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034" t="s">
        <v>622</v>
      </c>
      <c r="HB15" s="2017"/>
      <c r="HC15" s="2017"/>
      <c r="HD15" s="2017"/>
      <c r="HE15" s="2017"/>
      <c r="HF15" s="2017"/>
      <c r="HG15" s="2017"/>
      <c r="HH15" s="2017"/>
      <c r="HI15" s="2017"/>
      <c r="HJ15" s="2017"/>
      <c r="HK15" s="2017"/>
      <c r="HL15" s="2017"/>
      <c r="HM15" s="2017"/>
      <c r="HN15" s="2017"/>
      <c r="HO15" s="2017"/>
      <c r="HP15" s="2017"/>
      <c r="HQ15" s="2017"/>
      <c r="HR15" s="2017"/>
      <c r="HS15" s="2017"/>
      <c r="HT15" s="2017"/>
      <c r="HU15" s="2017"/>
      <c r="HV15" s="2017"/>
      <c r="HW15" s="2017"/>
      <c r="HX15" s="2018"/>
      <c r="ID15" s="781"/>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215" t="str">
        <f t="shared" si="16"/>
        <v/>
      </c>
      <c r="AC16" s="1222" t="str">
        <f t="shared" si="4"/>
        <v/>
      </c>
      <c r="AD16" s="1217" t="str">
        <f ca="1">IF(ISERROR(FV56),"",IF(FV56="","",TRUNC(FV56/12)))</f>
        <v/>
      </c>
      <c r="AE16" s="1221" t="str">
        <f ca="1">IF(ISERROR(FV56),"",IF(FV56="","",FV56-(AD16*12)))</f>
        <v/>
      </c>
      <c r="AF16" s="1222" t="str">
        <f ca="1">IF(ISERROR(FO56),"",IF(FO56="","",FO56))</f>
        <v/>
      </c>
      <c r="AG16" s="1217" t="str">
        <f ca="1">IF(ISERROR(FX56),"",IF(FX56="","",TRUNC(FX56/12)))</f>
        <v/>
      </c>
      <c r="AH16" s="1221" t="str">
        <f ca="1">IF(ISERROR(FX56),"",IF(FX56="","",FX56-(AG16*12)))</f>
        <v/>
      </c>
      <c r="AI16" s="1217" t="str">
        <f ca="1">IF(ISERROR(FZ56),"",IF(FZ56="","",TRUNC(FZ56/12)))</f>
        <v/>
      </c>
      <c r="AJ16" s="1221" t="str">
        <f ca="1">IF(ISERROR(FZ56),"",IF(FZ56="","",FZ56-(AI16*12)))</f>
        <v/>
      </c>
      <c r="AK16" s="1742" t="str">
        <f t="shared" si="17"/>
        <v/>
      </c>
      <c r="AL16" s="1743" t="str">
        <f t="shared" si="5"/>
        <v/>
      </c>
      <c r="AM16" s="1744" t="str">
        <f t="shared" si="18"/>
        <v/>
      </c>
      <c r="AN16" s="1222" t="str">
        <f t="shared" si="19"/>
        <v/>
      </c>
      <c r="AO16" s="1745" t="str">
        <f t="shared" si="20"/>
        <v/>
      </c>
      <c r="AP16" s="1224" t="str">
        <f t="shared" si="6"/>
        <v/>
      </c>
      <c r="AQ16" s="1746" t="str">
        <f t="shared" si="7"/>
        <v/>
      </c>
      <c r="AR16" s="1220" t="str">
        <f t="shared" si="21"/>
        <v/>
      </c>
      <c r="AS16" s="1221" t="str">
        <f t="shared" si="22"/>
        <v/>
      </c>
      <c r="AT16" s="1747" t="str">
        <f t="shared" si="23"/>
        <v/>
      </c>
      <c r="AU16" s="1748" t="str">
        <f t="shared" si="8"/>
        <v/>
      </c>
      <c r="AV16" s="1226" t="str">
        <f t="shared" si="24"/>
        <v/>
      </c>
      <c r="AW16" s="1221" t="str">
        <f t="shared" si="25"/>
        <v/>
      </c>
      <c r="AX16" s="1747" t="str">
        <f t="shared" si="26"/>
        <v/>
      </c>
      <c r="AY16" s="1748" t="str">
        <f t="shared" si="9"/>
        <v/>
      </c>
      <c r="AZ16" s="1226" t="str">
        <f t="shared" si="27"/>
        <v/>
      </c>
      <c r="BA16" s="1221" t="str">
        <f t="shared" si="28"/>
        <v/>
      </c>
      <c r="BB16" s="1747" t="str">
        <f t="shared" si="29"/>
        <v/>
      </c>
      <c r="BC16" s="1748" t="str">
        <f t="shared" si="10"/>
        <v/>
      </c>
      <c r="BD16" s="1226" t="str">
        <f t="shared" si="30"/>
        <v/>
      </c>
      <c r="BE16" s="1221" t="str">
        <f t="shared" si="31"/>
        <v/>
      </c>
      <c r="BF16" s="1747" t="str">
        <f t="shared" si="32"/>
        <v/>
      </c>
      <c r="BG16" s="1748" t="str">
        <f t="shared" si="11"/>
        <v/>
      </c>
      <c r="BH16" s="261"/>
      <c r="BJ16" s="143"/>
      <c r="BW16" s="991">
        <f t="shared" ca="1" si="33"/>
        <v>0</v>
      </c>
      <c r="BX16" s="991" t="str">
        <f t="shared" ref="BX16:BX45" ca="1" si="40">IF(AND(AB16="",BW16&gt;0),BX15,IF(ISBLANK(AB16),"",AB16))</f>
        <v/>
      </c>
      <c r="BY16" s="991" t="b">
        <f t="shared" ca="1" si="34"/>
        <v>0</v>
      </c>
      <c r="BZ16" s="1304"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2"/>
      <c r="DL16" s="674"/>
      <c r="DM16" s="693"/>
      <c r="DN16" s="1335"/>
      <c r="DO16" s="675"/>
      <c r="DP16" s="676"/>
      <c r="DQ16" s="1420"/>
      <c r="DR16" s="677"/>
      <c r="DS16" s="1612"/>
      <c r="DT16" s="1607"/>
      <c r="DU16" s="1608"/>
      <c r="DV16" s="678"/>
      <c r="DW16" s="1337"/>
      <c r="DX16" s="679"/>
      <c r="DY16" s="674"/>
      <c r="DZ16" s="678"/>
      <c r="EA16" s="1337"/>
      <c r="EB16" s="679"/>
      <c r="EC16" s="674"/>
      <c r="ED16" s="678"/>
      <c r="EE16" s="1337"/>
      <c r="EF16" s="679"/>
      <c r="EG16" s="674"/>
      <c r="EH16" s="678"/>
      <c r="EI16" s="1337"/>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019"/>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2020"/>
      <c r="ID16" s="781"/>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215" t="str">
        <f t="shared" si="16"/>
        <v/>
      </c>
      <c r="AC17" s="1222" t="str">
        <f t="shared" si="4"/>
        <v/>
      </c>
      <c r="AD17" s="1217" t="str">
        <f ca="1">IF(ISERROR(FV57),"",IF(FV57="","",TRUNC(FV57/12)))</f>
        <v/>
      </c>
      <c r="AE17" s="1221" t="str">
        <f ca="1">IF(ISERROR(FV57),"",IF(FV57="","",FV57-(AD17*12)))</f>
        <v/>
      </c>
      <c r="AF17" s="1222" t="str">
        <f ca="1">IF(ISERROR(FO57),"",IF(FO57="","",FO57))</f>
        <v/>
      </c>
      <c r="AG17" s="1217" t="str">
        <f ca="1">IF(ISERROR(FX57),"",IF(FX57="","",TRUNC(FX57/12)))</f>
        <v/>
      </c>
      <c r="AH17" s="1221" t="str">
        <f ca="1">IF(ISERROR(FX57),"",IF(FX57="","",FX57-(AG17*12)))</f>
        <v/>
      </c>
      <c r="AI17" s="1217" t="str">
        <f ca="1">IF(ISERROR(FZ57),"",IF(FZ57="","",TRUNC(FZ57/12)))</f>
        <v/>
      </c>
      <c r="AJ17" s="1221" t="str">
        <f ca="1">IF(ISERROR(FZ57),"",IF(FZ57="","",FZ57-(AI17*12)))</f>
        <v/>
      </c>
      <c r="AK17" s="1742" t="str">
        <f t="shared" si="17"/>
        <v/>
      </c>
      <c r="AL17" s="1743" t="str">
        <f t="shared" si="5"/>
        <v/>
      </c>
      <c r="AM17" s="1744" t="str">
        <f t="shared" si="18"/>
        <v/>
      </c>
      <c r="AN17" s="1222" t="str">
        <f t="shared" si="19"/>
        <v/>
      </c>
      <c r="AO17" s="1745" t="str">
        <f t="shared" si="20"/>
        <v/>
      </c>
      <c r="AP17" s="1224" t="str">
        <f t="shared" si="6"/>
        <v/>
      </c>
      <c r="AQ17" s="1746" t="str">
        <f t="shared" si="7"/>
        <v/>
      </c>
      <c r="AR17" s="1220" t="str">
        <f t="shared" si="21"/>
        <v/>
      </c>
      <c r="AS17" s="1221" t="str">
        <f t="shared" si="22"/>
        <v/>
      </c>
      <c r="AT17" s="1747" t="str">
        <f t="shared" si="23"/>
        <v/>
      </c>
      <c r="AU17" s="1748" t="str">
        <f t="shared" si="8"/>
        <v/>
      </c>
      <c r="AV17" s="1226" t="str">
        <f t="shared" si="24"/>
        <v/>
      </c>
      <c r="AW17" s="1221" t="str">
        <f t="shared" si="25"/>
        <v/>
      </c>
      <c r="AX17" s="1747" t="str">
        <f t="shared" si="26"/>
        <v/>
      </c>
      <c r="AY17" s="1748" t="str">
        <f t="shared" si="9"/>
        <v/>
      </c>
      <c r="AZ17" s="1226" t="str">
        <f t="shared" si="27"/>
        <v/>
      </c>
      <c r="BA17" s="1221" t="str">
        <f t="shared" si="28"/>
        <v/>
      </c>
      <c r="BB17" s="1747" t="str">
        <f t="shared" si="29"/>
        <v/>
      </c>
      <c r="BC17" s="1748" t="str">
        <f t="shared" si="10"/>
        <v/>
      </c>
      <c r="BD17" s="1226" t="str">
        <f t="shared" si="30"/>
        <v/>
      </c>
      <c r="BE17" s="1221" t="str">
        <f t="shared" si="31"/>
        <v/>
      </c>
      <c r="BF17" s="1747" t="str">
        <f t="shared" si="32"/>
        <v/>
      </c>
      <c r="BG17" s="1748" t="str">
        <f t="shared" si="11"/>
        <v/>
      </c>
      <c r="BH17" s="261"/>
      <c r="BJ17" s="143"/>
      <c r="BW17" s="991">
        <f t="shared" ca="1" si="33"/>
        <v>0</v>
      </c>
      <c r="BX17" s="991" t="str">
        <f t="shared" ca="1" si="40"/>
        <v/>
      </c>
      <c r="BY17" s="991" t="b">
        <f t="shared" ca="1" si="34"/>
        <v>0</v>
      </c>
      <c r="BZ17" s="1304"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3"/>
      <c r="DI17" s="673"/>
      <c r="DJ17" s="692"/>
      <c r="DK17" s="1332"/>
      <c r="DL17" s="674"/>
      <c r="DM17" s="693"/>
      <c r="DN17" s="1335"/>
      <c r="DO17" s="675"/>
      <c r="DP17" s="676"/>
      <c r="DQ17" s="1420"/>
      <c r="DR17" s="677"/>
      <c r="DS17" s="1612"/>
      <c r="DT17" s="1607"/>
      <c r="DU17" s="1608"/>
      <c r="DV17" s="678"/>
      <c r="DW17" s="1337"/>
      <c r="DX17" s="679"/>
      <c r="DY17" s="674"/>
      <c r="DZ17" s="678"/>
      <c r="EA17" s="1337"/>
      <c r="EB17" s="679"/>
      <c r="EC17" s="674"/>
      <c r="ED17" s="678"/>
      <c r="EE17" s="1337"/>
      <c r="EF17" s="679"/>
      <c r="EG17" s="674"/>
      <c r="EH17" s="678"/>
      <c r="EI17" s="1337"/>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035"/>
      <c r="HB17" s="2036"/>
      <c r="HC17" s="2036"/>
      <c r="HD17" s="2036"/>
      <c r="HE17" s="2036"/>
      <c r="HF17" s="2036"/>
      <c r="HG17" s="2036"/>
      <c r="HH17" s="2036"/>
      <c r="HI17" s="2036"/>
      <c r="HJ17" s="2036"/>
      <c r="HK17" s="2036"/>
      <c r="HL17" s="2036"/>
      <c r="HM17" s="2036"/>
      <c r="HN17" s="2036"/>
      <c r="HO17" s="2036"/>
      <c r="HP17" s="2036"/>
      <c r="HQ17" s="2036"/>
      <c r="HR17" s="2036"/>
      <c r="HS17" s="2036"/>
      <c r="HT17" s="2036"/>
      <c r="HU17" s="2036"/>
      <c r="HV17" s="2036"/>
      <c r="HW17" s="2036"/>
      <c r="HX17" s="2037"/>
      <c r="ID17" s="781"/>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215" t="str">
        <f t="shared" si="16"/>
        <v/>
      </c>
      <c r="AC18" s="1222" t="str">
        <f t="shared" si="4"/>
        <v/>
      </c>
      <c r="AD18" s="1217" t="str">
        <f ca="1">IF(ISERROR(FV58),"",IF(FV58="","",TRUNC(FV58/12)))</f>
        <v/>
      </c>
      <c r="AE18" s="1221" t="str">
        <f ca="1">IF(ISERROR(FV58),"",IF(FV58="","",FV58-(AD18*12)))</f>
        <v/>
      </c>
      <c r="AF18" s="1222" t="str">
        <f ca="1">IF(ISERROR(FO58),"",IF(FO58="","",FO58))</f>
        <v/>
      </c>
      <c r="AG18" s="1217" t="str">
        <f ca="1">IF(ISERROR(FX58),"",IF(FX58="","",TRUNC(FX58/12)))</f>
        <v/>
      </c>
      <c r="AH18" s="1221" t="str">
        <f ca="1">IF(ISERROR(FX58),"",IF(FX58="","",FX58-(AG18*12)))</f>
        <v/>
      </c>
      <c r="AI18" s="1217" t="str">
        <f ca="1">IF(ISERROR(FZ58),"",IF(FZ58="","",TRUNC(FZ58/12)))</f>
        <v/>
      </c>
      <c r="AJ18" s="1221" t="str">
        <f ca="1">IF(ISERROR(FZ58),"",IF(FZ58="","",FZ58-(AI18*12)))</f>
        <v/>
      </c>
      <c r="AK18" s="1742" t="str">
        <f t="shared" si="17"/>
        <v/>
      </c>
      <c r="AL18" s="1743" t="str">
        <f t="shared" si="5"/>
        <v/>
      </c>
      <c r="AM18" s="1744" t="str">
        <f t="shared" si="18"/>
        <v/>
      </c>
      <c r="AN18" s="1222" t="str">
        <f t="shared" si="19"/>
        <v/>
      </c>
      <c r="AO18" s="1745" t="str">
        <f t="shared" si="20"/>
        <v/>
      </c>
      <c r="AP18" s="1224" t="str">
        <f t="shared" si="6"/>
        <v/>
      </c>
      <c r="AQ18" s="1746" t="str">
        <f t="shared" si="7"/>
        <v/>
      </c>
      <c r="AR18" s="1220" t="str">
        <f t="shared" si="21"/>
        <v/>
      </c>
      <c r="AS18" s="1221" t="str">
        <f t="shared" si="22"/>
        <v/>
      </c>
      <c r="AT18" s="1747" t="str">
        <f t="shared" si="23"/>
        <v/>
      </c>
      <c r="AU18" s="1748" t="str">
        <f t="shared" si="8"/>
        <v/>
      </c>
      <c r="AV18" s="1226" t="str">
        <f t="shared" si="24"/>
        <v/>
      </c>
      <c r="AW18" s="1221" t="str">
        <f t="shared" si="25"/>
        <v/>
      </c>
      <c r="AX18" s="1747" t="str">
        <f t="shared" si="26"/>
        <v/>
      </c>
      <c r="AY18" s="1748" t="str">
        <f t="shared" si="9"/>
        <v/>
      </c>
      <c r="AZ18" s="1226" t="str">
        <f t="shared" si="27"/>
        <v/>
      </c>
      <c r="BA18" s="1221" t="str">
        <f t="shared" si="28"/>
        <v/>
      </c>
      <c r="BB18" s="1747" t="str">
        <f t="shared" si="29"/>
        <v/>
      </c>
      <c r="BC18" s="1748" t="str">
        <f t="shared" si="10"/>
        <v/>
      </c>
      <c r="BD18" s="1226" t="str">
        <f t="shared" si="30"/>
        <v/>
      </c>
      <c r="BE18" s="1221" t="str">
        <f t="shared" si="31"/>
        <v/>
      </c>
      <c r="BF18" s="1747" t="str">
        <f t="shared" si="32"/>
        <v/>
      </c>
      <c r="BG18" s="1748"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4"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2"/>
      <c r="DL18" s="674"/>
      <c r="DM18" s="693"/>
      <c r="DN18" s="1335"/>
      <c r="DO18" s="675"/>
      <c r="DP18" s="676"/>
      <c r="DQ18" s="1420"/>
      <c r="DR18" s="677"/>
      <c r="DS18" s="1612"/>
      <c r="DT18" s="1607"/>
      <c r="DU18" s="1608"/>
      <c r="DV18" s="678"/>
      <c r="DW18" s="1337"/>
      <c r="DX18" s="679"/>
      <c r="DY18" s="674"/>
      <c r="DZ18" s="678"/>
      <c r="EA18" s="1337"/>
      <c r="EB18" s="679"/>
      <c r="EC18" s="674"/>
      <c r="ED18" s="678"/>
      <c r="EE18" s="1337"/>
      <c r="EF18" s="679"/>
      <c r="EG18" s="674"/>
      <c r="EH18" s="678"/>
      <c r="EI18" s="1337"/>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215" t="str">
        <f t="shared" si="16"/>
        <v/>
      </c>
      <c r="AC19" s="1222" t="str">
        <f t="shared" si="4"/>
        <v/>
      </c>
      <c r="AD19" s="1217" t="str">
        <f t="shared" ref="AD19:AD45" ca="1" si="44">IF(ISERROR(FV59),"",IF(FV59="","",TRUNC(FV59/12)))</f>
        <v/>
      </c>
      <c r="AE19" s="1221" t="str">
        <f t="shared" ref="AE19:AE45" ca="1" si="45">IF(ISERROR(FV59),"",IF(FV59="","",FV59-(AD19*12)))</f>
        <v/>
      </c>
      <c r="AF19" s="1222" t="str">
        <f t="shared" ref="AF19:AF45" ca="1" si="46">IF(ISERROR(FO59),"",IF(FO59="","",FO59))</f>
        <v/>
      </c>
      <c r="AG19" s="1217" t="str">
        <f t="shared" ref="AG19:AG45" ca="1" si="47">IF(ISERROR(FX59),"",IF(FX59="","",TRUNC(FX59/12)))</f>
        <v/>
      </c>
      <c r="AH19" s="1221" t="str">
        <f t="shared" ref="AH19:AH45" ca="1" si="48">IF(ISERROR(FX59),"",IF(FX59="","",FX59-(AG19*12)))</f>
        <v/>
      </c>
      <c r="AI19" s="1217" t="str">
        <f t="shared" ref="AI19:AI45" ca="1" si="49">IF(ISERROR(FZ59),"",IF(FZ59="","",TRUNC(FZ59/12)))</f>
        <v/>
      </c>
      <c r="AJ19" s="1221" t="str">
        <f t="shared" ref="AJ19:AJ45" ca="1" si="50">IF(ISERROR(FZ59),"",IF(FZ59="","",FZ59-(AI19*12)))</f>
        <v/>
      </c>
      <c r="AK19" s="1742" t="str">
        <f t="shared" si="17"/>
        <v/>
      </c>
      <c r="AL19" s="1743" t="str">
        <f t="shared" si="5"/>
        <v/>
      </c>
      <c r="AM19" s="1744" t="str">
        <f t="shared" si="18"/>
        <v/>
      </c>
      <c r="AN19" s="1222" t="str">
        <f t="shared" si="19"/>
        <v/>
      </c>
      <c r="AO19" s="1745" t="str">
        <f t="shared" si="20"/>
        <v/>
      </c>
      <c r="AP19" s="1224" t="str">
        <f t="shared" si="6"/>
        <v/>
      </c>
      <c r="AQ19" s="1746" t="str">
        <f t="shared" si="7"/>
        <v/>
      </c>
      <c r="AR19" s="1220" t="str">
        <f t="shared" si="21"/>
        <v/>
      </c>
      <c r="AS19" s="1221" t="str">
        <f t="shared" si="22"/>
        <v/>
      </c>
      <c r="AT19" s="1747" t="str">
        <f t="shared" si="23"/>
        <v/>
      </c>
      <c r="AU19" s="1748" t="str">
        <f t="shared" si="8"/>
        <v/>
      </c>
      <c r="AV19" s="1226" t="str">
        <f t="shared" si="24"/>
        <v/>
      </c>
      <c r="AW19" s="1221" t="str">
        <f t="shared" si="25"/>
        <v/>
      </c>
      <c r="AX19" s="1747" t="str">
        <f t="shared" si="26"/>
        <v/>
      </c>
      <c r="AY19" s="1748" t="str">
        <f t="shared" si="9"/>
        <v/>
      </c>
      <c r="AZ19" s="1226" t="str">
        <f t="shared" si="27"/>
        <v/>
      </c>
      <c r="BA19" s="1221" t="str">
        <f t="shared" si="28"/>
        <v/>
      </c>
      <c r="BB19" s="1747" t="str">
        <f t="shared" si="29"/>
        <v/>
      </c>
      <c r="BC19" s="1748" t="str">
        <f t="shared" si="10"/>
        <v/>
      </c>
      <c r="BD19" s="1226" t="str">
        <f t="shared" si="30"/>
        <v/>
      </c>
      <c r="BE19" s="1221" t="str">
        <f t="shared" si="31"/>
        <v/>
      </c>
      <c r="BF19" s="1747" t="str">
        <f t="shared" si="32"/>
        <v/>
      </c>
      <c r="BG19" s="1748" t="str">
        <f t="shared" si="11"/>
        <v/>
      </c>
      <c r="BH19" s="261"/>
      <c r="BJ19" s="143"/>
      <c r="BW19" s="991">
        <f t="shared" ca="1" si="33"/>
        <v>0</v>
      </c>
      <c r="BX19" s="991" t="str">
        <f t="shared" ca="1" si="40"/>
        <v/>
      </c>
      <c r="BY19" s="991" t="b">
        <f t="shared" ca="1" si="34"/>
        <v>0</v>
      </c>
      <c r="BZ19" s="1304"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2"/>
      <c r="DL19" s="674"/>
      <c r="DM19" s="693"/>
      <c r="DN19" s="1335"/>
      <c r="DO19" s="675"/>
      <c r="DP19" s="676"/>
      <c r="DQ19" s="1420"/>
      <c r="DR19" s="677"/>
      <c r="DS19" s="1612"/>
      <c r="DT19" s="1607"/>
      <c r="DU19" s="1608"/>
      <c r="DV19" s="678"/>
      <c r="DW19" s="1337"/>
      <c r="DX19" s="679"/>
      <c r="DY19" s="674"/>
      <c r="DZ19" s="678"/>
      <c r="EA19" s="1337"/>
      <c r="EB19" s="679"/>
      <c r="EC19" s="674"/>
      <c r="ED19" s="678"/>
      <c r="EE19" s="1337"/>
      <c r="EF19" s="679"/>
      <c r="EG19" s="674"/>
      <c r="EH19" s="678"/>
      <c r="EI19" s="1337"/>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6" t="s">
        <v>1157</v>
      </c>
      <c r="HA19" s="1167">
        <v>80</v>
      </c>
      <c r="HB19" s="1167">
        <f t="shared" ref="HB19:ID19" si="51">HA19+1</f>
        <v>81</v>
      </c>
      <c r="HC19" s="1167">
        <f t="shared" si="51"/>
        <v>82</v>
      </c>
      <c r="HD19" s="1167">
        <f t="shared" si="51"/>
        <v>83</v>
      </c>
      <c r="HE19" s="1167">
        <f t="shared" si="51"/>
        <v>84</v>
      </c>
      <c r="HF19" s="1167">
        <f t="shared" si="51"/>
        <v>85</v>
      </c>
      <c r="HG19" s="1167">
        <f t="shared" si="51"/>
        <v>86</v>
      </c>
      <c r="HH19" s="1167">
        <f t="shared" si="51"/>
        <v>87</v>
      </c>
      <c r="HI19" s="1167">
        <f t="shared" si="51"/>
        <v>88</v>
      </c>
      <c r="HJ19" s="1167">
        <f t="shared" si="51"/>
        <v>89</v>
      </c>
      <c r="HK19" s="1167">
        <f t="shared" si="51"/>
        <v>90</v>
      </c>
      <c r="HL19" s="1167">
        <f t="shared" si="51"/>
        <v>91</v>
      </c>
      <c r="HM19" s="1167">
        <f t="shared" si="51"/>
        <v>92</v>
      </c>
      <c r="HN19" s="1167">
        <f t="shared" si="51"/>
        <v>93</v>
      </c>
      <c r="HO19" s="1167">
        <f t="shared" si="51"/>
        <v>94</v>
      </c>
      <c r="HP19" s="1167">
        <f t="shared" si="51"/>
        <v>95</v>
      </c>
      <c r="HQ19" s="1167">
        <f t="shared" si="51"/>
        <v>96</v>
      </c>
      <c r="HR19" s="1167">
        <f t="shared" si="51"/>
        <v>97</v>
      </c>
      <c r="HS19" s="1167">
        <f t="shared" si="51"/>
        <v>98</v>
      </c>
      <c r="HT19" s="1167">
        <f t="shared" si="51"/>
        <v>99</v>
      </c>
      <c r="HU19" s="1167">
        <f t="shared" si="51"/>
        <v>100</v>
      </c>
      <c r="HV19" s="1167">
        <f t="shared" si="51"/>
        <v>101</v>
      </c>
      <c r="HW19" s="1167">
        <f t="shared" si="51"/>
        <v>102</v>
      </c>
      <c r="HX19" s="1167">
        <f t="shared" si="51"/>
        <v>103</v>
      </c>
      <c r="HY19" s="1167">
        <f t="shared" si="51"/>
        <v>104</v>
      </c>
      <c r="HZ19" s="1167">
        <f t="shared" si="51"/>
        <v>105</v>
      </c>
      <c r="IA19" s="1167">
        <f t="shared" si="51"/>
        <v>106</v>
      </c>
      <c r="IB19" s="1167">
        <f t="shared" si="51"/>
        <v>107</v>
      </c>
      <c r="IC19" s="1167">
        <f t="shared" si="51"/>
        <v>108</v>
      </c>
      <c r="ID19" s="1167">
        <f t="shared" si="51"/>
        <v>109</v>
      </c>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215" t="str">
        <f t="shared" si="16"/>
        <v/>
      </c>
      <c r="AC20" s="1222" t="str">
        <f t="shared" si="4"/>
        <v/>
      </c>
      <c r="AD20" s="1217" t="str">
        <f t="shared" ca="1" si="44"/>
        <v/>
      </c>
      <c r="AE20" s="1221" t="str">
        <f t="shared" ca="1" si="45"/>
        <v/>
      </c>
      <c r="AF20" s="1222" t="str">
        <f t="shared" ca="1" si="46"/>
        <v/>
      </c>
      <c r="AG20" s="1217" t="str">
        <f t="shared" ca="1" si="47"/>
        <v/>
      </c>
      <c r="AH20" s="1221" t="str">
        <f t="shared" ca="1" si="48"/>
        <v/>
      </c>
      <c r="AI20" s="1217" t="str">
        <f t="shared" ca="1" si="49"/>
        <v/>
      </c>
      <c r="AJ20" s="1221" t="str">
        <f t="shared" ca="1" si="50"/>
        <v/>
      </c>
      <c r="AK20" s="1742" t="str">
        <f t="shared" si="17"/>
        <v/>
      </c>
      <c r="AL20" s="1743" t="str">
        <f t="shared" si="5"/>
        <v/>
      </c>
      <c r="AM20" s="1744" t="str">
        <f t="shared" si="18"/>
        <v/>
      </c>
      <c r="AN20" s="1222" t="str">
        <f t="shared" si="19"/>
        <v/>
      </c>
      <c r="AO20" s="1745" t="str">
        <f t="shared" si="20"/>
        <v/>
      </c>
      <c r="AP20" s="1224" t="str">
        <f t="shared" si="6"/>
        <v/>
      </c>
      <c r="AQ20" s="1746" t="str">
        <f t="shared" si="7"/>
        <v/>
      </c>
      <c r="AR20" s="1220" t="str">
        <f t="shared" si="21"/>
        <v/>
      </c>
      <c r="AS20" s="1221" t="str">
        <f t="shared" si="22"/>
        <v/>
      </c>
      <c r="AT20" s="1747" t="str">
        <f t="shared" si="23"/>
        <v/>
      </c>
      <c r="AU20" s="1748" t="str">
        <f t="shared" si="8"/>
        <v/>
      </c>
      <c r="AV20" s="1226" t="str">
        <f t="shared" si="24"/>
        <v/>
      </c>
      <c r="AW20" s="1221" t="str">
        <f t="shared" si="25"/>
        <v/>
      </c>
      <c r="AX20" s="1747" t="str">
        <f t="shared" si="26"/>
        <v/>
      </c>
      <c r="AY20" s="1748" t="str">
        <f t="shared" si="9"/>
        <v/>
      </c>
      <c r="AZ20" s="1226" t="str">
        <f t="shared" si="27"/>
        <v/>
      </c>
      <c r="BA20" s="1221" t="str">
        <f t="shared" si="28"/>
        <v/>
      </c>
      <c r="BB20" s="1747" t="str">
        <f t="shared" si="29"/>
        <v/>
      </c>
      <c r="BC20" s="1748" t="str">
        <f t="shared" si="10"/>
        <v/>
      </c>
      <c r="BD20" s="1226" t="str">
        <f t="shared" si="30"/>
        <v/>
      </c>
      <c r="BE20" s="1221" t="str">
        <f t="shared" si="31"/>
        <v/>
      </c>
      <c r="BF20" s="1747" t="str">
        <f t="shared" si="32"/>
        <v/>
      </c>
      <c r="BG20" s="1748" t="str">
        <f t="shared" si="11"/>
        <v/>
      </c>
      <c r="BH20" s="261"/>
      <c r="BJ20" s="143"/>
      <c r="BW20" s="991">
        <f t="shared" ca="1" si="33"/>
        <v>0</v>
      </c>
      <c r="BX20" s="991" t="str">
        <f t="shared" ca="1" si="40"/>
        <v/>
      </c>
      <c r="BY20" s="991" t="b">
        <f t="shared" ca="1" si="34"/>
        <v>0</v>
      </c>
      <c r="BZ20" s="1304"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13"/>
      <c r="DB20" s="2214"/>
      <c r="DC20" s="141"/>
      <c r="DD20" s="141"/>
      <c r="DE20" s="141"/>
      <c r="DF20" s="141"/>
      <c r="DG20" s="141"/>
      <c r="DH20" s="672"/>
      <c r="DI20" s="673"/>
      <c r="DJ20" s="692"/>
      <c r="DK20" s="1332"/>
      <c r="DL20" s="674"/>
      <c r="DM20" s="693"/>
      <c r="DN20" s="1335"/>
      <c r="DO20" s="675"/>
      <c r="DP20" s="676"/>
      <c r="DQ20" s="1420"/>
      <c r="DR20" s="677"/>
      <c r="DS20" s="1612"/>
      <c r="DT20" s="1607"/>
      <c r="DU20" s="1608"/>
      <c r="DV20" s="678"/>
      <c r="DW20" s="1337"/>
      <c r="DX20" s="679"/>
      <c r="DY20" s="674"/>
      <c r="DZ20" s="678"/>
      <c r="EA20" s="1337"/>
      <c r="EB20" s="679"/>
      <c r="EC20" s="674"/>
      <c r="ED20" s="678"/>
      <c r="EE20" s="1337"/>
      <c r="EF20" s="679"/>
      <c r="EG20" s="674"/>
      <c r="EH20" s="678"/>
      <c r="EI20" s="1337"/>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6" t="s">
        <v>1133</v>
      </c>
      <c r="HA20" s="1167">
        <v>1</v>
      </c>
      <c r="HB20" s="1167">
        <f t="shared" ref="HB20:HZ20" si="52">HA20+1</f>
        <v>2</v>
      </c>
      <c r="HC20" s="1167">
        <f t="shared" si="52"/>
        <v>3</v>
      </c>
      <c r="HD20" s="1167">
        <f t="shared" si="52"/>
        <v>4</v>
      </c>
      <c r="HE20" s="1167">
        <f t="shared" si="52"/>
        <v>5</v>
      </c>
      <c r="HF20" s="1167">
        <f t="shared" si="52"/>
        <v>6</v>
      </c>
      <c r="HG20" s="1167">
        <f t="shared" si="52"/>
        <v>7</v>
      </c>
      <c r="HH20" s="1167">
        <f t="shared" si="52"/>
        <v>8</v>
      </c>
      <c r="HI20" s="1167">
        <f t="shared" si="52"/>
        <v>9</v>
      </c>
      <c r="HJ20" s="1167">
        <f t="shared" si="52"/>
        <v>10</v>
      </c>
      <c r="HK20" s="1167">
        <f t="shared" si="52"/>
        <v>11</v>
      </c>
      <c r="HL20" s="1167">
        <f t="shared" si="52"/>
        <v>12</v>
      </c>
      <c r="HM20" s="1167">
        <f t="shared" si="52"/>
        <v>13</v>
      </c>
      <c r="HN20" s="1167">
        <f t="shared" si="52"/>
        <v>14</v>
      </c>
      <c r="HO20" s="1167">
        <f t="shared" si="52"/>
        <v>15</v>
      </c>
      <c r="HP20" s="1167">
        <f t="shared" si="52"/>
        <v>16</v>
      </c>
      <c r="HQ20" s="1167">
        <f t="shared" si="52"/>
        <v>17</v>
      </c>
      <c r="HR20" s="1167">
        <f t="shared" si="52"/>
        <v>18</v>
      </c>
      <c r="HS20" s="1167">
        <f t="shared" si="52"/>
        <v>19</v>
      </c>
      <c r="HT20" s="1167">
        <f t="shared" si="52"/>
        <v>20</v>
      </c>
      <c r="HU20" s="1167">
        <f t="shared" si="52"/>
        <v>21</v>
      </c>
      <c r="HV20" s="1167">
        <f t="shared" si="52"/>
        <v>22</v>
      </c>
      <c r="HW20" s="1167">
        <f t="shared" si="52"/>
        <v>23</v>
      </c>
      <c r="HX20" s="1167">
        <f t="shared" si="52"/>
        <v>24</v>
      </c>
      <c r="HY20" s="1167">
        <f t="shared" si="52"/>
        <v>25</v>
      </c>
      <c r="HZ20" s="1167">
        <f t="shared" si="52"/>
        <v>26</v>
      </c>
      <c r="IA20" s="1168" t="s">
        <v>1167</v>
      </c>
      <c r="IB20" s="1167">
        <v>27</v>
      </c>
      <c r="IC20" s="1167"/>
      <c r="ID20" s="1167"/>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215" t="str">
        <f t="shared" si="16"/>
        <v/>
      </c>
      <c r="AC21" s="1222" t="str">
        <f t="shared" si="4"/>
        <v/>
      </c>
      <c r="AD21" s="1217" t="str">
        <f t="shared" ca="1" si="44"/>
        <v/>
      </c>
      <c r="AE21" s="1221" t="str">
        <f t="shared" ca="1" si="45"/>
        <v/>
      </c>
      <c r="AF21" s="1222" t="str">
        <f t="shared" ca="1" si="46"/>
        <v/>
      </c>
      <c r="AG21" s="1217" t="str">
        <f t="shared" ca="1" si="47"/>
        <v/>
      </c>
      <c r="AH21" s="1221" t="str">
        <f t="shared" ca="1" si="48"/>
        <v/>
      </c>
      <c r="AI21" s="1217" t="str">
        <f t="shared" ca="1" si="49"/>
        <v/>
      </c>
      <c r="AJ21" s="1221" t="str">
        <f t="shared" ca="1" si="50"/>
        <v/>
      </c>
      <c r="AK21" s="1742" t="str">
        <f t="shared" ref="AK21:AK45" si="53">IF(ISBLANK(DO21),"",DO21)</f>
        <v/>
      </c>
      <c r="AL21" s="1743" t="str">
        <f t="shared" si="5"/>
        <v/>
      </c>
      <c r="AM21" s="1744" t="str">
        <f t="shared" ref="AM21:AM45" si="54">IF(ISBLANK(DQ21),"",DQ21)</f>
        <v/>
      </c>
      <c r="AN21" s="1222" t="str">
        <f t="shared" ref="AN21:AN45" si="55">IF(ISBLANK(DR21),"",DR21)</f>
        <v/>
      </c>
      <c r="AO21" s="1745" t="str">
        <f t="shared" ref="AO21:AO45" si="56">IF(ISBLANK(DS21),"",DS21)</f>
        <v/>
      </c>
      <c r="AP21" s="1224" t="str">
        <f t="shared" si="6"/>
        <v/>
      </c>
      <c r="AQ21" s="1746" t="str">
        <f t="shared" si="7"/>
        <v/>
      </c>
      <c r="AR21" s="1220" t="str">
        <f t="shared" si="21"/>
        <v/>
      </c>
      <c r="AS21" s="1221" t="str">
        <f t="shared" si="22"/>
        <v/>
      </c>
      <c r="AT21" s="1747" t="str">
        <f t="shared" si="23"/>
        <v/>
      </c>
      <c r="AU21" s="1748" t="str">
        <f t="shared" si="8"/>
        <v/>
      </c>
      <c r="AV21" s="1226" t="str">
        <f t="shared" si="24"/>
        <v/>
      </c>
      <c r="AW21" s="1221" t="str">
        <f t="shared" si="25"/>
        <v/>
      </c>
      <c r="AX21" s="1747" t="str">
        <f t="shared" si="26"/>
        <v/>
      </c>
      <c r="AY21" s="1748" t="str">
        <f t="shared" si="9"/>
        <v/>
      </c>
      <c r="AZ21" s="1226" t="str">
        <f t="shared" si="27"/>
        <v/>
      </c>
      <c r="BA21" s="1221" t="str">
        <f t="shared" si="28"/>
        <v/>
      </c>
      <c r="BB21" s="1747" t="str">
        <f t="shared" si="29"/>
        <v/>
      </c>
      <c r="BC21" s="1748" t="str">
        <f t="shared" si="10"/>
        <v/>
      </c>
      <c r="BD21" s="1226" t="str">
        <f t="shared" si="30"/>
        <v/>
      </c>
      <c r="BE21" s="1221" t="str">
        <f t="shared" si="31"/>
        <v/>
      </c>
      <c r="BF21" s="1747" t="str">
        <f t="shared" ref="BF21:BF45" si="57">IF(ISBLANK(EJ21),"",EJ21)</f>
        <v/>
      </c>
      <c r="BG21" s="1748" t="str">
        <f t="shared" si="11"/>
        <v/>
      </c>
      <c r="BH21" s="261"/>
      <c r="BJ21" s="143"/>
      <c r="BW21" s="991">
        <f t="shared" ca="1" si="33"/>
        <v>0</v>
      </c>
      <c r="BX21" s="991" t="str">
        <f t="shared" ca="1" si="40"/>
        <v/>
      </c>
      <c r="BY21" s="991" t="b">
        <f t="shared" ca="1" si="34"/>
        <v>0</v>
      </c>
      <c r="BZ21" s="1304" t="b">
        <f t="shared" si="41"/>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672"/>
      <c r="DI21" s="673"/>
      <c r="DJ21" s="692"/>
      <c r="DK21" s="1332"/>
      <c r="DL21" s="674"/>
      <c r="DM21" s="693"/>
      <c r="DN21" s="1335"/>
      <c r="DO21" s="675"/>
      <c r="DP21" s="676"/>
      <c r="DQ21" s="1420"/>
      <c r="DR21" s="677"/>
      <c r="DS21" s="1612"/>
      <c r="DT21" s="1607"/>
      <c r="DU21" s="1608"/>
      <c r="DV21" s="678"/>
      <c r="DW21" s="1337"/>
      <c r="DX21" s="679"/>
      <c r="DY21" s="674"/>
      <c r="DZ21" s="678"/>
      <c r="EA21" s="1337"/>
      <c r="EB21" s="679"/>
      <c r="EC21" s="674"/>
      <c r="ED21" s="678"/>
      <c r="EE21" s="1337"/>
      <c r="EF21" s="679"/>
      <c r="EG21" s="674"/>
      <c r="EH21" s="678"/>
      <c r="EI21" s="1337"/>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6" t="s">
        <v>1156</v>
      </c>
      <c r="HA21" s="1167">
        <v>1</v>
      </c>
      <c r="HB21" s="1167">
        <f>HA21+1</f>
        <v>2</v>
      </c>
      <c r="HC21" s="1167">
        <f t="shared" ref="HC21:HK22" si="58">HB21+1</f>
        <v>3</v>
      </c>
      <c r="HD21" s="1167">
        <f t="shared" si="58"/>
        <v>4</v>
      </c>
      <c r="HE21" s="1167">
        <f t="shared" si="58"/>
        <v>5</v>
      </c>
      <c r="HF21" s="1167">
        <f t="shared" si="58"/>
        <v>6</v>
      </c>
      <c r="HG21" s="1167">
        <f t="shared" si="58"/>
        <v>7</v>
      </c>
      <c r="HH21" s="1167">
        <f t="shared" si="58"/>
        <v>8</v>
      </c>
      <c r="HI21" s="1167">
        <f t="shared" si="58"/>
        <v>9</v>
      </c>
      <c r="HJ21" s="1167">
        <f t="shared" si="58"/>
        <v>10</v>
      </c>
      <c r="HK21" s="1167">
        <f t="shared" si="58"/>
        <v>11</v>
      </c>
      <c r="HL21" s="1167">
        <f t="shared" ref="HL21:HX22" si="59">HK21+1</f>
        <v>12</v>
      </c>
      <c r="HM21" s="1167">
        <f t="shared" si="59"/>
        <v>13</v>
      </c>
      <c r="HN21" s="1167">
        <f t="shared" si="59"/>
        <v>14</v>
      </c>
      <c r="HO21" s="1167">
        <f t="shared" si="59"/>
        <v>15</v>
      </c>
      <c r="HP21" s="1167">
        <f t="shared" si="59"/>
        <v>16</v>
      </c>
      <c r="HQ21" s="1167">
        <f t="shared" si="59"/>
        <v>17</v>
      </c>
      <c r="HR21" s="1167">
        <f t="shared" si="59"/>
        <v>18</v>
      </c>
      <c r="HS21" s="1167">
        <f t="shared" ref="HS21:ID21" si="60">HR21+1</f>
        <v>19</v>
      </c>
      <c r="HT21" s="1167">
        <f t="shared" si="60"/>
        <v>20</v>
      </c>
      <c r="HU21" s="1167">
        <f t="shared" si="60"/>
        <v>21</v>
      </c>
      <c r="HV21" s="1167">
        <f t="shared" si="60"/>
        <v>22</v>
      </c>
      <c r="HW21" s="1167">
        <f t="shared" si="60"/>
        <v>23</v>
      </c>
      <c r="HX21" s="1167">
        <f t="shared" si="60"/>
        <v>24</v>
      </c>
      <c r="HY21" s="1167">
        <f t="shared" si="60"/>
        <v>25</v>
      </c>
      <c r="HZ21" s="1167">
        <f t="shared" si="60"/>
        <v>26</v>
      </c>
      <c r="IA21" s="1169">
        <f t="shared" si="60"/>
        <v>27</v>
      </c>
      <c r="IB21" s="1169">
        <f t="shared" si="60"/>
        <v>28</v>
      </c>
      <c r="IC21" s="1169">
        <f t="shared" si="60"/>
        <v>29</v>
      </c>
      <c r="ID21" s="1169">
        <f t="shared" si="60"/>
        <v>30</v>
      </c>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215" t="str">
        <f t="shared" si="16"/>
        <v/>
      </c>
      <c r="AC22" s="1222" t="str">
        <f t="shared" si="4"/>
        <v/>
      </c>
      <c r="AD22" s="1217" t="str">
        <f t="shared" ca="1" si="44"/>
        <v/>
      </c>
      <c r="AE22" s="1221" t="str">
        <f t="shared" ca="1" si="45"/>
        <v/>
      </c>
      <c r="AF22" s="1222" t="str">
        <f t="shared" ca="1" si="46"/>
        <v/>
      </c>
      <c r="AG22" s="1217" t="str">
        <f t="shared" ca="1" si="47"/>
        <v/>
      </c>
      <c r="AH22" s="1221" t="str">
        <f t="shared" ca="1" si="48"/>
        <v/>
      </c>
      <c r="AI22" s="1217" t="str">
        <f t="shared" ca="1" si="49"/>
        <v/>
      </c>
      <c r="AJ22" s="1221" t="str">
        <f t="shared" ca="1" si="50"/>
        <v/>
      </c>
      <c r="AK22" s="1742" t="str">
        <f t="shared" si="53"/>
        <v/>
      </c>
      <c r="AL22" s="1743" t="str">
        <f t="shared" si="5"/>
        <v/>
      </c>
      <c r="AM22" s="1744" t="str">
        <f t="shared" si="54"/>
        <v/>
      </c>
      <c r="AN22" s="1222" t="str">
        <f t="shared" si="55"/>
        <v/>
      </c>
      <c r="AO22" s="1745" t="str">
        <f t="shared" si="56"/>
        <v/>
      </c>
      <c r="AP22" s="1224" t="str">
        <f t="shared" si="6"/>
        <v/>
      </c>
      <c r="AQ22" s="1746" t="str">
        <f t="shared" si="7"/>
        <v/>
      </c>
      <c r="AR22" s="1220" t="str">
        <f t="shared" si="21"/>
        <v/>
      </c>
      <c r="AS22" s="1221" t="str">
        <f t="shared" si="22"/>
        <v/>
      </c>
      <c r="AT22" s="1747" t="str">
        <f t="shared" si="23"/>
        <v/>
      </c>
      <c r="AU22" s="1748" t="str">
        <f t="shared" si="8"/>
        <v/>
      </c>
      <c r="AV22" s="1226" t="str">
        <f t="shared" si="24"/>
        <v/>
      </c>
      <c r="AW22" s="1221" t="str">
        <f t="shared" si="25"/>
        <v/>
      </c>
      <c r="AX22" s="1747" t="str">
        <f t="shared" si="26"/>
        <v/>
      </c>
      <c r="AY22" s="1748" t="str">
        <f t="shared" si="9"/>
        <v/>
      </c>
      <c r="AZ22" s="1226" t="str">
        <f t="shared" si="27"/>
        <v/>
      </c>
      <c r="BA22" s="1221" t="str">
        <f t="shared" si="28"/>
        <v/>
      </c>
      <c r="BB22" s="1747" t="str">
        <f t="shared" si="29"/>
        <v/>
      </c>
      <c r="BC22" s="1748" t="str">
        <f t="shared" si="10"/>
        <v/>
      </c>
      <c r="BD22" s="1226" t="str">
        <f t="shared" si="30"/>
        <v/>
      </c>
      <c r="BE22" s="1221" t="str">
        <f t="shared" si="31"/>
        <v/>
      </c>
      <c r="BF22" s="1747" t="str">
        <f t="shared" si="57"/>
        <v/>
      </c>
      <c r="BG22" s="1748" t="str">
        <f t="shared" si="11"/>
        <v/>
      </c>
      <c r="BH22" s="261"/>
      <c r="BJ22" s="143"/>
      <c r="BW22" s="991">
        <f t="shared" ca="1" si="33"/>
        <v>0</v>
      </c>
      <c r="BX22" s="991" t="str">
        <f t="shared" ca="1" si="40"/>
        <v/>
      </c>
      <c r="BY22" s="991" t="b">
        <f t="shared" ca="1" si="34"/>
        <v>0</v>
      </c>
      <c r="BZ22" s="1304" t="b">
        <f t="shared" si="41"/>
        <v>0</v>
      </c>
      <c r="CB22" s="2155" t="s">
        <v>638</v>
      </c>
      <c r="CC22" s="2156"/>
      <c r="CD22" s="2156"/>
      <c r="CE22" s="2156"/>
      <c r="CF22" s="2156"/>
      <c r="CG22" s="2156"/>
      <c r="CH22" s="2156"/>
      <c r="CI22" s="2156"/>
      <c r="CJ22" s="2156"/>
      <c r="CK22" s="2156"/>
      <c r="CL22" s="2156"/>
      <c r="CM22" s="2156"/>
      <c r="CN22" s="2156"/>
      <c r="CO22" s="2156"/>
      <c r="CP22" s="2156"/>
      <c r="CQ22" s="2156"/>
      <c r="CR22" s="2156"/>
      <c r="CS22" s="2156"/>
      <c r="CT22" s="2156"/>
      <c r="CU22" s="2156"/>
      <c r="CV22" s="2156"/>
      <c r="CW22" s="2156"/>
      <c r="CX22" s="2156"/>
      <c r="CY22" s="2156"/>
      <c r="CZ22" s="2157"/>
      <c r="DA22" s="2157"/>
      <c r="DB22" s="2157"/>
      <c r="DC22" s="2157"/>
      <c r="DD22" s="2157"/>
      <c r="DE22" s="2158"/>
      <c r="DF22" s="141"/>
      <c r="DG22" s="141"/>
      <c r="DH22" s="672"/>
      <c r="DI22" s="673"/>
      <c r="DJ22" s="692"/>
      <c r="DK22" s="1332"/>
      <c r="DL22" s="674"/>
      <c r="DM22" s="693"/>
      <c r="DN22" s="1335"/>
      <c r="DO22" s="675"/>
      <c r="DP22" s="676"/>
      <c r="DQ22" s="1420"/>
      <c r="DR22" s="677"/>
      <c r="DS22" s="1612"/>
      <c r="DT22" s="1607"/>
      <c r="DU22" s="1608"/>
      <c r="DV22" s="678"/>
      <c r="DW22" s="1337"/>
      <c r="DX22" s="679"/>
      <c r="DY22" s="674"/>
      <c r="DZ22" s="678"/>
      <c r="EA22" s="1337"/>
      <c r="EB22" s="679"/>
      <c r="EC22" s="674"/>
      <c r="ED22" s="678"/>
      <c r="EE22" s="1337"/>
      <c r="EF22" s="679"/>
      <c r="EG22" s="674"/>
      <c r="EH22" s="678"/>
      <c r="EI22" s="1337"/>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58"/>
        <v>4</v>
      </c>
      <c r="HE22" s="1167">
        <f t="shared" si="58"/>
        <v>5</v>
      </c>
      <c r="HF22" s="1167">
        <f t="shared" si="58"/>
        <v>6</v>
      </c>
      <c r="HG22" s="1167">
        <f t="shared" si="58"/>
        <v>7</v>
      </c>
      <c r="HH22" s="1167">
        <f t="shared" si="58"/>
        <v>8</v>
      </c>
      <c r="HI22" s="1167">
        <f t="shared" si="58"/>
        <v>9</v>
      </c>
      <c r="HJ22" s="1167">
        <f t="shared" si="58"/>
        <v>10</v>
      </c>
      <c r="HK22" s="1167">
        <f t="shared" si="58"/>
        <v>11</v>
      </c>
      <c r="HL22" s="1167">
        <f t="shared" si="59"/>
        <v>12</v>
      </c>
      <c r="HM22" s="1167">
        <f t="shared" si="59"/>
        <v>13</v>
      </c>
      <c r="HN22" s="1167">
        <f t="shared" si="59"/>
        <v>14</v>
      </c>
      <c r="HO22" s="1167">
        <f t="shared" si="59"/>
        <v>15</v>
      </c>
      <c r="HP22" s="1167">
        <f t="shared" si="59"/>
        <v>16</v>
      </c>
      <c r="HQ22" s="1167">
        <f t="shared" si="59"/>
        <v>17</v>
      </c>
      <c r="HR22" s="1167">
        <f t="shared" si="59"/>
        <v>18</v>
      </c>
      <c r="HS22" s="1167">
        <f t="shared" si="59"/>
        <v>19</v>
      </c>
      <c r="HT22" s="1167">
        <f t="shared" si="59"/>
        <v>20</v>
      </c>
      <c r="HU22" s="1167">
        <f t="shared" si="59"/>
        <v>21</v>
      </c>
      <c r="HV22" s="1167">
        <f t="shared" si="59"/>
        <v>22</v>
      </c>
      <c r="HW22" s="1167">
        <f t="shared" si="59"/>
        <v>23</v>
      </c>
      <c r="HX22" s="1167">
        <f t="shared" si="59"/>
        <v>24</v>
      </c>
      <c r="HY22" s="1167">
        <f>HX22+1</f>
        <v>25</v>
      </c>
      <c r="HZ22" s="1167">
        <f>HY22+1</f>
        <v>26</v>
      </c>
      <c r="IA22" s="1167">
        <f>HZ22+1</f>
        <v>27</v>
      </c>
      <c r="IB22" s="1167">
        <f>IA22+1</f>
        <v>28</v>
      </c>
      <c r="IC22" s="1167"/>
      <c r="ID22" s="1167"/>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215" t="str">
        <f t="shared" si="16"/>
        <v/>
      </c>
      <c r="AC23" s="1222" t="str">
        <f t="shared" si="4"/>
        <v/>
      </c>
      <c r="AD23" s="1217" t="str">
        <f t="shared" ca="1" si="44"/>
        <v/>
      </c>
      <c r="AE23" s="1221" t="str">
        <f t="shared" ca="1" si="45"/>
        <v/>
      </c>
      <c r="AF23" s="1222" t="str">
        <f t="shared" ca="1" si="46"/>
        <v/>
      </c>
      <c r="AG23" s="1217" t="str">
        <f t="shared" ca="1" si="47"/>
        <v/>
      </c>
      <c r="AH23" s="1221" t="str">
        <f t="shared" ca="1" si="48"/>
        <v/>
      </c>
      <c r="AI23" s="1217" t="str">
        <f t="shared" ca="1" si="49"/>
        <v/>
      </c>
      <c r="AJ23" s="1221" t="str">
        <f t="shared" ca="1" si="50"/>
        <v/>
      </c>
      <c r="AK23" s="1742" t="str">
        <f t="shared" si="53"/>
        <v/>
      </c>
      <c r="AL23" s="1743" t="str">
        <f t="shared" si="5"/>
        <v/>
      </c>
      <c r="AM23" s="1744" t="str">
        <f t="shared" si="54"/>
        <v/>
      </c>
      <c r="AN23" s="1222" t="str">
        <f t="shared" si="55"/>
        <v/>
      </c>
      <c r="AO23" s="1745" t="str">
        <f t="shared" si="56"/>
        <v/>
      </c>
      <c r="AP23" s="1224" t="str">
        <f t="shared" si="6"/>
        <v/>
      </c>
      <c r="AQ23" s="1746" t="str">
        <f t="shared" si="7"/>
        <v/>
      </c>
      <c r="AR23" s="1220" t="str">
        <f t="shared" si="21"/>
        <v/>
      </c>
      <c r="AS23" s="1221" t="str">
        <f t="shared" si="22"/>
        <v/>
      </c>
      <c r="AT23" s="1747" t="str">
        <f t="shared" si="23"/>
        <v/>
      </c>
      <c r="AU23" s="1748" t="str">
        <f t="shared" si="8"/>
        <v/>
      </c>
      <c r="AV23" s="1226" t="str">
        <f t="shared" si="24"/>
        <v/>
      </c>
      <c r="AW23" s="1221" t="str">
        <f t="shared" si="25"/>
        <v/>
      </c>
      <c r="AX23" s="1747" t="str">
        <f t="shared" si="26"/>
        <v/>
      </c>
      <c r="AY23" s="1748" t="str">
        <f t="shared" si="9"/>
        <v/>
      </c>
      <c r="AZ23" s="1226" t="str">
        <f t="shared" si="27"/>
        <v/>
      </c>
      <c r="BA23" s="1221" t="str">
        <f t="shared" si="28"/>
        <v/>
      </c>
      <c r="BB23" s="1747" t="str">
        <f t="shared" si="29"/>
        <v/>
      </c>
      <c r="BC23" s="1748" t="str">
        <f t="shared" si="10"/>
        <v/>
      </c>
      <c r="BD23" s="1226" t="str">
        <f t="shared" si="30"/>
        <v/>
      </c>
      <c r="BE23" s="1221" t="str">
        <f t="shared" si="31"/>
        <v/>
      </c>
      <c r="BF23" s="1747" t="str">
        <f t="shared" si="57"/>
        <v/>
      </c>
      <c r="BG23" s="1748" t="str">
        <f t="shared" si="11"/>
        <v/>
      </c>
      <c r="BH23" s="261"/>
      <c r="BJ23" s="143"/>
      <c r="BW23" s="991">
        <f t="shared" ca="1" si="33"/>
        <v>0</v>
      </c>
      <c r="BX23" s="991" t="str">
        <f t="shared" ca="1" si="40"/>
        <v/>
      </c>
      <c r="BY23" s="991" t="b">
        <f t="shared" ca="1" si="34"/>
        <v>0</v>
      </c>
      <c r="BZ23" s="1304" t="b">
        <f t="shared" si="41"/>
        <v>0</v>
      </c>
      <c r="CB23" s="2159"/>
      <c r="CC23" s="2160"/>
      <c r="CD23" s="2160"/>
      <c r="CE23" s="2160"/>
      <c r="CF23" s="2160"/>
      <c r="CG23" s="2160"/>
      <c r="CH23" s="2160"/>
      <c r="CI23" s="2160"/>
      <c r="CJ23" s="2160"/>
      <c r="CK23" s="2160"/>
      <c r="CL23" s="2160"/>
      <c r="CM23" s="2160"/>
      <c r="CN23" s="2160"/>
      <c r="CO23" s="2160"/>
      <c r="CP23" s="2160"/>
      <c r="CQ23" s="2160"/>
      <c r="CR23" s="2160"/>
      <c r="CS23" s="2160"/>
      <c r="CT23" s="2160"/>
      <c r="CU23" s="2160"/>
      <c r="CV23" s="2160"/>
      <c r="CW23" s="2160"/>
      <c r="CX23" s="2160"/>
      <c r="CY23" s="2160"/>
      <c r="CZ23" s="1971"/>
      <c r="DA23" s="1971"/>
      <c r="DB23" s="1971"/>
      <c r="DC23" s="1971"/>
      <c r="DD23" s="1971"/>
      <c r="DE23" s="2161"/>
      <c r="DF23" s="141"/>
      <c r="DG23" s="141"/>
      <c r="DH23" s="672"/>
      <c r="DI23" s="673"/>
      <c r="DJ23" s="692"/>
      <c r="DK23" s="1332"/>
      <c r="DL23" s="674"/>
      <c r="DM23" s="693"/>
      <c r="DN23" s="1335"/>
      <c r="DO23" s="675"/>
      <c r="DP23" s="676"/>
      <c r="DQ23" s="1420"/>
      <c r="DR23" s="677"/>
      <c r="DS23" s="1612"/>
      <c r="DT23" s="1607"/>
      <c r="DU23" s="1608"/>
      <c r="DV23" s="678"/>
      <c r="DW23" s="1337"/>
      <c r="DX23" s="679"/>
      <c r="DY23" s="674"/>
      <c r="DZ23" s="678"/>
      <c r="EA23" s="1337"/>
      <c r="EB23" s="679"/>
      <c r="EC23" s="674"/>
      <c r="ED23" s="678"/>
      <c r="EE23" s="1337"/>
      <c r="EF23" s="679"/>
      <c r="EG23" s="674"/>
      <c r="EH23" s="678"/>
      <c r="EI23" s="1337"/>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9">
        <f>B48+B49</f>
        <v>0</v>
      </c>
      <c r="Y24" s="2089"/>
      <c r="Z24" s="1093"/>
      <c r="AA24" s="1093"/>
      <c r="AB24" s="1215" t="str">
        <f t="shared" ref="AB24:AB45" si="61">IF(ISBLANK(DH24),"",DH24)</f>
        <v/>
      </c>
      <c r="AC24" s="1222" t="str">
        <f t="shared" si="4"/>
        <v/>
      </c>
      <c r="AD24" s="1217" t="str">
        <f t="shared" ca="1" si="44"/>
        <v/>
      </c>
      <c r="AE24" s="1221" t="str">
        <f t="shared" ca="1" si="45"/>
        <v/>
      </c>
      <c r="AF24" s="1222" t="str">
        <f t="shared" ca="1" si="46"/>
        <v/>
      </c>
      <c r="AG24" s="1217" t="str">
        <f t="shared" ca="1" si="47"/>
        <v/>
      </c>
      <c r="AH24" s="1221" t="str">
        <f t="shared" ca="1" si="48"/>
        <v/>
      </c>
      <c r="AI24" s="1217" t="str">
        <f t="shared" ca="1" si="49"/>
        <v/>
      </c>
      <c r="AJ24" s="1221" t="str">
        <f t="shared" ca="1" si="50"/>
        <v/>
      </c>
      <c r="AK24" s="1742" t="str">
        <f t="shared" si="53"/>
        <v/>
      </c>
      <c r="AL24" s="1743" t="str">
        <f t="shared" si="5"/>
        <v/>
      </c>
      <c r="AM24" s="1744" t="str">
        <f t="shared" si="54"/>
        <v/>
      </c>
      <c r="AN24" s="1222" t="str">
        <f t="shared" si="55"/>
        <v/>
      </c>
      <c r="AO24" s="1745" t="str">
        <f t="shared" si="56"/>
        <v/>
      </c>
      <c r="AP24" s="1224" t="str">
        <f t="shared" si="6"/>
        <v/>
      </c>
      <c r="AQ24" s="1746" t="str">
        <f t="shared" si="7"/>
        <v/>
      </c>
      <c r="AR24" s="1220" t="str">
        <f t="shared" si="21"/>
        <v/>
      </c>
      <c r="AS24" s="1221" t="str">
        <f t="shared" si="22"/>
        <v/>
      </c>
      <c r="AT24" s="1747" t="str">
        <f t="shared" si="23"/>
        <v/>
      </c>
      <c r="AU24" s="1748" t="str">
        <f t="shared" si="8"/>
        <v/>
      </c>
      <c r="AV24" s="1226" t="str">
        <f t="shared" si="24"/>
        <v/>
      </c>
      <c r="AW24" s="1221" t="str">
        <f t="shared" si="25"/>
        <v/>
      </c>
      <c r="AX24" s="1747" t="str">
        <f t="shared" si="26"/>
        <v/>
      </c>
      <c r="AY24" s="1748" t="str">
        <f t="shared" si="9"/>
        <v/>
      </c>
      <c r="AZ24" s="1226" t="str">
        <f t="shared" si="27"/>
        <v/>
      </c>
      <c r="BA24" s="1221" t="str">
        <f t="shared" si="28"/>
        <v/>
      </c>
      <c r="BB24" s="1747" t="str">
        <f t="shared" si="29"/>
        <v/>
      </c>
      <c r="BC24" s="1748" t="str">
        <f t="shared" si="10"/>
        <v/>
      </c>
      <c r="BD24" s="1226" t="str">
        <f t="shared" si="30"/>
        <v/>
      </c>
      <c r="BE24" s="1221" t="str">
        <f t="shared" si="31"/>
        <v/>
      </c>
      <c r="BF24" s="1747" t="str">
        <f t="shared" si="57"/>
        <v/>
      </c>
      <c r="BG24" s="1748" t="str">
        <f t="shared" si="11"/>
        <v/>
      </c>
      <c r="BH24" s="261"/>
      <c r="BJ24" s="143"/>
      <c r="BW24" s="991">
        <f t="shared" ca="1" si="33"/>
        <v>0</v>
      </c>
      <c r="BX24" s="991" t="str">
        <f t="shared" ca="1" si="40"/>
        <v/>
      </c>
      <c r="BY24" s="991" t="b">
        <f t="shared" ca="1" si="34"/>
        <v>0</v>
      </c>
      <c r="BZ24" s="1304" t="b">
        <f t="shared" si="41"/>
        <v>0</v>
      </c>
      <c r="CB24" s="2219"/>
      <c r="CC24" s="1971"/>
      <c r="CD24" s="1971"/>
      <c r="CE24" s="1971"/>
      <c r="CF24" s="2161"/>
      <c r="CG24" s="2215" t="s">
        <v>469</v>
      </c>
      <c r="CH24" s="2216"/>
      <c r="CI24" s="2216"/>
      <c r="CJ24" s="2216"/>
      <c r="CK24" s="2216"/>
      <c r="CL24" s="2216"/>
      <c r="CM24" s="2216"/>
      <c r="CN24" s="2157"/>
      <c r="CO24" s="2157"/>
      <c r="CP24" s="2158"/>
      <c r="CQ24" s="2215" t="s">
        <v>470</v>
      </c>
      <c r="CR24" s="2216"/>
      <c r="CS24" s="2216"/>
      <c r="CT24" s="2216"/>
      <c r="CU24" s="2216"/>
      <c r="CV24" s="2216"/>
      <c r="CW24" s="2216"/>
      <c r="CX24" s="2157"/>
      <c r="CY24" s="2157"/>
      <c r="CZ24" s="2158"/>
      <c r="DA24" s="1577"/>
      <c r="DB24" s="2237"/>
      <c r="DC24" s="2238"/>
      <c r="DD24" s="2238"/>
      <c r="DE24" s="2239"/>
      <c r="DF24" s="141"/>
      <c r="DG24" s="141"/>
      <c r="DH24" s="672"/>
      <c r="DI24" s="673"/>
      <c r="DJ24" s="692"/>
      <c r="DK24" s="1332"/>
      <c r="DL24" s="674"/>
      <c r="DM24" s="693"/>
      <c r="DN24" s="1335"/>
      <c r="DO24" s="675"/>
      <c r="DP24" s="676"/>
      <c r="DQ24" s="1420"/>
      <c r="DR24" s="677"/>
      <c r="DS24" s="1612"/>
      <c r="DT24" s="1607"/>
      <c r="DU24" s="1608"/>
      <c r="DV24" s="678"/>
      <c r="DW24" s="1337"/>
      <c r="DX24" s="679"/>
      <c r="DY24" s="674"/>
      <c r="DZ24" s="678"/>
      <c r="EA24" s="1337"/>
      <c r="EB24" s="679"/>
      <c r="EC24" s="674"/>
      <c r="ED24" s="678"/>
      <c r="EE24" s="1337"/>
      <c r="EF24" s="679"/>
      <c r="EG24" s="674"/>
      <c r="EH24" s="678"/>
      <c r="EI24" s="1337"/>
      <c r="EJ24" s="679"/>
      <c r="EK24" s="680"/>
      <c r="EL24" s="141"/>
      <c r="EM24" s="1004"/>
      <c r="EN24" s="930"/>
      <c r="EO24" s="931"/>
      <c r="EP24" s="141"/>
      <c r="EQ24" s="141"/>
      <c r="ER24" s="141"/>
      <c r="ES24" s="141"/>
      <c r="ET24" s="2098" t="s">
        <v>615</v>
      </c>
      <c r="EU24" s="2099"/>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1215" t="str">
        <f t="shared" si="61"/>
        <v/>
      </c>
      <c r="AC25" s="1222" t="str">
        <f t="shared" si="4"/>
        <v/>
      </c>
      <c r="AD25" s="1217" t="str">
        <f t="shared" ca="1" si="44"/>
        <v/>
      </c>
      <c r="AE25" s="1221" t="str">
        <f t="shared" ca="1" si="45"/>
        <v/>
      </c>
      <c r="AF25" s="1222" t="str">
        <f t="shared" ca="1" si="46"/>
        <v/>
      </c>
      <c r="AG25" s="1217" t="str">
        <f t="shared" ca="1" si="47"/>
        <v/>
      </c>
      <c r="AH25" s="1221" t="str">
        <f t="shared" ca="1" si="48"/>
        <v/>
      </c>
      <c r="AI25" s="1217" t="str">
        <f t="shared" ca="1" si="49"/>
        <v/>
      </c>
      <c r="AJ25" s="1221" t="str">
        <f t="shared" ca="1" si="50"/>
        <v/>
      </c>
      <c r="AK25" s="1742" t="str">
        <f t="shared" si="53"/>
        <v/>
      </c>
      <c r="AL25" s="1743" t="str">
        <f t="shared" si="5"/>
        <v/>
      </c>
      <c r="AM25" s="1744" t="str">
        <f t="shared" si="54"/>
        <v/>
      </c>
      <c r="AN25" s="1222" t="str">
        <f t="shared" si="55"/>
        <v/>
      </c>
      <c r="AO25" s="1745" t="str">
        <f t="shared" si="56"/>
        <v/>
      </c>
      <c r="AP25" s="1224" t="str">
        <f t="shared" si="6"/>
        <v/>
      </c>
      <c r="AQ25" s="1746" t="str">
        <f t="shared" si="7"/>
        <v/>
      </c>
      <c r="AR25" s="1220" t="str">
        <f t="shared" si="21"/>
        <v/>
      </c>
      <c r="AS25" s="1221" t="str">
        <f t="shared" si="22"/>
        <v/>
      </c>
      <c r="AT25" s="1747" t="str">
        <f t="shared" si="23"/>
        <v/>
      </c>
      <c r="AU25" s="1748" t="str">
        <f t="shared" si="8"/>
        <v/>
      </c>
      <c r="AV25" s="1226" t="str">
        <f t="shared" si="24"/>
        <v/>
      </c>
      <c r="AW25" s="1221" t="str">
        <f t="shared" si="25"/>
        <v/>
      </c>
      <c r="AX25" s="1747" t="str">
        <f t="shared" si="26"/>
        <v/>
      </c>
      <c r="AY25" s="1748" t="str">
        <f t="shared" si="9"/>
        <v/>
      </c>
      <c r="AZ25" s="1226" t="str">
        <f t="shared" si="27"/>
        <v/>
      </c>
      <c r="BA25" s="1221" t="str">
        <f t="shared" si="28"/>
        <v/>
      </c>
      <c r="BB25" s="1747" t="str">
        <f t="shared" si="29"/>
        <v/>
      </c>
      <c r="BC25" s="1748" t="str">
        <f t="shared" si="10"/>
        <v/>
      </c>
      <c r="BD25" s="1226" t="str">
        <f t="shared" si="30"/>
        <v/>
      </c>
      <c r="BE25" s="1221" t="str">
        <f t="shared" si="31"/>
        <v/>
      </c>
      <c r="BF25" s="1747" t="str">
        <f t="shared" si="57"/>
        <v/>
      </c>
      <c r="BG25" s="1748" t="str">
        <f t="shared" si="11"/>
        <v/>
      </c>
      <c r="BH25" s="261"/>
      <c r="BJ25" s="143"/>
      <c r="BW25" s="991">
        <f t="shared" ca="1" si="33"/>
        <v>0</v>
      </c>
      <c r="BX25" s="991" t="str">
        <f t="shared" ca="1" si="40"/>
        <v/>
      </c>
      <c r="BY25" s="991" t="b">
        <f t="shared" ca="1" si="34"/>
        <v>0</v>
      </c>
      <c r="BZ25" s="1304" t="b">
        <f t="shared" si="41"/>
        <v>0</v>
      </c>
      <c r="CB25" s="2220"/>
      <c r="CC25" s="2221"/>
      <c r="CD25" s="2221"/>
      <c r="CE25" s="2221"/>
      <c r="CF25" s="2222"/>
      <c r="CG25" s="2217"/>
      <c r="CH25" s="2218"/>
      <c r="CI25" s="2218"/>
      <c r="CJ25" s="2218"/>
      <c r="CK25" s="2218"/>
      <c r="CL25" s="2218"/>
      <c r="CM25" s="2218"/>
      <c r="CN25" s="1971"/>
      <c r="CO25" s="1971"/>
      <c r="CP25" s="2161"/>
      <c r="CQ25" s="2229"/>
      <c r="CR25" s="2230"/>
      <c r="CS25" s="2230"/>
      <c r="CT25" s="2230"/>
      <c r="CU25" s="2230"/>
      <c r="CV25" s="2230"/>
      <c r="CW25" s="2230"/>
      <c r="CX25" s="2231"/>
      <c r="CY25" s="2231"/>
      <c r="CZ25" s="2232"/>
      <c r="DA25" s="1577"/>
      <c r="DB25" s="2233"/>
      <c r="DC25" s="2158"/>
      <c r="DD25" s="2235"/>
      <c r="DE25" s="2236"/>
      <c r="DF25" s="141"/>
      <c r="DG25" s="141"/>
      <c r="DH25" s="672"/>
      <c r="DI25" s="673"/>
      <c r="DJ25" s="692"/>
      <c r="DK25" s="1332"/>
      <c r="DL25" s="674"/>
      <c r="DM25" s="693"/>
      <c r="DN25" s="1335"/>
      <c r="DO25" s="675"/>
      <c r="DP25" s="676"/>
      <c r="DQ25" s="1420"/>
      <c r="DR25" s="677"/>
      <c r="DS25" s="1612"/>
      <c r="DT25" s="1607"/>
      <c r="DU25" s="1608"/>
      <c r="DV25" s="678"/>
      <c r="DW25" s="1337"/>
      <c r="DX25" s="679"/>
      <c r="DY25" s="674"/>
      <c r="DZ25" s="678"/>
      <c r="EA25" s="1337"/>
      <c r="EB25" s="679"/>
      <c r="EC25" s="674"/>
      <c r="ED25" s="678"/>
      <c r="EE25" s="1337"/>
      <c r="EF25" s="679"/>
      <c r="EG25" s="674"/>
      <c r="EH25" s="678"/>
      <c r="EI25" s="1337"/>
      <c r="EJ25" s="679"/>
      <c r="EK25" s="680"/>
      <c r="EL25" s="141"/>
      <c r="EM25" s="1004"/>
      <c r="EN25" s="930"/>
      <c r="EO25" s="931"/>
      <c r="EP25" s="141"/>
      <c r="EQ25" s="141"/>
      <c r="ER25" s="141"/>
      <c r="ES25" s="141"/>
      <c r="ET25" s="2100"/>
      <c r="EU25" s="2101"/>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1970" t="s">
        <v>1140</v>
      </c>
      <c r="GB25" s="1970"/>
      <c r="GC25" s="1970"/>
      <c r="GD25" s="1970"/>
      <c r="GE25" s="1970"/>
      <c r="GF25" s="1970"/>
      <c r="GG25" s="1971"/>
      <c r="GH25" s="1971"/>
      <c r="GI25" s="1971"/>
      <c r="GJ25" s="1971"/>
      <c r="GK25" s="2"/>
      <c r="ID25" s="781"/>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43"/>
        <v>0</v>
      </c>
    </row>
    <row r="26" spans="1:274" ht="12.6" customHeight="1" thickTop="1" thickBot="1" x14ac:dyDescent="0.25">
      <c r="A26" s="1934" t="s">
        <v>40</v>
      </c>
      <c r="B26" s="1935" t="s">
        <v>130</v>
      </c>
      <c r="C26" s="1935" t="s">
        <v>31</v>
      </c>
      <c r="D26" s="1935" t="s">
        <v>25</v>
      </c>
      <c r="E26" s="1936"/>
      <c r="F26" s="1937" t="s">
        <v>88</v>
      </c>
      <c r="G26" s="1910" t="s">
        <v>9</v>
      </c>
      <c r="H26" s="1908"/>
      <c r="I26" s="1908"/>
      <c r="J26" s="1908" t="s">
        <v>10</v>
      </c>
      <c r="K26" s="1908"/>
      <c r="L26" s="1911"/>
      <c r="M26" s="1938" t="s">
        <v>11</v>
      </c>
      <c r="N26" s="1939"/>
      <c r="O26" s="1940" t="s">
        <v>12</v>
      </c>
      <c r="P26" s="1905"/>
      <c r="Q26" s="1905" t="s">
        <v>13</v>
      </c>
      <c r="R26" s="1906"/>
      <c r="S26" s="1907" t="s">
        <v>14</v>
      </c>
      <c r="T26" s="1908"/>
      <c r="U26" s="1908"/>
      <c r="V26" s="1908"/>
      <c r="W26" s="1909"/>
      <c r="X26" s="1910" t="s">
        <v>111</v>
      </c>
      <c r="Y26" s="1911"/>
      <c r="Z26" s="1117" t="s">
        <v>15</v>
      </c>
      <c r="AA26" s="1912" t="s">
        <v>939</v>
      </c>
      <c r="AB26" s="1215" t="str">
        <f t="shared" si="61"/>
        <v/>
      </c>
      <c r="AC26" s="1222" t="str">
        <f t="shared" si="4"/>
        <v/>
      </c>
      <c r="AD26" s="1217" t="str">
        <f t="shared" ca="1" si="44"/>
        <v/>
      </c>
      <c r="AE26" s="1221" t="str">
        <f t="shared" ca="1" si="45"/>
        <v/>
      </c>
      <c r="AF26" s="1222" t="str">
        <f t="shared" ca="1" si="46"/>
        <v/>
      </c>
      <c r="AG26" s="1217" t="str">
        <f t="shared" ca="1" si="47"/>
        <v/>
      </c>
      <c r="AH26" s="1221" t="str">
        <f t="shared" ca="1" si="48"/>
        <v/>
      </c>
      <c r="AI26" s="1217" t="str">
        <f t="shared" ca="1" si="49"/>
        <v/>
      </c>
      <c r="AJ26" s="1221" t="str">
        <f t="shared" ca="1" si="50"/>
        <v/>
      </c>
      <c r="AK26" s="1742" t="str">
        <f t="shared" si="53"/>
        <v/>
      </c>
      <c r="AL26" s="1743" t="str">
        <f t="shared" si="5"/>
        <v/>
      </c>
      <c r="AM26" s="1744" t="str">
        <f t="shared" si="54"/>
        <v/>
      </c>
      <c r="AN26" s="1222" t="str">
        <f t="shared" si="55"/>
        <v/>
      </c>
      <c r="AO26" s="1745" t="str">
        <f t="shared" si="56"/>
        <v/>
      </c>
      <c r="AP26" s="1224" t="str">
        <f t="shared" si="6"/>
        <v/>
      </c>
      <c r="AQ26" s="1746" t="str">
        <f t="shared" si="7"/>
        <v/>
      </c>
      <c r="AR26" s="1220" t="str">
        <f t="shared" si="21"/>
        <v/>
      </c>
      <c r="AS26" s="1221" t="str">
        <f t="shared" si="22"/>
        <v/>
      </c>
      <c r="AT26" s="1747" t="str">
        <f t="shared" si="23"/>
        <v/>
      </c>
      <c r="AU26" s="1748" t="str">
        <f t="shared" si="8"/>
        <v/>
      </c>
      <c r="AV26" s="1226" t="str">
        <f t="shared" si="24"/>
        <v/>
      </c>
      <c r="AW26" s="1221" t="str">
        <f t="shared" si="25"/>
        <v/>
      </c>
      <c r="AX26" s="1747" t="str">
        <f t="shared" si="26"/>
        <v/>
      </c>
      <c r="AY26" s="1748" t="str">
        <f t="shared" si="9"/>
        <v/>
      </c>
      <c r="AZ26" s="1226" t="str">
        <f t="shared" si="27"/>
        <v/>
      </c>
      <c r="BA26" s="1221" t="str">
        <f t="shared" si="28"/>
        <v/>
      </c>
      <c r="BB26" s="1747" t="str">
        <f t="shared" si="29"/>
        <v/>
      </c>
      <c r="BC26" s="1748" t="str">
        <f t="shared" si="10"/>
        <v/>
      </c>
      <c r="BD26" s="1226" t="str">
        <f t="shared" si="30"/>
        <v/>
      </c>
      <c r="BE26" s="1221" t="str">
        <f t="shared" si="31"/>
        <v/>
      </c>
      <c r="BF26" s="1747" t="str">
        <f t="shared" si="57"/>
        <v/>
      </c>
      <c r="BG26" s="1748" t="str">
        <f t="shared" si="11"/>
        <v/>
      </c>
      <c r="BH26" s="261"/>
      <c r="BJ26" s="143"/>
      <c r="BW26" s="991">
        <f t="shared" ca="1" si="33"/>
        <v>0</v>
      </c>
      <c r="BX26" s="991" t="str">
        <f t="shared" ca="1" si="40"/>
        <v/>
      </c>
      <c r="BY26" s="991" t="b">
        <f t="shared" ca="1" si="34"/>
        <v>0</v>
      </c>
      <c r="BZ26" s="1304" t="b">
        <f t="shared" si="41"/>
        <v>0</v>
      </c>
      <c r="CB26" s="2079" t="s">
        <v>613</v>
      </c>
      <c r="CC26" s="2153" t="s">
        <v>130</v>
      </c>
      <c r="CD26" s="2081" t="s">
        <v>478</v>
      </c>
      <c r="CE26" s="2147" t="s">
        <v>1291</v>
      </c>
      <c r="CF26" s="2148"/>
      <c r="CG26" s="1943" t="s">
        <v>1282</v>
      </c>
      <c r="CH26" s="1945" t="s">
        <v>595</v>
      </c>
      <c r="CI26" s="1946"/>
      <c r="CJ26" s="1945" t="s">
        <v>596</v>
      </c>
      <c r="CK26" s="1946"/>
      <c r="CL26" s="1962" t="s">
        <v>488</v>
      </c>
      <c r="CM26" s="1964" t="s">
        <v>790</v>
      </c>
      <c r="CN26" s="2223" t="s">
        <v>1276</v>
      </c>
      <c r="CO26" s="2224"/>
      <c r="CP26" s="2225"/>
      <c r="CQ26" s="1949" t="s">
        <v>1282</v>
      </c>
      <c r="CR26" s="1951" t="s">
        <v>595</v>
      </c>
      <c r="CS26" s="1952"/>
      <c r="CT26" s="1951" t="s">
        <v>596</v>
      </c>
      <c r="CU26" s="1952"/>
      <c r="CV26" s="2151" t="s">
        <v>488</v>
      </c>
      <c r="CW26" s="1960" t="s">
        <v>790</v>
      </c>
      <c r="CX26" s="2226" t="s">
        <v>1276</v>
      </c>
      <c r="CY26" s="2227"/>
      <c r="CZ26" s="2228"/>
      <c r="DA26" s="1941" t="s">
        <v>806</v>
      </c>
      <c r="DB26" s="2234"/>
      <c r="DC26" s="2161"/>
      <c r="DD26" s="1957" t="s">
        <v>1284</v>
      </c>
      <c r="DE26" s="1959" t="s">
        <v>1285</v>
      </c>
      <c r="DF26" s="141"/>
      <c r="DG26" s="141"/>
      <c r="DH26" s="672"/>
      <c r="DI26" s="673"/>
      <c r="DJ26" s="692"/>
      <c r="DK26" s="1332"/>
      <c r="DL26" s="674"/>
      <c r="DM26" s="693"/>
      <c r="DN26" s="1335"/>
      <c r="DO26" s="675"/>
      <c r="DP26" s="676"/>
      <c r="DQ26" s="1420"/>
      <c r="DR26" s="677"/>
      <c r="DS26" s="1612"/>
      <c r="DT26" s="1607"/>
      <c r="DU26" s="1608"/>
      <c r="DV26" s="678"/>
      <c r="DW26" s="1337"/>
      <c r="DX26" s="679"/>
      <c r="DY26" s="674"/>
      <c r="DZ26" s="678"/>
      <c r="EA26" s="1337"/>
      <c r="EB26" s="679"/>
      <c r="EC26" s="674"/>
      <c r="ED26" s="678"/>
      <c r="EE26" s="1337"/>
      <c r="EF26" s="679"/>
      <c r="EG26" s="674"/>
      <c r="EH26" s="678"/>
      <c r="EI26" s="1337"/>
      <c r="EJ26" s="679"/>
      <c r="EK26" s="680"/>
      <c r="EL26" s="141"/>
      <c r="EM26" s="1966" t="s">
        <v>613</v>
      </c>
      <c r="EN26" s="1968" t="s">
        <v>588</v>
      </c>
      <c r="EO26" s="1969"/>
      <c r="EP26" s="1969"/>
      <c r="EQ26" s="1966" t="s">
        <v>589</v>
      </c>
      <c r="ER26" s="1955" t="s">
        <v>1286</v>
      </c>
      <c r="ES26" s="1956"/>
      <c r="ET26" s="2102"/>
      <c r="EU26" s="2103"/>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028" t="s">
        <v>708</v>
      </c>
      <c r="GB26" s="2029"/>
      <c r="GC26" s="2028" t="s">
        <v>558</v>
      </c>
      <c r="GD26" s="2029"/>
      <c r="GE26" s="2072" t="s">
        <v>711</v>
      </c>
      <c r="GF26" s="2074" t="s">
        <v>632</v>
      </c>
      <c r="GG26" s="2028" t="s">
        <v>1142</v>
      </c>
      <c r="GH26" s="2029"/>
      <c r="GI26" s="2028" t="s">
        <v>1141</v>
      </c>
      <c r="GJ26" s="2029"/>
      <c r="GK26" s="2032" t="s">
        <v>712</v>
      </c>
      <c r="GL26" s="2032" t="s">
        <v>713</v>
      </c>
      <c r="GM26" s="2032" t="s">
        <v>714</v>
      </c>
      <c r="GZ26" s="145"/>
      <c r="HA26" s="2038" t="s">
        <v>632</v>
      </c>
      <c r="HB26" s="2014" t="s">
        <v>1134</v>
      </c>
      <c r="HC26" s="2014" t="s">
        <v>1159</v>
      </c>
      <c r="HD26" s="2014" t="str">
        <f>IF($HA$1,"Bay Length","Overall Length")</f>
        <v>Bay Length</v>
      </c>
      <c r="HE26" s="2015"/>
      <c r="HF26" s="2014" t="str">
        <f>IF($HA$1,"L Sect #","TC Width")</f>
        <v>L Sect #</v>
      </c>
      <c r="HG26" s="1972" t="str">
        <f>IF($HA$1,"L Min Sup Wid","TCXL Feet")</f>
        <v>L Min Sup Wid</v>
      </c>
      <c r="HH26" s="1972" t="str">
        <f>IF($HA$1,"L Max Sup Wid","TCXL Inch")</f>
        <v>L Max Sup Wid</v>
      </c>
      <c r="HI26" s="1972" t="str">
        <f>IF($HA$1,"L Min Flg Ga","TCXL Type")</f>
        <v>L Min Flg Ga</v>
      </c>
      <c r="HJ26" s="1972" t="str">
        <f>IF($HA$1,"L Max Flg Ga","TCXR Feet")</f>
        <v>L Max Flg Ga</v>
      </c>
      <c r="HK26" s="1972" t="str">
        <f>IF($HA$1,"L Skew","TCXR Inch")</f>
        <v>L Skew</v>
      </c>
      <c r="HL26" s="1972" t="str">
        <f>IF($HA$1,"L Brg Slp","TCXR Type")</f>
        <v>L Brg Slp</v>
      </c>
      <c r="HM26" s="2014" t="str">
        <f>IF($HA$1,"R Sect #","BDL")</f>
        <v>R Sect #</v>
      </c>
      <c r="HN26" s="1972" t="str">
        <f>IF($HA$1,"R Min Sup Wid","BDR")</f>
        <v>R Min Sup Wid</v>
      </c>
      <c r="HO26" s="1972" t="str">
        <f>IF($HA$1,"R Max Sup Wid","BCXL Feet")</f>
        <v>R Max Sup Wid</v>
      </c>
      <c r="HP26" s="1972" t="str">
        <f>IF($HA$1,"R Min Flg Ga","BCXL Inch")</f>
        <v>R Min Flg Ga</v>
      </c>
      <c r="HQ26" s="1972" t="str">
        <f>IF($HA$1,"R Max Flg Ga","BCXR Feet")</f>
        <v>R Max Flg Ga</v>
      </c>
      <c r="HR26" s="1972" t="str">
        <f>IF($HA$1,"R Skew","BCXR Inch")</f>
        <v>R Skew</v>
      </c>
      <c r="HS26" s="1972" t="str">
        <f>IF($HA$1,"R Brg Slp","HL Feet")</f>
        <v>R Brg Slp</v>
      </c>
      <c r="HT26" s="1972" t="str">
        <f>IF($HA$1,"TC Slope","HL Inch")</f>
        <v>TC Slope</v>
      </c>
      <c r="HU26" s="1972" t="str">
        <f>IF($HA$1,"Load Notes","HR Feet")</f>
        <v>Load Notes</v>
      </c>
      <c r="HV26" s="1972" t="str">
        <f>IF($HA$1,"Spcl Notes","HR Inch")</f>
        <v>Spcl Notes</v>
      </c>
      <c r="HW26" s="1972" t="str">
        <f>IF($HA$1,"# KB","Slot Ga")</f>
        <v># KB</v>
      </c>
      <c r="HX26" s="1972" t="str">
        <f>IF($HA$1,"TC Width","L Seat Slp")</f>
        <v>TC Width</v>
      </c>
      <c r="HY26" s="1972" t="str">
        <f>IF($HA$1,"TCL Override","R Seat Slp")</f>
        <v>TCL Override</v>
      </c>
      <c r="HZ26" s="1972" t="str">
        <f>IF($HA$1,"TCR Override","Load Notes")</f>
        <v>TCR Override</v>
      </c>
      <c r="IA26" s="1972" t="str">
        <f>IF($HA$1,"L-BL Override","Spcl Notes")</f>
        <v>L-BL Override</v>
      </c>
      <c r="IB26" s="1974" t="str">
        <f>IF($HA$1,"R-BL Override","# KB")</f>
        <v>R-BL Override</v>
      </c>
      <c r="IC26" s="1972" t="str">
        <f>IF($HA$1,"BDL Override","-")</f>
        <v>BDL Override</v>
      </c>
      <c r="ID26" s="1999" t="str">
        <f>IF($HA$1,"BDR Override","-")</f>
        <v>BDR Override</v>
      </c>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43"/>
        <v>0</v>
      </c>
    </row>
    <row r="27" spans="1:274" ht="12.6" customHeight="1" thickTop="1" thickBot="1" x14ac:dyDescent="0.25">
      <c r="A27" s="1934"/>
      <c r="B27" s="1935"/>
      <c r="C27" s="1935"/>
      <c r="D27" s="1935"/>
      <c r="E27" s="1936"/>
      <c r="F27" s="1937"/>
      <c r="G27" s="1914" t="s">
        <v>16</v>
      </c>
      <c r="H27" s="1915"/>
      <c r="I27" s="1103" t="s">
        <v>732</v>
      </c>
      <c r="J27" s="1915" t="s">
        <v>16</v>
      </c>
      <c r="K27" s="1915"/>
      <c r="L27" s="1065" t="s">
        <v>732</v>
      </c>
      <c r="M27" s="1107" t="s">
        <v>18</v>
      </c>
      <c r="N27" s="461" t="s">
        <v>19</v>
      </c>
      <c r="O27" s="1940"/>
      <c r="P27" s="1905"/>
      <c r="Q27" s="1905"/>
      <c r="R27" s="1906"/>
      <c r="S27" s="1916" t="s">
        <v>80</v>
      </c>
      <c r="T27" s="1915"/>
      <c r="U27" s="1915" t="s">
        <v>81</v>
      </c>
      <c r="V27" s="1915"/>
      <c r="W27" s="461" t="s">
        <v>27</v>
      </c>
      <c r="X27" s="1102" t="s">
        <v>112</v>
      </c>
      <c r="Y27" s="1065" t="s">
        <v>113</v>
      </c>
      <c r="Z27" s="1118" t="s">
        <v>57</v>
      </c>
      <c r="AA27" s="1913"/>
      <c r="AB27" s="1215" t="str">
        <f t="shared" si="61"/>
        <v/>
      </c>
      <c r="AC27" s="1222" t="str">
        <f t="shared" si="4"/>
        <v/>
      </c>
      <c r="AD27" s="1217" t="str">
        <f t="shared" ca="1" si="44"/>
        <v/>
      </c>
      <c r="AE27" s="1221" t="str">
        <f t="shared" ca="1" si="45"/>
        <v/>
      </c>
      <c r="AF27" s="1222" t="str">
        <f t="shared" ca="1" si="46"/>
        <v/>
      </c>
      <c r="AG27" s="1217" t="str">
        <f t="shared" ca="1" si="47"/>
        <v/>
      </c>
      <c r="AH27" s="1221" t="str">
        <f t="shared" ca="1" si="48"/>
        <v/>
      </c>
      <c r="AI27" s="1217" t="str">
        <f t="shared" ca="1" si="49"/>
        <v/>
      </c>
      <c r="AJ27" s="1221" t="str">
        <f t="shared" ca="1" si="50"/>
        <v/>
      </c>
      <c r="AK27" s="1742" t="str">
        <f t="shared" si="53"/>
        <v/>
      </c>
      <c r="AL27" s="1743" t="str">
        <f t="shared" si="5"/>
        <v/>
      </c>
      <c r="AM27" s="1744" t="str">
        <f t="shared" si="54"/>
        <v/>
      </c>
      <c r="AN27" s="1222" t="str">
        <f t="shared" si="55"/>
        <v/>
      </c>
      <c r="AO27" s="1745" t="str">
        <f t="shared" si="56"/>
        <v/>
      </c>
      <c r="AP27" s="1224" t="str">
        <f t="shared" si="6"/>
        <v/>
      </c>
      <c r="AQ27" s="1746" t="str">
        <f t="shared" si="7"/>
        <v/>
      </c>
      <c r="AR27" s="1220" t="str">
        <f t="shared" si="21"/>
        <v/>
      </c>
      <c r="AS27" s="1221" t="str">
        <f t="shared" si="22"/>
        <v/>
      </c>
      <c r="AT27" s="1747" t="str">
        <f t="shared" si="23"/>
        <v/>
      </c>
      <c r="AU27" s="1748" t="str">
        <f t="shared" si="8"/>
        <v/>
      </c>
      <c r="AV27" s="1226" t="str">
        <f t="shared" si="24"/>
        <v/>
      </c>
      <c r="AW27" s="1221" t="str">
        <f t="shared" si="25"/>
        <v/>
      </c>
      <c r="AX27" s="1747" t="str">
        <f t="shared" si="26"/>
        <v/>
      </c>
      <c r="AY27" s="1748" t="str">
        <f t="shared" si="9"/>
        <v/>
      </c>
      <c r="AZ27" s="1226" t="str">
        <f t="shared" si="27"/>
        <v/>
      </c>
      <c r="BA27" s="1221" t="str">
        <f t="shared" si="28"/>
        <v/>
      </c>
      <c r="BB27" s="1747" t="str">
        <f t="shared" si="29"/>
        <v/>
      </c>
      <c r="BC27" s="1748" t="str">
        <f t="shared" si="10"/>
        <v/>
      </c>
      <c r="BD27" s="1226" t="str">
        <f t="shared" si="30"/>
        <v/>
      </c>
      <c r="BE27" s="1221" t="str">
        <f t="shared" si="31"/>
        <v/>
      </c>
      <c r="BF27" s="1747" t="str">
        <f t="shared" si="57"/>
        <v/>
      </c>
      <c r="BG27" s="1748"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4" t="b">
        <f t="shared" si="41"/>
        <v>0</v>
      </c>
      <c r="CB27" s="2080"/>
      <c r="CC27" s="2152"/>
      <c r="CD27" s="1953"/>
      <c r="CE27" s="2149"/>
      <c r="CF27" s="2150"/>
      <c r="CG27" s="1944"/>
      <c r="CH27" s="1947"/>
      <c r="CI27" s="1948"/>
      <c r="CJ27" s="1947"/>
      <c r="CK27" s="1948"/>
      <c r="CL27" s="1963"/>
      <c r="CM27" s="1965"/>
      <c r="CN27" s="1547" t="s">
        <v>1283</v>
      </c>
      <c r="CO27" s="1548" t="s">
        <v>1278</v>
      </c>
      <c r="CP27" s="1549" t="s">
        <v>501</v>
      </c>
      <c r="CQ27" s="1950"/>
      <c r="CR27" s="1953"/>
      <c r="CS27" s="1954"/>
      <c r="CT27" s="1953"/>
      <c r="CU27" s="1954"/>
      <c r="CV27" s="2152"/>
      <c r="CW27" s="1961"/>
      <c r="CX27" s="1547" t="s">
        <v>1283</v>
      </c>
      <c r="CY27" s="1548" t="s">
        <v>1278</v>
      </c>
      <c r="CZ27" s="1549" t="s">
        <v>501</v>
      </c>
      <c r="DA27" s="1942"/>
      <c r="DB27" s="431" t="s">
        <v>418</v>
      </c>
      <c r="DC27" s="432" t="s">
        <v>553</v>
      </c>
      <c r="DD27" s="1958"/>
      <c r="DE27" s="1958"/>
      <c r="DF27" s="141"/>
      <c r="DG27" s="141"/>
      <c r="DH27" s="672"/>
      <c r="DI27" s="673"/>
      <c r="DJ27" s="692"/>
      <c r="DK27" s="1332"/>
      <c r="DL27" s="674"/>
      <c r="DM27" s="693"/>
      <c r="DN27" s="1335"/>
      <c r="DO27" s="675"/>
      <c r="DP27" s="676"/>
      <c r="DQ27" s="1420"/>
      <c r="DR27" s="677"/>
      <c r="DS27" s="1612"/>
      <c r="DT27" s="1607"/>
      <c r="DU27" s="1608"/>
      <c r="DV27" s="678"/>
      <c r="DW27" s="1337"/>
      <c r="DX27" s="679"/>
      <c r="DY27" s="674"/>
      <c r="DZ27" s="678"/>
      <c r="EA27" s="1337"/>
      <c r="EB27" s="679"/>
      <c r="EC27" s="674"/>
      <c r="ED27" s="678"/>
      <c r="EE27" s="1337"/>
      <c r="EF27" s="679"/>
      <c r="EG27" s="674"/>
      <c r="EH27" s="678"/>
      <c r="EI27" s="1337"/>
      <c r="EJ27" s="679"/>
      <c r="EK27" s="680"/>
      <c r="EL27" s="141"/>
      <c r="EM27" s="2027"/>
      <c r="EN27" s="522" t="s">
        <v>585</v>
      </c>
      <c r="EO27" s="433" t="s">
        <v>586</v>
      </c>
      <c r="EP27" s="434" t="s">
        <v>587</v>
      </c>
      <c r="EQ27" s="1967"/>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073"/>
      <c r="GF27" s="2073"/>
      <c r="GG27" s="542" t="s">
        <v>709</v>
      </c>
      <c r="GH27" s="543" t="s">
        <v>710</v>
      </c>
      <c r="GI27" s="542" t="s">
        <v>709</v>
      </c>
      <c r="GJ27" s="543" t="s">
        <v>710</v>
      </c>
      <c r="GK27" s="2033"/>
      <c r="GL27" s="2033"/>
      <c r="GM27" s="2033"/>
      <c r="GZ27" s="145"/>
      <c r="HA27" s="2039"/>
      <c r="HB27" s="1973"/>
      <c r="HC27" s="1973"/>
      <c r="HD27" s="1973"/>
      <c r="HE27" s="1973"/>
      <c r="HF27" s="1973"/>
      <c r="HG27" s="1973"/>
      <c r="HH27" s="1973"/>
      <c r="HI27" s="1973"/>
      <c r="HJ27" s="1973"/>
      <c r="HK27" s="1973"/>
      <c r="HL27" s="1973"/>
      <c r="HM27" s="1973"/>
      <c r="HN27" s="1973"/>
      <c r="HO27" s="1973"/>
      <c r="HP27" s="1973"/>
      <c r="HQ27" s="1973"/>
      <c r="HR27" s="1973"/>
      <c r="HS27" s="1973"/>
      <c r="HT27" s="1973"/>
      <c r="HU27" s="1973"/>
      <c r="HV27" s="1973"/>
      <c r="HW27" s="1973"/>
      <c r="HX27" s="1973"/>
      <c r="HY27" s="1973"/>
      <c r="HZ27" s="1973"/>
      <c r="IA27" s="1973"/>
      <c r="IB27" s="1975"/>
      <c r="IC27" s="1973"/>
      <c r="ID27" s="2000"/>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43"/>
        <v>0</v>
      </c>
    </row>
    <row r="28" spans="1:274" ht="12.6" customHeight="1" thickTop="1" x14ac:dyDescent="0.3">
      <c r="A28" s="1692" t="str">
        <f t="shared" ref="A28:A45" si="62">IF(ISBLANK(CB28),"",CB28)</f>
        <v/>
      </c>
      <c r="B28" s="1693" t="str">
        <f t="shared" ref="B28:B45" si="63">IF(ISBLANK(CC28),"",CC28)</f>
        <v/>
      </c>
      <c r="C28" s="1694" t="str">
        <f t="shared" ref="C28:C45" si="64">IF(ISBLANK(CD28),"",CD28)</f>
        <v/>
      </c>
      <c r="D28" s="1695" t="str">
        <f t="shared" ref="D28:D44" si="65">IF(CV68="","",TRUNC(CV68/12))</f>
        <v/>
      </c>
      <c r="E28" s="1696" t="str">
        <f t="shared" ref="E28:E44" si="66">IF(CV68="","",CV68-(D28*12))</f>
        <v/>
      </c>
      <c r="F28" s="1697" t="str">
        <f t="shared" ref="F28:F45" si="67">IF(ISBLANK(DE28),"",DE28)</f>
        <v/>
      </c>
      <c r="G28" s="1698" t="str">
        <f t="shared" ref="G28:G44" si="68">IF(DD68=0,"",TRUNC(DD68/12))</f>
        <v/>
      </c>
      <c r="H28" s="1699" t="str">
        <f t="shared" ref="H28:H44" si="69">IF(DD68=0,"",DD68-(G28*12))</f>
        <v/>
      </c>
      <c r="I28" s="1700" t="str">
        <f t="shared" ref="I28:I44" si="70">IF(DD68=0,"",CE68)</f>
        <v/>
      </c>
      <c r="J28" s="1695" t="str">
        <f t="shared" ref="J28:J44" si="71">IF(DJ68=0,"",TRUNC(DJ68/12))</f>
        <v/>
      </c>
      <c r="K28" s="1699" t="str">
        <f t="shared" ref="K28:K44" si="72">IF(DJ68=0,"",DJ68-(J28*12))</f>
        <v/>
      </c>
      <c r="L28" s="1701" t="str">
        <f t="shared" ref="L28:L44" si="73">IF(DJ68=0,"",CN68)</f>
        <v/>
      </c>
      <c r="M28" s="1702" t="str">
        <f t="shared" ref="M28:M45" si="74">IF(CW68="","",CW68)</f>
        <v/>
      </c>
      <c r="N28" s="1703" t="str">
        <f t="shared" ref="N28:N45" si="75">IF(CX68="","",CX68)</f>
        <v/>
      </c>
      <c r="O28" s="1698" t="str">
        <f t="shared" ref="O28:O44" si="76">IF(DZ68="","",IF(AND(DZ68&gt;-12,DZ68&lt;0),-0.000001,TRUNC(DZ68/12)))</f>
        <v/>
      </c>
      <c r="P28" s="1699" t="str">
        <f t="shared" ref="P28:P44" si="77">IF(DZ68="","",IF(AND(DZ68&lt;0,DZ68-(O28*12)=0),-0.00001,DZ68-(O28*12)))</f>
        <v/>
      </c>
      <c r="Q28" s="1695" t="str">
        <f t="shared" ref="Q28:Q44" si="78">IF(EA68="","",IF(AND(EA68&gt;-12,EA68&lt;0),-0.000001,TRUNC(EA68/12)))</f>
        <v/>
      </c>
      <c r="R28" s="1696" t="str">
        <f t="shared" ref="R28:R44" si="79">IF(EA68="","",IF(AND(EA68&lt;0,EA68-(Q28*12)=0),-0.00001,EA68-(Q28*12)))</f>
        <v/>
      </c>
      <c r="S28" s="1704" t="str">
        <f t="shared" ref="S28:S44" si="80">IF(DR68="","",IF(DR68="ERR",TRUNC(DQ68/12),TRUNC(DR68/12)))</f>
        <v/>
      </c>
      <c r="T28" s="1699" t="str">
        <f t="shared" ref="T28:T44" si="81">IF(DR68="","",IF(DR68="ERR",DQ68-(S28*12),DR68-(S28*12)))</f>
        <v/>
      </c>
      <c r="U28" s="1695" t="str">
        <f t="shared" ref="U28:U44" si="82">IF(DY68="","",IF(DY68="ERR",TRUNC(DX68/12),TRUNC(DY68/12)))</f>
        <v/>
      </c>
      <c r="V28" s="1699" t="str">
        <f t="shared" ref="V28:V44" si="83">IF(DY68="","",IF(DY68="ERR",DX68-(U28*12),DY68-(U28*12)))</f>
        <v/>
      </c>
      <c r="W28" s="1703">
        <f t="shared" ref="W28:W44" si="84">IF(EC68="",0,EC68)</f>
        <v>0</v>
      </c>
      <c r="X28" s="1705" t="str">
        <f t="shared" ref="X28:X44" si="85">IF(EN68="","",EN68)</f>
        <v/>
      </c>
      <c r="Y28" s="1706" t="str">
        <f t="shared" ref="Y28:Y44" si="86">IF(ES68="","",ES68)</f>
        <v/>
      </c>
      <c r="Z28" s="1707" t="str">
        <f t="shared" ref="Z28:Z45" si="87">CONCATENATE(IF(DC28="","",CONCATENATE("[",SUBSTITUTE(DC28," ",""),"] ")),IF(DB28="","",CONCATENATE("(",SUBSTITUTE(DB28," ",""),")")))</f>
        <v/>
      </c>
      <c r="AA28" s="1708" t="str">
        <f t="shared" ref="AA28:AA45" si="88">IF(ISBLANK(DD28),"",DD28)</f>
        <v/>
      </c>
      <c r="AB28" s="1215" t="str">
        <f t="shared" si="61"/>
        <v/>
      </c>
      <c r="AC28" s="1222" t="str">
        <f t="shared" si="4"/>
        <v/>
      </c>
      <c r="AD28" s="1217" t="str">
        <f t="shared" ca="1" si="44"/>
        <v/>
      </c>
      <c r="AE28" s="1221" t="str">
        <f t="shared" ca="1" si="45"/>
        <v/>
      </c>
      <c r="AF28" s="1222" t="str">
        <f t="shared" ca="1" si="46"/>
        <v/>
      </c>
      <c r="AG28" s="1217" t="str">
        <f t="shared" ca="1" si="47"/>
        <v/>
      </c>
      <c r="AH28" s="1221" t="str">
        <f t="shared" ca="1" si="48"/>
        <v/>
      </c>
      <c r="AI28" s="1217" t="str">
        <f t="shared" ca="1" si="49"/>
        <v/>
      </c>
      <c r="AJ28" s="1221" t="str">
        <f t="shared" ca="1" si="50"/>
        <v/>
      </c>
      <c r="AK28" s="1742" t="str">
        <f t="shared" si="53"/>
        <v/>
      </c>
      <c r="AL28" s="1743" t="str">
        <f t="shared" si="5"/>
        <v/>
      </c>
      <c r="AM28" s="1744" t="str">
        <f t="shared" si="54"/>
        <v/>
      </c>
      <c r="AN28" s="1222" t="str">
        <f t="shared" si="55"/>
        <v/>
      </c>
      <c r="AO28" s="1745" t="str">
        <f t="shared" si="56"/>
        <v/>
      </c>
      <c r="AP28" s="1224" t="str">
        <f t="shared" si="6"/>
        <v/>
      </c>
      <c r="AQ28" s="1746" t="str">
        <f t="shared" si="7"/>
        <v/>
      </c>
      <c r="AR28" s="1220" t="str">
        <f t="shared" si="21"/>
        <v/>
      </c>
      <c r="AS28" s="1221" t="str">
        <f t="shared" si="22"/>
        <v/>
      </c>
      <c r="AT28" s="1747" t="str">
        <f t="shared" si="23"/>
        <v/>
      </c>
      <c r="AU28" s="1748" t="str">
        <f t="shared" si="8"/>
        <v/>
      </c>
      <c r="AV28" s="1226" t="str">
        <f t="shared" si="24"/>
        <v/>
      </c>
      <c r="AW28" s="1221" t="str">
        <f t="shared" si="25"/>
        <v/>
      </c>
      <c r="AX28" s="1747" t="str">
        <f t="shared" si="26"/>
        <v/>
      </c>
      <c r="AY28" s="1748" t="str">
        <f t="shared" si="9"/>
        <v/>
      </c>
      <c r="AZ28" s="1226" t="str">
        <f t="shared" si="27"/>
        <v/>
      </c>
      <c r="BA28" s="1221" t="str">
        <f t="shared" si="28"/>
        <v/>
      </c>
      <c r="BB28" s="1747" t="str">
        <f t="shared" si="29"/>
        <v/>
      </c>
      <c r="BC28" s="1748" t="str">
        <f t="shared" si="10"/>
        <v/>
      </c>
      <c r="BD28" s="1226" t="str">
        <f t="shared" si="30"/>
        <v/>
      </c>
      <c r="BE28" s="1221" t="str">
        <f t="shared" si="31"/>
        <v/>
      </c>
      <c r="BF28" s="1747" t="str">
        <f t="shared" si="57"/>
        <v/>
      </c>
      <c r="BG28" s="1748" t="str">
        <f t="shared" si="11"/>
        <v/>
      </c>
      <c r="BH28" s="261"/>
      <c r="BJ28" s="1302"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3">
        <f>6+IF(LEFT(I28,1)="R",IF(ISNUMBER(G28),G28*12,0)+IF(ISNUMBER(H28),H28,0),0)</f>
        <v>6</v>
      </c>
      <c r="BT28" s="990" t="str">
        <f>IF(IF(ISNUMBER(S28),S28*12,0)+IF(ISNUMBER(T28),T28,0)&gt;0,IF(AND(IF(ISNUMBER(S28),S28*12,0)+IF(ISNUMBER(T28),T28,0)&gt;=$FE$4/2+$EX$6,IF(ISNUMBER(S28),S28*12,0)+IF(ISNUMBER(T28),T28,0)&lt;=(BS28-($FE$4/2+$EX$6))+IF(I28="X",2,0)),"Yes","No"),"No")</f>
        <v>No</v>
      </c>
      <c r="BU28" s="1303">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4" t="b">
        <f t="shared" si="41"/>
        <v>0</v>
      </c>
      <c r="CB28" s="664"/>
      <c r="CC28" s="1684"/>
      <c r="CD28" s="696"/>
      <c r="CE28" s="697"/>
      <c r="CF28" s="1328"/>
      <c r="CG28" s="664"/>
      <c r="CH28" s="709"/>
      <c r="CI28" s="710"/>
      <c r="CJ28" s="709"/>
      <c r="CK28" s="710"/>
      <c r="CL28" s="711"/>
      <c r="CM28" s="742"/>
      <c r="CN28" s="1578"/>
      <c r="CO28" s="1579"/>
      <c r="CP28" s="1580"/>
      <c r="CQ28" s="664"/>
      <c r="CR28" s="709"/>
      <c r="CS28" s="710"/>
      <c r="CT28" s="709"/>
      <c r="CU28" s="710"/>
      <c r="CV28" s="711"/>
      <c r="CW28" s="742"/>
      <c r="CX28" s="1578"/>
      <c r="CY28" s="1579"/>
      <c r="CZ28" s="1580"/>
      <c r="DA28" s="712"/>
      <c r="DB28" s="954"/>
      <c r="DC28" s="955"/>
      <c r="DD28" s="1597"/>
      <c r="DE28" s="1598"/>
      <c r="DF28" s="141"/>
      <c r="DG28" s="141"/>
      <c r="DH28" s="672"/>
      <c r="DI28" s="673"/>
      <c r="DJ28" s="692"/>
      <c r="DK28" s="1332"/>
      <c r="DL28" s="674"/>
      <c r="DM28" s="693"/>
      <c r="DN28" s="1335"/>
      <c r="DO28" s="675"/>
      <c r="DP28" s="676"/>
      <c r="DQ28" s="1420"/>
      <c r="DR28" s="677"/>
      <c r="DS28" s="1612"/>
      <c r="DT28" s="1607"/>
      <c r="DU28" s="1608"/>
      <c r="DV28" s="678"/>
      <c r="DW28" s="1337"/>
      <c r="DX28" s="679"/>
      <c r="DY28" s="674"/>
      <c r="DZ28" s="678"/>
      <c r="EA28" s="1337"/>
      <c r="EB28" s="679"/>
      <c r="EC28" s="674"/>
      <c r="ED28" s="678"/>
      <c r="EE28" s="1337"/>
      <c r="EF28" s="679"/>
      <c r="EG28" s="674"/>
      <c r="EH28" s="678"/>
      <c r="EI28" s="1337"/>
      <c r="EJ28" s="679"/>
      <c r="EK28" s="680"/>
      <c r="EL28" s="141"/>
      <c r="EM28" s="1630" t="str">
        <f>IF(ISBLANK(CB28),"",CB28)</f>
        <v/>
      </c>
      <c r="EN28" s="1631"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3" t="str">
        <f t="shared" ref="ER28:ER45" si="94">IF(ISBLANK(CO28),"",IF(CEILING(DB68,0.125)&lt;=DC68+$FA$4,"",CEILING(DB68,0.125)))</f>
        <v/>
      </c>
      <c r="ES28" s="1584" t="str">
        <f t="shared" ref="ES28:ES45" si="95">IF(ISBLANK(CY28),"",IF(CEILING(DH68,0.125)&lt;=DI68+$FA$4,"",CEILING(DH68,0.125)))</f>
        <v/>
      </c>
      <c r="ET28" s="1585" t="str">
        <f t="shared" ref="ET28:ET45" si="96">IF(CG28="","",IF($FB$4&gt;EV68,EV68,""))</f>
        <v/>
      </c>
      <c r="EU28" s="1586"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581" t="str">
        <f t="shared" ref="GA28:GA45" si="98">IF(GF28="","",CE28)</f>
        <v/>
      </c>
      <c r="GB28" s="623" t="str">
        <f t="shared" ref="GB28:GB45" si="99">IF(GF28="","",CF28)</f>
        <v/>
      </c>
      <c r="GC28" s="625" t="str">
        <f t="shared" ref="GC28:GC45" si="100">IF(GF28="","",IF(CD68="",0,CD68))</f>
        <v/>
      </c>
      <c r="GD28" s="626" t="str">
        <f t="shared" ref="GD28:GD45" si="101">IF(GF28="","",IF(CM68="",0,CM68))</f>
        <v/>
      </c>
      <c r="GE28" s="624" t="str">
        <f t="shared" ref="GE28:GE45" si="102">IF(GF28="","",IF(ISBLANK(DA28),IF(X28=Y28,0,MAX(ABS(X28),ABS(Y28))*IF(X28&lt;0,-1,1)),DA28))</f>
        <v/>
      </c>
      <c r="GF28" s="582" t="str">
        <f t="shared" ref="GF28:GF45" si="103">IF(A28=0,"",A28)</f>
        <v/>
      </c>
      <c r="GG28" s="692"/>
      <c r="GH28" s="1135"/>
      <c r="GI28" s="692"/>
      <c r="GJ28" s="1135"/>
      <c r="GK28" s="1641">
        <f t="shared" ref="GK28:GK45" si="104">IF(D28="",0,D28*12+E28)</f>
        <v>0</v>
      </c>
      <c r="GL28" s="1641" t="e">
        <f t="shared" ref="GL28:GL45" si="105">(GA28*12+GB28+GC28+GD28)/COS(ATAN(ABS(GE28/12)))</f>
        <v>#VALUE!</v>
      </c>
      <c r="GM28" s="1642" t="e">
        <f>IF(ABS(GK28-GL28)&gt;='Job Info.'!$L$22,ABS(GK28-GL28),0)</f>
        <v>#VALUE!</v>
      </c>
      <c r="GZ28" s="144"/>
      <c r="HA28" s="1236"/>
      <c r="HB28" s="1237"/>
      <c r="HC28" s="1237"/>
      <c r="HD28" s="1238"/>
      <c r="HE28" s="1239"/>
      <c r="HF28" s="1237"/>
      <c r="HG28" s="1237"/>
      <c r="HH28" s="1237"/>
      <c r="HI28" s="1237"/>
      <c r="HJ28" s="1237"/>
      <c r="HK28" s="1237"/>
      <c r="HL28" s="1237"/>
      <c r="HM28" s="1237"/>
      <c r="HN28" s="1237"/>
      <c r="HO28" s="1237"/>
      <c r="HP28" s="1237"/>
      <c r="HQ28" s="1237"/>
      <c r="HR28" s="1237"/>
      <c r="HS28" s="1237"/>
      <c r="HT28" s="1237"/>
      <c r="HU28" s="1237"/>
      <c r="HV28" s="1237"/>
      <c r="HW28" s="1237"/>
      <c r="HX28" s="1237"/>
      <c r="HY28" s="1240"/>
      <c r="HZ28" s="1240"/>
      <c r="IA28" s="1240"/>
      <c r="IB28" s="1240"/>
      <c r="IC28" s="1240"/>
      <c r="ID28" s="1241"/>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43"/>
        <v>0</v>
      </c>
    </row>
    <row r="29" spans="1:274" ht="12.6" customHeight="1" x14ac:dyDescent="0.25">
      <c r="A29" s="1215" t="str">
        <f t="shared" si="62"/>
        <v/>
      </c>
      <c r="B29" s="1709" t="str">
        <f t="shared" si="63"/>
        <v/>
      </c>
      <c r="C29" s="1216" t="str">
        <f t="shared" si="64"/>
        <v/>
      </c>
      <c r="D29" s="1217" t="str">
        <f t="shared" si="65"/>
        <v/>
      </c>
      <c r="E29" s="1218" t="str">
        <f t="shared" si="66"/>
        <v/>
      </c>
      <c r="F29" s="1219" t="str">
        <f t="shared" si="67"/>
        <v/>
      </c>
      <c r="G29" s="1220" t="str">
        <f t="shared" si="68"/>
        <v/>
      </c>
      <c r="H29" s="1221" t="str">
        <f t="shared" si="69"/>
        <v/>
      </c>
      <c r="I29" s="1222" t="str">
        <f t="shared" si="70"/>
        <v/>
      </c>
      <c r="J29" s="1217" t="str">
        <f t="shared" si="71"/>
        <v/>
      </c>
      <c r="K29" s="1221" t="str">
        <f t="shared" si="72"/>
        <v/>
      </c>
      <c r="L29" s="1223" t="str">
        <f t="shared" si="73"/>
        <v/>
      </c>
      <c r="M29" s="1224" t="str">
        <f t="shared" si="74"/>
        <v/>
      </c>
      <c r="N29" s="1225" t="str">
        <f t="shared" si="75"/>
        <v/>
      </c>
      <c r="O29" s="1220" t="str">
        <f t="shared" si="76"/>
        <v/>
      </c>
      <c r="P29" s="1221" t="str">
        <f t="shared" si="77"/>
        <v/>
      </c>
      <c r="Q29" s="1217" t="str">
        <f t="shared" si="78"/>
        <v/>
      </c>
      <c r="R29" s="1218" t="str">
        <f t="shared" si="79"/>
        <v/>
      </c>
      <c r="S29" s="1226" t="str">
        <f t="shared" si="80"/>
        <v/>
      </c>
      <c r="T29" s="1221" t="str">
        <f t="shared" si="81"/>
        <v/>
      </c>
      <c r="U29" s="1217" t="str">
        <f t="shared" si="82"/>
        <v/>
      </c>
      <c r="V29" s="1221" t="str">
        <f t="shared" si="83"/>
        <v/>
      </c>
      <c r="W29" s="1225">
        <f t="shared" si="84"/>
        <v>0</v>
      </c>
      <c r="X29" s="1227" t="str">
        <f t="shared" si="85"/>
        <v/>
      </c>
      <c r="Y29" s="1228" t="str">
        <f t="shared" si="86"/>
        <v/>
      </c>
      <c r="Z29" s="1710" t="str">
        <f t="shared" si="87"/>
        <v/>
      </c>
      <c r="AA29" s="1290" t="str">
        <f t="shared" si="88"/>
        <v/>
      </c>
      <c r="AB29" s="1215" t="str">
        <f t="shared" si="61"/>
        <v/>
      </c>
      <c r="AC29" s="1222" t="str">
        <f t="shared" si="4"/>
        <v/>
      </c>
      <c r="AD29" s="1217" t="str">
        <f t="shared" ca="1" si="44"/>
        <v/>
      </c>
      <c r="AE29" s="1221" t="str">
        <f t="shared" ca="1" si="45"/>
        <v/>
      </c>
      <c r="AF29" s="1222" t="str">
        <f t="shared" ca="1" si="46"/>
        <v/>
      </c>
      <c r="AG29" s="1217" t="str">
        <f t="shared" ca="1" si="47"/>
        <v/>
      </c>
      <c r="AH29" s="1221" t="str">
        <f t="shared" ca="1" si="48"/>
        <v/>
      </c>
      <c r="AI29" s="1217" t="str">
        <f t="shared" ca="1" si="49"/>
        <v/>
      </c>
      <c r="AJ29" s="1221" t="str">
        <f t="shared" ca="1" si="50"/>
        <v/>
      </c>
      <c r="AK29" s="1742" t="str">
        <f t="shared" si="53"/>
        <v/>
      </c>
      <c r="AL29" s="1743" t="str">
        <f t="shared" si="5"/>
        <v/>
      </c>
      <c r="AM29" s="1744" t="str">
        <f t="shared" si="54"/>
        <v/>
      </c>
      <c r="AN29" s="1222" t="str">
        <f t="shared" si="55"/>
        <v/>
      </c>
      <c r="AO29" s="1745" t="str">
        <f t="shared" si="56"/>
        <v/>
      </c>
      <c r="AP29" s="1224" t="str">
        <f t="shared" si="6"/>
        <v/>
      </c>
      <c r="AQ29" s="1746" t="str">
        <f t="shared" si="7"/>
        <v/>
      </c>
      <c r="AR29" s="1220" t="str">
        <f t="shared" si="21"/>
        <v/>
      </c>
      <c r="AS29" s="1221" t="str">
        <f t="shared" si="22"/>
        <v/>
      </c>
      <c r="AT29" s="1747" t="str">
        <f t="shared" si="23"/>
        <v/>
      </c>
      <c r="AU29" s="1748" t="str">
        <f t="shared" si="8"/>
        <v/>
      </c>
      <c r="AV29" s="1226" t="str">
        <f t="shared" si="24"/>
        <v/>
      </c>
      <c r="AW29" s="1221" t="str">
        <f t="shared" si="25"/>
        <v/>
      </c>
      <c r="AX29" s="1747" t="str">
        <f t="shared" si="26"/>
        <v/>
      </c>
      <c r="AY29" s="1748" t="str">
        <f t="shared" si="9"/>
        <v/>
      </c>
      <c r="AZ29" s="1226" t="str">
        <f t="shared" si="27"/>
        <v/>
      </c>
      <c r="BA29" s="1221" t="str">
        <f t="shared" si="28"/>
        <v/>
      </c>
      <c r="BB29" s="1747" t="str">
        <f t="shared" si="29"/>
        <v/>
      </c>
      <c r="BC29" s="1748" t="str">
        <f t="shared" si="10"/>
        <v/>
      </c>
      <c r="BD29" s="1226" t="str">
        <f t="shared" si="30"/>
        <v/>
      </c>
      <c r="BE29" s="1221" t="str">
        <f t="shared" si="31"/>
        <v/>
      </c>
      <c r="BF29" s="1747" t="str">
        <f t="shared" si="57"/>
        <v/>
      </c>
      <c r="BG29" s="1748" t="str">
        <f t="shared" si="11"/>
        <v/>
      </c>
      <c r="BH29" s="261"/>
      <c r="BJ29" s="1302"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3">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3">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4" t="b">
        <f t="shared" si="41"/>
        <v>0</v>
      </c>
      <c r="CB29" s="672"/>
      <c r="CC29" s="1685"/>
      <c r="CD29" s="699"/>
      <c r="CE29" s="700"/>
      <c r="CF29" s="1329"/>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1599"/>
      <c r="DE29" s="1600"/>
      <c r="DF29" s="141"/>
      <c r="DG29" s="141"/>
      <c r="DH29" s="672"/>
      <c r="DI29" s="673"/>
      <c r="DJ29" s="692"/>
      <c r="DK29" s="1332"/>
      <c r="DL29" s="674"/>
      <c r="DM29" s="693"/>
      <c r="DN29" s="1335"/>
      <c r="DO29" s="675"/>
      <c r="DP29" s="676"/>
      <c r="DQ29" s="1420"/>
      <c r="DR29" s="677"/>
      <c r="DS29" s="1612"/>
      <c r="DT29" s="1607"/>
      <c r="DU29" s="1608"/>
      <c r="DV29" s="678"/>
      <c r="DW29" s="1337"/>
      <c r="DX29" s="679"/>
      <c r="DY29" s="674"/>
      <c r="DZ29" s="678"/>
      <c r="EA29" s="1337"/>
      <c r="EB29" s="679"/>
      <c r="EC29" s="674"/>
      <c r="ED29" s="678"/>
      <c r="EE29" s="1337"/>
      <c r="EF29" s="679"/>
      <c r="EG29" s="674"/>
      <c r="EH29" s="678"/>
      <c r="EI29" s="1337"/>
      <c r="EJ29" s="679"/>
      <c r="EK29" s="680"/>
      <c r="EL29" s="141"/>
      <c r="EM29" s="1632" t="str">
        <f t="shared" ref="EM29:EM45" si="115">IF(ISBLANK(CB29),"",CB29)</f>
        <v/>
      </c>
      <c r="EN29" s="1633" t="str">
        <f t="shared" si="90"/>
        <v/>
      </c>
      <c r="EO29" s="648" t="str">
        <f t="shared" si="91"/>
        <v/>
      </c>
      <c r="EP29" s="649" t="str">
        <f t="shared" si="92"/>
        <v/>
      </c>
      <c r="EQ29" s="813" t="str">
        <f t="shared" si="93"/>
        <v/>
      </c>
      <c r="ER29" s="1587" t="str">
        <f t="shared" si="94"/>
        <v/>
      </c>
      <c r="ES29" s="1588" t="str">
        <f t="shared" si="95"/>
        <v/>
      </c>
      <c r="ET29" s="1589" t="str">
        <f t="shared" si="96"/>
        <v/>
      </c>
      <c r="EU29" s="1590"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581" t="str">
        <f t="shared" si="98"/>
        <v/>
      </c>
      <c r="GB29" s="623" t="str">
        <f t="shared" si="99"/>
        <v/>
      </c>
      <c r="GC29" s="625" t="str">
        <f t="shared" si="100"/>
        <v/>
      </c>
      <c r="GD29" s="626" t="str">
        <f t="shared" si="101"/>
        <v/>
      </c>
      <c r="GE29" s="624" t="str">
        <f t="shared" si="102"/>
        <v/>
      </c>
      <c r="GF29" s="582" t="str">
        <f t="shared" si="103"/>
        <v/>
      </c>
      <c r="GG29" s="692"/>
      <c r="GH29" s="1136"/>
      <c r="GI29" s="692"/>
      <c r="GJ29" s="1136"/>
      <c r="GK29" s="1641">
        <f t="shared" si="104"/>
        <v>0</v>
      </c>
      <c r="GL29" s="1641" t="e">
        <f t="shared" si="105"/>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48"/>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43"/>
        <v>0</v>
      </c>
    </row>
    <row r="30" spans="1:274" s="145" customFormat="1" ht="12.6" customHeight="1" x14ac:dyDescent="0.25">
      <c r="A30" s="1215" t="str">
        <f t="shared" si="62"/>
        <v/>
      </c>
      <c r="B30" s="1709" t="str">
        <f t="shared" si="63"/>
        <v/>
      </c>
      <c r="C30" s="1216" t="str">
        <f t="shared" si="64"/>
        <v/>
      </c>
      <c r="D30" s="1217" t="str">
        <f t="shared" si="65"/>
        <v/>
      </c>
      <c r="E30" s="1218" t="str">
        <f t="shared" si="66"/>
        <v/>
      </c>
      <c r="F30" s="1219" t="str">
        <f t="shared" si="67"/>
        <v/>
      </c>
      <c r="G30" s="1220" t="str">
        <f t="shared" si="68"/>
        <v/>
      </c>
      <c r="H30" s="1221" t="str">
        <f t="shared" si="69"/>
        <v/>
      </c>
      <c r="I30" s="1222" t="str">
        <f t="shared" si="70"/>
        <v/>
      </c>
      <c r="J30" s="1217" t="str">
        <f t="shared" si="71"/>
        <v/>
      </c>
      <c r="K30" s="1221" t="str">
        <f t="shared" si="72"/>
        <v/>
      </c>
      <c r="L30" s="1223" t="str">
        <f t="shared" si="73"/>
        <v/>
      </c>
      <c r="M30" s="1224" t="str">
        <f t="shared" si="74"/>
        <v/>
      </c>
      <c r="N30" s="1225" t="str">
        <f t="shared" si="75"/>
        <v/>
      </c>
      <c r="O30" s="1220" t="str">
        <f t="shared" si="76"/>
        <v/>
      </c>
      <c r="P30" s="1221" t="str">
        <f t="shared" si="77"/>
        <v/>
      </c>
      <c r="Q30" s="1217" t="str">
        <f t="shared" si="78"/>
        <v/>
      </c>
      <c r="R30" s="1218" t="str">
        <f t="shared" si="79"/>
        <v/>
      </c>
      <c r="S30" s="1226" t="str">
        <f t="shared" si="80"/>
        <v/>
      </c>
      <c r="T30" s="1221" t="str">
        <f t="shared" si="81"/>
        <v/>
      </c>
      <c r="U30" s="1217" t="str">
        <f t="shared" si="82"/>
        <v/>
      </c>
      <c r="V30" s="1221" t="str">
        <f t="shared" si="83"/>
        <v/>
      </c>
      <c r="W30" s="1225">
        <f t="shared" si="84"/>
        <v>0</v>
      </c>
      <c r="X30" s="1227" t="str">
        <f t="shared" si="85"/>
        <v/>
      </c>
      <c r="Y30" s="1228" t="str">
        <f t="shared" si="86"/>
        <v/>
      </c>
      <c r="Z30" s="1710" t="str">
        <f t="shared" si="87"/>
        <v/>
      </c>
      <c r="AA30" s="1290" t="str">
        <f t="shared" si="88"/>
        <v/>
      </c>
      <c r="AB30" s="1215" t="str">
        <f t="shared" si="61"/>
        <v/>
      </c>
      <c r="AC30" s="1222" t="str">
        <f t="shared" si="4"/>
        <v/>
      </c>
      <c r="AD30" s="1217" t="str">
        <f t="shared" ca="1" si="44"/>
        <v/>
      </c>
      <c r="AE30" s="1221" t="str">
        <f t="shared" ca="1" si="45"/>
        <v/>
      </c>
      <c r="AF30" s="1222" t="str">
        <f t="shared" ca="1" si="46"/>
        <v/>
      </c>
      <c r="AG30" s="1217" t="str">
        <f t="shared" ca="1" si="47"/>
        <v/>
      </c>
      <c r="AH30" s="1221" t="str">
        <f t="shared" ca="1" si="48"/>
        <v/>
      </c>
      <c r="AI30" s="1217" t="str">
        <f t="shared" ca="1" si="49"/>
        <v/>
      </c>
      <c r="AJ30" s="1221" t="str">
        <f t="shared" ca="1" si="50"/>
        <v/>
      </c>
      <c r="AK30" s="1742" t="str">
        <f t="shared" si="53"/>
        <v/>
      </c>
      <c r="AL30" s="1743" t="str">
        <f t="shared" si="5"/>
        <v/>
      </c>
      <c r="AM30" s="1744" t="str">
        <f t="shared" si="54"/>
        <v/>
      </c>
      <c r="AN30" s="1222" t="str">
        <f t="shared" si="55"/>
        <v/>
      </c>
      <c r="AO30" s="1745" t="str">
        <f t="shared" si="56"/>
        <v/>
      </c>
      <c r="AP30" s="1224" t="str">
        <f t="shared" si="6"/>
        <v/>
      </c>
      <c r="AQ30" s="1746" t="str">
        <f t="shared" si="7"/>
        <v/>
      </c>
      <c r="AR30" s="1220" t="str">
        <f t="shared" si="21"/>
        <v/>
      </c>
      <c r="AS30" s="1221" t="str">
        <f t="shared" si="22"/>
        <v/>
      </c>
      <c r="AT30" s="1747" t="str">
        <f t="shared" si="23"/>
        <v/>
      </c>
      <c r="AU30" s="1748" t="str">
        <f t="shared" si="8"/>
        <v/>
      </c>
      <c r="AV30" s="1226" t="str">
        <f t="shared" si="24"/>
        <v/>
      </c>
      <c r="AW30" s="1221" t="str">
        <f t="shared" si="25"/>
        <v/>
      </c>
      <c r="AX30" s="1747" t="str">
        <f t="shared" si="26"/>
        <v/>
      </c>
      <c r="AY30" s="1748" t="str">
        <f t="shared" si="9"/>
        <v/>
      </c>
      <c r="AZ30" s="1226" t="str">
        <f t="shared" si="27"/>
        <v/>
      </c>
      <c r="BA30" s="1221" t="str">
        <f t="shared" si="28"/>
        <v/>
      </c>
      <c r="BB30" s="1747" t="str">
        <f t="shared" si="29"/>
        <v/>
      </c>
      <c r="BC30" s="1748" t="str">
        <f t="shared" si="10"/>
        <v/>
      </c>
      <c r="BD30" s="1226" t="str">
        <f t="shared" si="30"/>
        <v/>
      </c>
      <c r="BE30" s="1221" t="str">
        <f t="shared" si="31"/>
        <v/>
      </c>
      <c r="BF30" s="1747" t="str">
        <f t="shared" si="57"/>
        <v/>
      </c>
      <c r="BG30" s="1748" t="str">
        <f t="shared" si="11"/>
        <v/>
      </c>
      <c r="BH30" s="262"/>
      <c r="BJ30" s="1302"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3">
        <f t="shared" si="111"/>
        <v>6</v>
      </c>
      <c r="BT30" s="990" t="str">
        <f t="shared" si="112"/>
        <v>No</v>
      </c>
      <c r="BU30" s="1303">
        <f t="shared" si="113"/>
        <v>6</v>
      </c>
      <c r="BV30" s="990" t="str">
        <f t="shared" si="114"/>
        <v>No</v>
      </c>
      <c r="BW30" s="991">
        <f t="shared" ca="1" si="33"/>
        <v>0</v>
      </c>
      <c r="BX30" s="991" t="str">
        <f t="shared" ca="1" si="40"/>
        <v/>
      </c>
      <c r="BY30" s="991" t="b">
        <f t="shared" ca="1" si="34"/>
        <v>0</v>
      </c>
      <c r="BZ30" s="1304" t="b">
        <f t="shared" si="41"/>
        <v>0</v>
      </c>
      <c r="CB30" s="672"/>
      <c r="CC30" s="1685"/>
      <c r="CD30" s="699"/>
      <c r="CE30" s="700"/>
      <c r="CF30" s="1329"/>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1599"/>
      <c r="DE30" s="1600"/>
      <c r="DF30" s="141"/>
      <c r="DG30" s="141"/>
      <c r="DH30" s="672"/>
      <c r="DI30" s="673"/>
      <c r="DJ30" s="692"/>
      <c r="DK30" s="1332"/>
      <c r="DL30" s="674"/>
      <c r="DM30" s="693"/>
      <c r="DN30" s="1335"/>
      <c r="DO30" s="675"/>
      <c r="DP30" s="676"/>
      <c r="DQ30" s="1420"/>
      <c r="DR30" s="677"/>
      <c r="DS30" s="1612"/>
      <c r="DT30" s="1607"/>
      <c r="DU30" s="1608"/>
      <c r="DV30" s="678"/>
      <c r="DW30" s="1337"/>
      <c r="DX30" s="679"/>
      <c r="DY30" s="674"/>
      <c r="DZ30" s="678"/>
      <c r="EA30" s="1337"/>
      <c r="EB30" s="679"/>
      <c r="EC30" s="674"/>
      <c r="ED30" s="678"/>
      <c r="EE30" s="1337"/>
      <c r="EF30" s="679"/>
      <c r="EG30" s="674"/>
      <c r="EH30" s="678"/>
      <c r="EI30" s="1337"/>
      <c r="EJ30" s="679"/>
      <c r="EK30" s="680"/>
      <c r="EL30" s="141"/>
      <c r="EM30" s="1632" t="str">
        <f t="shared" si="115"/>
        <v/>
      </c>
      <c r="EN30" s="1633" t="str">
        <f t="shared" si="90"/>
        <v/>
      </c>
      <c r="EO30" s="648" t="str">
        <f t="shared" si="91"/>
        <v/>
      </c>
      <c r="EP30" s="649" t="str">
        <f t="shared" si="92"/>
        <v/>
      </c>
      <c r="EQ30" s="813" t="str">
        <f t="shared" si="93"/>
        <v/>
      </c>
      <c r="ER30" s="1591" t="str">
        <f t="shared" si="94"/>
        <v/>
      </c>
      <c r="ES30" s="1592" t="str">
        <f t="shared" si="95"/>
        <v/>
      </c>
      <c r="ET30" s="1589" t="str">
        <f t="shared" si="96"/>
        <v/>
      </c>
      <c r="EU30" s="1590"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581" t="str">
        <f t="shared" si="98"/>
        <v/>
      </c>
      <c r="GB30" s="623" t="str">
        <f t="shared" si="99"/>
        <v/>
      </c>
      <c r="GC30" s="625" t="str">
        <f t="shared" si="100"/>
        <v/>
      </c>
      <c r="GD30" s="626" t="str">
        <f t="shared" si="101"/>
        <v/>
      </c>
      <c r="GE30" s="624" t="str">
        <f t="shared" si="102"/>
        <v/>
      </c>
      <c r="GF30" s="582" t="str">
        <f t="shared" si="103"/>
        <v/>
      </c>
      <c r="GG30" s="692"/>
      <c r="GH30" s="1136"/>
      <c r="GI30" s="692"/>
      <c r="GJ30" s="1136"/>
      <c r="GK30" s="1641">
        <f t="shared" si="104"/>
        <v>0</v>
      </c>
      <c r="GL30" s="1641" t="e">
        <f t="shared" si="105"/>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9"/>
      <c r="HZ30" s="1249"/>
      <c r="IA30" s="1249"/>
      <c r="IB30" s="1249"/>
      <c r="IC30" s="1249"/>
      <c r="ID30" s="1248"/>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43"/>
        <v>0</v>
      </c>
    </row>
    <row r="31" spans="1:274" s="145" customFormat="1" ht="12.6" customHeight="1" x14ac:dyDescent="0.25">
      <c r="A31" s="1215" t="str">
        <f t="shared" si="62"/>
        <v/>
      </c>
      <c r="B31" s="1709" t="str">
        <f t="shared" si="63"/>
        <v/>
      </c>
      <c r="C31" s="1216" t="str">
        <f t="shared" si="64"/>
        <v/>
      </c>
      <c r="D31" s="1217" t="str">
        <f t="shared" si="65"/>
        <v/>
      </c>
      <c r="E31" s="1218" t="str">
        <f t="shared" si="66"/>
        <v/>
      </c>
      <c r="F31" s="1219" t="str">
        <f t="shared" si="67"/>
        <v/>
      </c>
      <c r="G31" s="1220" t="str">
        <f t="shared" si="68"/>
        <v/>
      </c>
      <c r="H31" s="1221" t="str">
        <f t="shared" si="69"/>
        <v/>
      </c>
      <c r="I31" s="1222" t="str">
        <f t="shared" si="70"/>
        <v/>
      </c>
      <c r="J31" s="1217" t="str">
        <f t="shared" si="71"/>
        <v/>
      </c>
      <c r="K31" s="1221" t="str">
        <f t="shared" si="72"/>
        <v/>
      </c>
      <c r="L31" s="1223" t="str">
        <f t="shared" si="73"/>
        <v/>
      </c>
      <c r="M31" s="1224" t="str">
        <f t="shared" si="74"/>
        <v/>
      </c>
      <c r="N31" s="1225" t="str">
        <f t="shared" si="75"/>
        <v/>
      </c>
      <c r="O31" s="1220" t="str">
        <f t="shared" si="76"/>
        <v/>
      </c>
      <c r="P31" s="1221" t="str">
        <f t="shared" si="77"/>
        <v/>
      </c>
      <c r="Q31" s="1217" t="str">
        <f t="shared" si="78"/>
        <v/>
      </c>
      <c r="R31" s="1218" t="str">
        <f t="shared" si="79"/>
        <v/>
      </c>
      <c r="S31" s="1226" t="str">
        <f t="shared" si="80"/>
        <v/>
      </c>
      <c r="T31" s="1221" t="str">
        <f t="shared" si="81"/>
        <v/>
      </c>
      <c r="U31" s="1217" t="str">
        <f t="shared" si="82"/>
        <v/>
      </c>
      <c r="V31" s="1221" t="str">
        <f t="shared" si="83"/>
        <v/>
      </c>
      <c r="W31" s="1225">
        <f t="shared" si="84"/>
        <v>0</v>
      </c>
      <c r="X31" s="1227" t="str">
        <f t="shared" si="85"/>
        <v/>
      </c>
      <c r="Y31" s="1228" t="str">
        <f t="shared" si="86"/>
        <v/>
      </c>
      <c r="Z31" s="1710" t="str">
        <f t="shared" si="87"/>
        <v/>
      </c>
      <c r="AA31" s="1290" t="str">
        <f t="shared" si="88"/>
        <v/>
      </c>
      <c r="AB31" s="1215" t="str">
        <f t="shared" si="61"/>
        <v/>
      </c>
      <c r="AC31" s="1222" t="str">
        <f t="shared" si="4"/>
        <v/>
      </c>
      <c r="AD31" s="1217" t="str">
        <f t="shared" ca="1" si="44"/>
        <v/>
      </c>
      <c r="AE31" s="1221" t="str">
        <f t="shared" ca="1" si="45"/>
        <v/>
      </c>
      <c r="AF31" s="1222" t="str">
        <f t="shared" ca="1" si="46"/>
        <v/>
      </c>
      <c r="AG31" s="1217" t="str">
        <f t="shared" ca="1" si="47"/>
        <v/>
      </c>
      <c r="AH31" s="1221" t="str">
        <f t="shared" ca="1" si="48"/>
        <v/>
      </c>
      <c r="AI31" s="1217" t="str">
        <f t="shared" ca="1" si="49"/>
        <v/>
      </c>
      <c r="AJ31" s="1221" t="str">
        <f t="shared" ca="1" si="50"/>
        <v/>
      </c>
      <c r="AK31" s="1742" t="str">
        <f t="shared" si="53"/>
        <v/>
      </c>
      <c r="AL31" s="1743" t="str">
        <f t="shared" si="5"/>
        <v/>
      </c>
      <c r="AM31" s="1744" t="str">
        <f t="shared" si="54"/>
        <v/>
      </c>
      <c r="AN31" s="1222" t="str">
        <f t="shared" si="55"/>
        <v/>
      </c>
      <c r="AO31" s="1745" t="str">
        <f t="shared" si="56"/>
        <v/>
      </c>
      <c r="AP31" s="1224" t="str">
        <f t="shared" si="6"/>
        <v/>
      </c>
      <c r="AQ31" s="1746" t="str">
        <f t="shared" si="7"/>
        <v/>
      </c>
      <c r="AR31" s="1220" t="str">
        <f t="shared" si="21"/>
        <v/>
      </c>
      <c r="AS31" s="1221" t="str">
        <f t="shared" si="22"/>
        <v/>
      </c>
      <c r="AT31" s="1747" t="str">
        <f t="shared" si="23"/>
        <v/>
      </c>
      <c r="AU31" s="1748" t="str">
        <f t="shared" si="8"/>
        <v/>
      </c>
      <c r="AV31" s="1226" t="str">
        <f t="shared" si="24"/>
        <v/>
      </c>
      <c r="AW31" s="1221" t="str">
        <f t="shared" si="25"/>
        <v/>
      </c>
      <c r="AX31" s="1747" t="str">
        <f t="shared" si="26"/>
        <v/>
      </c>
      <c r="AY31" s="1748" t="str">
        <f t="shared" si="9"/>
        <v/>
      </c>
      <c r="AZ31" s="1226" t="str">
        <f t="shared" si="27"/>
        <v/>
      </c>
      <c r="BA31" s="1221" t="str">
        <f t="shared" si="28"/>
        <v/>
      </c>
      <c r="BB31" s="1747" t="str">
        <f t="shared" si="29"/>
        <v/>
      </c>
      <c r="BC31" s="1748" t="str">
        <f t="shared" si="10"/>
        <v/>
      </c>
      <c r="BD31" s="1226" t="str">
        <f t="shared" si="30"/>
        <v/>
      </c>
      <c r="BE31" s="1221" t="str">
        <f t="shared" si="31"/>
        <v/>
      </c>
      <c r="BF31" s="1747" t="str">
        <f t="shared" si="57"/>
        <v/>
      </c>
      <c r="BG31" s="1748" t="str">
        <f t="shared" si="11"/>
        <v/>
      </c>
      <c r="BH31" s="262"/>
      <c r="BJ31" s="1302"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3">
        <f t="shared" si="111"/>
        <v>6</v>
      </c>
      <c r="BT31" s="990" t="str">
        <f t="shared" si="112"/>
        <v>No</v>
      </c>
      <c r="BU31" s="1303">
        <f t="shared" si="113"/>
        <v>6</v>
      </c>
      <c r="BV31" s="990" t="str">
        <f t="shared" si="114"/>
        <v>No</v>
      </c>
      <c r="BW31" s="991">
        <f t="shared" ca="1" si="33"/>
        <v>0</v>
      </c>
      <c r="BX31" s="991" t="str">
        <f t="shared" ca="1" si="40"/>
        <v/>
      </c>
      <c r="BY31" s="991" t="b">
        <f t="shared" ca="1" si="34"/>
        <v>0</v>
      </c>
      <c r="BZ31" s="1304" t="b">
        <f t="shared" si="41"/>
        <v>0</v>
      </c>
      <c r="CB31" s="672"/>
      <c r="CC31" s="1685"/>
      <c r="CD31" s="699"/>
      <c r="CE31" s="700"/>
      <c r="CF31" s="1329"/>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1599"/>
      <c r="DE31" s="1600"/>
      <c r="DF31" s="141"/>
      <c r="DG31" s="141"/>
      <c r="DH31" s="672"/>
      <c r="DI31" s="673"/>
      <c r="DJ31" s="692"/>
      <c r="DK31" s="1332"/>
      <c r="DL31" s="674"/>
      <c r="DM31" s="693"/>
      <c r="DN31" s="1335"/>
      <c r="DO31" s="675"/>
      <c r="DP31" s="676"/>
      <c r="DQ31" s="1420"/>
      <c r="DR31" s="677"/>
      <c r="DS31" s="1612"/>
      <c r="DT31" s="1607"/>
      <c r="DU31" s="1608"/>
      <c r="DV31" s="678"/>
      <c r="DW31" s="1337"/>
      <c r="DX31" s="679"/>
      <c r="DY31" s="674"/>
      <c r="DZ31" s="678"/>
      <c r="EA31" s="1337"/>
      <c r="EB31" s="679"/>
      <c r="EC31" s="674"/>
      <c r="ED31" s="678"/>
      <c r="EE31" s="1337"/>
      <c r="EF31" s="679"/>
      <c r="EG31" s="674"/>
      <c r="EH31" s="678"/>
      <c r="EI31" s="1337"/>
      <c r="EJ31" s="679"/>
      <c r="EK31" s="680"/>
      <c r="EL31" s="141"/>
      <c r="EM31" s="1632" t="str">
        <f t="shared" si="115"/>
        <v/>
      </c>
      <c r="EN31" s="1633" t="str">
        <f t="shared" si="90"/>
        <v/>
      </c>
      <c r="EO31" s="648" t="str">
        <f t="shared" si="91"/>
        <v/>
      </c>
      <c r="EP31" s="649" t="str">
        <f t="shared" si="92"/>
        <v/>
      </c>
      <c r="EQ31" s="813" t="str">
        <f t="shared" si="93"/>
        <v/>
      </c>
      <c r="ER31" s="1591" t="str">
        <f t="shared" si="94"/>
        <v/>
      </c>
      <c r="ES31" s="1592" t="str">
        <f t="shared" si="95"/>
        <v/>
      </c>
      <c r="ET31" s="1589" t="str">
        <f t="shared" si="96"/>
        <v/>
      </c>
      <c r="EU31" s="1590"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581" t="str">
        <f t="shared" si="98"/>
        <v/>
      </c>
      <c r="GB31" s="623" t="str">
        <f t="shared" si="99"/>
        <v/>
      </c>
      <c r="GC31" s="625" t="str">
        <f t="shared" si="100"/>
        <v/>
      </c>
      <c r="GD31" s="626" t="str">
        <f t="shared" si="101"/>
        <v/>
      </c>
      <c r="GE31" s="624" t="str">
        <f t="shared" si="102"/>
        <v/>
      </c>
      <c r="GF31" s="582" t="str">
        <f t="shared" si="103"/>
        <v/>
      </c>
      <c r="GG31" s="692"/>
      <c r="GH31" s="1136"/>
      <c r="GI31" s="692"/>
      <c r="GJ31" s="1136"/>
      <c r="GK31" s="1641">
        <f t="shared" si="104"/>
        <v>0</v>
      </c>
      <c r="GL31" s="1641" t="e">
        <f t="shared" si="105"/>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9"/>
      <c r="HZ31" s="1249"/>
      <c r="IA31" s="1249"/>
      <c r="IB31" s="1249"/>
      <c r="IC31" s="1249"/>
      <c r="ID31" s="1248"/>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43"/>
        <v>0</v>
      </c>
    </row>
    <row r="32" spans="1:274" ht="12.6" customHeight="1" x14ac:dyDescent="0.25">
      <c r="A32" s="1215" t="str">
        <f t="shared" si="62"/>
        <v/>
      </c>
      <c r="B32" s="1709" t="str">
        <f t="shared" si="63"/>
        <v/>
      </c>
      <c r="C32" s="1216" t="str">
        <f t="shared" si="64"/>
        <v/>
      </c>
      <c r="D32" s="1217" t="str">
        <f t="shared" si="65"/>
        <v/>
      </c>
      <c r="E32" s="1218" t="str">
        <f t="shared" si="66"/>
        <v/>
      </c>
      <c r="F32" s="1219" t="str">
        <f t="shared" si="67"/>
        <v/>
      </c>
      <c r="G32" s="1220" t="str">
        <f t="shared" si="68"/>
        <v/>
      </c>
      <c r="H32" s="1221" t="str">
        <f t="shared" si="69"/>
        <v/>
      </c>
      <c r="I32" s="1222" t="str">
        <f t="shared" si="70"/>
        <v/>
      </c>
      <c r="J32" s="1217" t="str">
        <f t="shared" si="71"/>
        <v/>
      </c>
      <c r="K32" s="1221" t="str">
        <f t="shared" si="72"/>
        <v/>
      </c>
      <c r="L32" s="1223" t="str">
        <f t="shared" si="73"/>
        <v/>
      </c>
      <c r="M32" s="1224" t="str">
        <f t="shared" si="74"/>
        <v/>
      </c>
      <c r="N32" s="1225" t="str">
        <f t="shared" si="75"/>
        <v/>
      </c>
      <c r="O32" s="1220" t="str">
        <f t="shared" si="76"/>
        <v/>
      </c>
      <c r="P32" s="1221" t="str">
        <f t="shared" si="77"/>
        <v/>
      </c>
      <c r="Q32" s="1217" t="str">
        <f t="shared" si="78"/>
        <v/>
      </c>
      <c r="R32" s="1218" t="str">
        <f t="shared" si="79"/>
        <v/>
      </c>
      <c r="S32" s="1226" t="str">
        <f t="shared" si="80"/>
        <v/>
      </c>
      <c r="T32" s="1221" t="str">
        <f t="shared" si="81"/>
        <v/>
      </c>
      <c r="U32" s="1217" t="str">
        <f t="shared" si="82"/>
        <v/>
      </c>
      <c r="V32" s="1221" t="str">
        <f t="shared" si="83"/>
        <v/>
      </c>
      <c r="W32" s="1225">
        <f t="shared" si="84"/>
        <v>0</v>
      </c>
      <c r="X32" s="1227" t="str">
        <f t="shared" si="85"/>
        <v/>
      </c>
      <c r="Y32" s="1228" t="str">
        <f t="shared" si="86"/>
        <v/>
      </c>
      <c r="Z32" s="1710" t="str">
        <f t="shared" si="87"/>
        <v/>
      </c>
      <c r="AA32" s="1290" t="str">
        <f t="shared" si="88"/>
        <v/>
      </c>
      <c r="AB32" s="1215" t="str">
        <f t="shared" si="61"/>
        <v/>
      </c>
      <c r="AC32" s="1222" t="str">
        <f t="shared" si="4"/>
        <v/>
      </c>
      <c r="AD32" s="1217" t="str">
        <f t="shared" ca="1" si="44"/>
        <v/>
      </c>
      <c r="AE32" s="1221" t="str">
        <f t="shared" ca="1" si="45"/>
        <v/>
      </c>
      <c r="AF32" s="1222" t="str">
        <f t="shared" ca="1" si="46"/>
        <v/>
      </c>
      <c r="AG32" s="1217" t="str">
        <f t="shared" ca="1" si="47"/>
        <v/>
      </c>
      <c r="AH32" s="1221" t="str">
        <f t="shared" ca="1" si="48"/>
        <v/>
      </c>
      <c r="AI32" s="1217" t="str">
        <f t="shared" ca="1" si="49"/>
        <v/>
      </c>
      <c r="AJ32" s="1221" t="str">
        <f t="shared" ca="1" si="50"/>
        <v/>
      </c>
      <c r="AK32" s="1742" t="str">
        <f t="shared" si="53"/>
        <v/>
      </c>
      <c r="AL32" s="1743" t="str">
        <f t="shared" si="5"/>
        <v/>
      </c>
      <c r="AM32" s="1744" t="str">
        <f t="shared" si="54"/>
        <v/>
      </c>
      <c r="AN32" s="1222" t="str">
        <f t="shared" si="55"/>
        <v/>
      </c>
      <c r="AO32" s="1745" t="str">
        <f t="shared" si="56"/>
        <v/>
      </c>
      <c r="AP32" s="1224" t="str">
        <f t="shared" si="6"/>
        <v/>
      </c>
      <c r="AQ32" s="1746" t="str">
        <f t="shared" si="7"/>
        <v/>
      </c>
      <c r="AR32" s="1220" t="str">
        <f t="shared" si="21"/>
        <v/>
      </c>
      <c r="AS32" s="1221" t="str">
        <f t="shared" si="22"/>
        <v/>
      </c>
      <c r="AT32" s="1747" t="str">
        <f t="shared" si="23"/>
        <v/>
      </c>
      <c r="AU32" s="1748" t="str">
        <f t="shared" si="8"/>
        <v/>
      </c>
      <c r="AV32" s="1226" t="str">
        <f t="shared" si="24"/>
        <v/>
      </c>
      <c r="AW32" s="1221" t="str">
        <f t="shared" si="25"/>
        <v/>
      </c>
      <c r="AX32" s="1747" t="str">
        <f t="shared" si="26"/>
        <v/>
      </c>
      <c r="AY32" s="1748" t="str">
        <f t="shared" si="9"/>
        <v/>
      </c>
      <c r="AZ32" s="1226" t="str">
        <f t="shared" si="27"/>
        <v/>
      </c>
      <c r="BA32" s="1221" t="str">
        <f t="shared" si="28"/>
        <v/>
      </c>
      <c r="BB32" s="1747" t="str">
        <f t="shared" si="29"/>
        <v/>
      </c>
      <c r="BC32" s="1748" t="str">
        <f t="shared" si="10"/>
        <v/>
      </c>
      <c r="BD32" s="1226" t="str">
        <f t="shared" si="30"/>
        <v/>
      </c>
      <c r="BE32" s="1221" t="str">
        <f t="shared" si="31"/>
        <v/>
      </c>
      <c r="BF32" s="1747" t="str">
        <f t="shared" si="57"/>
        <v/>
      </c>
      <c r="BG32" s="1748" t="str">
        <f t="shared" si="11"/>
        <v/>
      </c>
      <c r="BH32" s="261"/>
      <c r="BJ32" s="1302"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3">
        <f t="shared" si="111"/>
        <v>6</v>
      </c>
      <c r="BT32" s="990" t="str">
        <f t="shared" si="112"/>
        <v>No</v>
      </c>
      <c r="BU32" s="1303">
        <f t="shared" si="113"/>
        <v>6</v>
      </c>
      <c r="BV32" s="990" t="str">
        <f t="shared" si="114"/>
        <v>No</v>
      </c>
      <c r="BW32" s="991">
        <f t="shared" ca="1" si="33"/>
        <v>0</v>
      </c>
      <c r="BX32" s="991" t="str">
        <f t="shared" ca="1" si="40"/>
        <v/>
      </c>
      <c r="BY32" s="991" t="b">
        <f t="shared" ca="1" si="34"/>
        <v>0</v>
      </c>
      <c r="BZ32" s="1304" t="b">
        <f t="shared" si="41"/>
        <v>0</v>
      </c>
      <c r="CB32" s="672"/>
      <c r="CC32" s="1685"/>
      <c r="CD32" s="699"/>
      <c r="CE32" s="700"/>
      <c r="CF32" s="1329"/>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1599"/>
      <c r="DE32" s="1600"/>
      <c r="DF32" s="141"/>
      <c r="DG32" s="141"/>
      <c r="DH32" s="746"/>
      <c r="DI32" s="673"/>
      <c r="DJ32" s="692"/>
      <c r="DK32" s="1332"/>
      <c r="DL32" s="674"/>
      <c r="DM32" s="693"/>
      <c r="DN32" s="1335"/>
      <c r="DO32" s="675"/>
      <c r="DP32" s="676"/>
      <c r="DQ32" s="1420"/>
      <c r="DR32" s="677"/>
      <c r="DS32" s="1612"/>
      <c r="DT32" s="1607"/>
      <c r="DU32" s="1608"/>
      <c r="DV32" s="678"/>
      <c r="DW32" s="1337"/>
      <c r="DX32" s="679"/>
      <c r="DY32" s="674"/>
      <c r="DZ32" s="678"/>
      <c r="EA32" s="1337"/>
      <c r="EB32" s="679"/>
      <c r="EC32" s="674"/>
      <c r="ED32" s="678"/>
      <c r="EE32" s="1337"/>
      <c r="EF32" s="679"/>
      <c r="EG32" s="674"/>
      <c r="EH32" s="678"/>
      <c r="EI32" s="1337"/>
      <c r="EJ32" s="679"/>
      <c r="EK32" s="680"/>
      <c r="EL32" s="141"/>
      <c r="EM32" s="1632" t="str">
        <f t="shared" si="115"/>
        <v/>
      </c>
      <c r="EN32" s="1633" t="str">
        <f t="shared" si="90"/>
        <v/>
      </c>
      <c r="EO32" s="648" t="str">
        <f t="shared" si="91"/>
        <v/>
      </c>
      <c r="EP32" s="649" t="str">
        <f t="shared" si="92"/>
        <v/>
      </c>
      <c r="EQ32" s="813" t="str">
        <f t="shared" si="93"/>
        <v/>
      </c>
      <c r="ER32" s="1587" t="str">
        <f t="shared" si="94"/>
        <v/>
      </c>
      <c r="ES32" s="1588" t="str">
        <f t="shared" si="95"/>
        <v/>
      </c>
      <c r="ET32" s="1589" t="str">
        <f t="shared" si="96"/>
        <v/>
      </c>
      <c r="EU32" s="1590"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581" t="str">
        <f t="shared" si="98"/>
        <v/>
      </c>
      <c r="GB32" s="623" t="str">
        <f t="shared" si="99"/>
        <v/>
      </c>
      <c r="GC32" s="625" t="str">
        <f t="shared" si="100"/>
        <v/>
      </c>
      <c r="GD32" s="626" t="str">
        <f t="shared" si="101"/>
        <v/>
      </c>
      <c r="GE32" s="624" t="str">
        <f t="shared" si="102"/>
        <v/>
      </c>
      <c r="GF32" s="582" t="str">
        <f t="shared" si="103"/>
        <v/>
      </c>
      <c r="GG32" s="692"/>
      <c r="GH32" s="1136"/>
      <c r="GI32" s="692"/>
      <c r="GJ32" s="1136"/>
      <c r="GK32" s="1641">
        <f t="shared" si="104"/>
        <v>0</v>
      </c>
      <c r="GL32" s="1641" t="e">
        <f t="shared" si="105"/>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48"/>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43"/>
        <v>0</v>
      </c>
    </row>
    <row r="33" spans="1:272" ht="12.6" customHeight="1" x14ac:dyDescent="0.25">
      <c r="A33" s="1215" t="str">
        <f t="shared" si="62"/>
        <v/>
      </c>
      <c r="B33" s="1709" t="str">
        <f t="shared" si="63"/>
        <v/>
      </c>
      <c r="C33" s="1216" t="str">
        <f t="shared" si="64"/>
        <v/>
      </c>
      <c r="D33" s="1217" t="str">
        <f t="shared" si="65"/>
        <v/>
      </c>
      <c r="E33" s="1218" t="str">
        <f t="shared" si="66"/>
        <v/>
      </c>
      <c r="F33" s="1219" t="str">
        <f t="shared" si="67"/>
        <v/>
      </c>
      <c r="G33" s="1220" t="str">
        <f t="shared" si="68"/>
        <v/>
      </c>
      <c r="H33" s="1221" t="str">
        <f t="shared" si="69"/>
        <v/>
      </c>
      <c r="I33" s="1222" t="str">
        <f t="shared" si="70"/>
        <v/>
      </c>
      <c r="J33" s="1217" t="str">
        <f t="shared" si="71"/>
        <v/>
      </c>
      <c r="K33" s="1221" t="str">
        <f t="shared" si="72"/>
        <v/>
      </c>
      <c r="L33" s="1223" t="str">
        <f t="shared" si="73"/>
        <v/>
      </c>
      <c r="M33" s="1224" t="str">
        <f t="shared" si="74"/>
        <v/>
      </c>
      <c r="N33" s="1225" t="str">
        <f t="shared" si="75"/>
        <v/>
      </c>
      <c r="O33" s="1220" t="str">
        <f t="shared" si="76"/>
        <v/>
      </c>
      <c r="P33" s="1221" t="str">
        <f t="shared" si="77"/>
        <v/>
      </c>
      <c r="Q33" s="1217" t="str">
        <f t="shared" si="78"/>
        <v/>
      </c>
      <c r="R33" s="1218" t="str">
        <f t="shared" si="79"/>
        <v/>
      </c>
      <c r="S33" s="1226" t="str">
        <f t="shared" si="80"/>
        <v/>
      </c>
      <c r="T33" s="1221" t="str">
        <f t="shared" si="81"/>
        <v/>
      </c>
      <c r="U33" s="1217" t="str">
        <f t="shared" si="82"/>
        <v/>
      </c>
      <c r="V33" s="1221" t="str">
        <f t="shared" si="83"/>
        <v/>
      </c>
      <c r="W33" s="1225">
        <f t="shared" si="84"/>
        <v>0</v>
      </c>
      <c r="X33" s="1227" t="str">
        <f t="shared" si="85"/>
        <v/>
      </c>
      <c r="Y33" s="1228" t="str">
        <f t="shared" si="86"/>
        <v/>
      </c>
      <c r="Z33" s="1710" t="str">
        <f t="shared" si="87"/>
        <v/>
      </c>
      <c r="AA33" s="1290" t="str">
        <f t="shared" si="88"/>
        <v/>
      </c>
      <c r="AB33" s="1215" t="str">
        <f t="shared" si="61"/>
        <v/>
      </c>
      <c r="AC33" s="1222" t="str">
        <f t="shared" si="4"/>
        <v/>
      </c>
      <c r="AD33" s="1217" t="str">
        <f t="shared" ca="1" si="44"/>
        <v/>
      </c>
      <c r="AE33" s="1221" t="str">
        <f t="shared" ca="1" si="45"/>
        <v/>
      </c>
      <c r="AF33" s="1222" t="str">
        <f t="shared" ca="1" si="46"/>
        <v/>
      </c>
      <c r="AG33" s="1217" t="str">
        <f t="shared" ca="1" si="47"/>
        <v/>
      </c>
      <c r="AH33" s="1221" t="str">
        <f t="shared" ca="1" si="48"/>
        <v/>
      </c>
      <c r="AI33" s="1217" t="str">
        <f t="shared" ca="1" si="49"/>
        <v/>
      </c>
      <c r="AJ33" s="1221" t="str">
        <f t="shared" ca="1" si="50"/>
        <v/>
      </c>
      <c r="AK33" s="1742" t="str">
        <f t="shared" si="53"/>
        <v/>
      </c>
      <c r="AL33" s="1743" t="str">
        <f t="shared" si="5"/>
        <v/>
      </c>
      <c r="AM33" s="1744" t="str">
        <f t="shared" si="54"/>
        <v/>
      </c>
      <c r="AN33" s="1222" t="str">
        <f t="shared" si="55"/>
        <v/>
      </c>
      <c r="AO33" s="1745" t="str">
        <f t="shared" si="56"/>
        <v/>
      </c>
      <c r="AP33" s="1224" t="str">
        <f t="shared" si="6"/>
        <v/>
      </c>
      <c r="AQ33" s="1746" t="str">
        <f t="shared" si="7"/>
        <v/>
      </c>
      <c r="AR33" s="1220" t="str">
        <f t="shared" si="21"/>
        <v/>
      </c>
      <c r="AS33" s="1221" t="str">
        <f t="shared" si="22"/>
        <v/>
      </c>
      <c r="AT33" s="1747" t="str">
        <f t="shared" si="23"/>
        <v/>
      </c>
      <c r="AU33" s="1748" t="str">
        <f t="shared" si="8"/>
        <v/>
      </c>
      <c r="AV33" s="1226" t="str">
        <f t="shared" si="24"/>
        <v/>
      </c>
      <c r="AW33" s="1221" t="str">
        <f t="shared" si="25"/>
        <v/>
      </c>
      <c r="AX33" s="1747" t="str">
        <f t="shared" si="26"/>
        <v/>
      </c>
      <c r="AY33" s="1748" t="str">
        <f t="shared" si="9"/>
        <v/>
      </c>
      <c r="AZ33" s="1226" t="str">
        <f t="shared" si="27"/>
        <v/>
      </c>
      <c r="BA33" s="1221" t="str">
        <f t="shared" si="28"/>
        <v/>
      </c>
      <c r="BB33" s="1747" t="str">
        <f t="shared" si="29"/>
        <v/>
      </c>
      <c r="BC33" s="1748" t="str">
        <f t="shared" si="10"/>
        <v/>
      </c>
      <c r="BD33" s="1226" t="str">
        <f t="shared" si="30"/>
        <v/>
      </c>
      <c r="BE33" s="1221" t="str">
        <f t="shared" si="31"/>
        <v/>
      </c>
      <c r="BF33" s="1747" t="str">
        <f t="shared" si="57"/>
        <v/>
      </c>
      <c r="BG33" s="1748" t="str">
        <f t="shared" si="11"/>
        <v/>
      </c>
      <c r="BH33" s="261"/>
      <c r="BJ33" s="1302"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3">
        <f t="shared" si="111"/>
        <v>6</v>
      </c>
      <c r="BT33" s="990" t="str">
        <f t="shared" si="112"/>
        <v>No</v>
      </c>
      <c r="BU33" s="1303">
        <f t="shared" si="113"/>
        <v>6</v>
      </c>
      <c r="BV33" s="990" t="str">
        <f t="shared" si="114"/>
        <v>No</v>
      </c>
      <c r="BW33" s="991">
        <f t="shared" ca="1" si="33"/>
        <v>0</v>
      </c>
      <c r="BX33" s="991" t="str">
        <f t="shared" ca="1" si="40"/>
        <v/>
      </c>
      <c r="BY33" s="991" t="b">
        <f t="shared" ca="1" si="34"/>
        <v>0</v>
      </c>
      <c r="BZ33" s="1304" t="b">
        <f t="shared" si="41"/>
        <v>0</v>
      </c>
      <c r="CB33" s="672"/>
      <c r="CC33" s="1685"/>
      <c r="CD33" s="699"/>
      <c r="CE33" s="700"/>
      <c r="CF33" s="1329"/>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1599"/>
      <c r="DE33" s="1600"/>
      <c r="DF33" s="141"/>
      <c r="DG33" s="141"/>
      <c r="DH33" s="672"/>
      <c r="DI33" s="673"/>
      <c r="DJ33" s="692"/>
      <c r="DK33" s="1332"/>
      <c r="DL33" s="674"/>
      <c r="DM33" s="693"/>
      <c r="DN33" s="1335"/>
      <c r="DO33" s="675"/>
      <c r="DP33" s="676"/>
      <c r="DQ33" s="1420"/>
      <c r="DR33" s="677"/>
      <c r="DS33" s="1612"/>
      <c r="DT33" s="1607"/>
      <c r="DU33" s="1608"/>
      <c r="DV33" s="678"/>
      <c r="DW33" s="1337"/>
      <c r="DX33" s="679"/>
      <c r="DY33" s="674"/>
      <c r="DZ33" s="678"/>
      <c r="EA33" s="1337"/>
      <c r="EB33" s="679"/>
      <c r="EC33" s="674"/>
      <c r="ED33" s="678"/>
      <c r="EE33" s="1337"/>
      <c r="EF33" s="679"/>
      <c r="EG33" s="674"/>
      <c r="EH33" s="678"/>
      <c r="EI33" s="1337"/>
      <c r="EJ33" s="679"/>
      <c r="EK33" s="680"/>
      <c r="EL33" s="141"/>
      <c r="EM33" s="1632" t="str">
        <f t="shared" si="115"/>
        <v/>
      </c>
      <c r="EN33" s="1633" t="str">
        <f t="shared" si="90"/>
        <v/>
      </c>
      <c r="EO33" s="648" t="str">
        <f t="shared" si="91"/>
        <v/>
      </c>
      <c r="EP33" s="649" t="str">
        <f t="shared" si="92"/>
        <v/>
      </c>
      <c r="EQ33" s="813" t="str">
        <f t="shared" si="93"/>
        <v/>
      </c>
      <c r="ER33" s="1587" t="str">
        <f t="shared" si="94"/>
        <v/>
      </c>
      <c r="ES33" s="1588" t="str">
        <f t="shared" si="95"/>
        <v/>
      </c>
      <c r="ET33" s="1589" t="str">
        <f t="shared" si="96"/>
        <v/>
      </c>
      <c r="EU33" s="1590"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581" t="str">
        <f t="shared" si="98"/>
        <v/>
      </c>
      <c r="GB33" s="623" t="str">
        <f t="shared" si="99"/>
        <v/>
      </c>
      <c r="GC33" s="625" t="str">
        <f t="shared" si="100"/>
        <v/>
      </c>
      <c r="GD33" s="626" t="str">
        <f t="shared" si="101"/>
        <v/>
      </c>
      <c r="GE33" s="624" t="str">
        <f t="shared" si="102"/>
        <v/>
      </c>
      <c r="GF33" s="582" t="str">
        <f t="shared" si="103"/>
        <v/>
      </c>
      <c r="GG33" s="692"/>
      <c r="GH33" s="1136"/>
      <c r="GI33" s="692"/>
      <c r="GJ33" s="1136"/>
      <c r="GK33" s="1641">
        <f t="shared" si="104"/>
        <v>0</v>
      </c>
      <c r="GL33" s="1641" t="e">
        <f t="shared" si="105"/>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48"/>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43"/>
        <v>0</v>
      </c>
    </row>
    <row r="34" spans="1:272" ht="12.6" customHeight="1" x14ac:dyDescent="0.25">
      <c r="A34" s="1215" t="str">
        <f t="shared" si="62"/>
        <v/>
      </c>
      <c r="B34" s="1709" t="str">
        <f t="shared" si="63"/>
        <v/>
      </c>
      <c r="C34" s="1216" t="str">
        <f t="shared" si="64"/>
        <v/>
      </c>
      <c r="D34" s="1217" t="str">
        <f t="shared" si="65"/>
        <v/>
      </c>
      <c r="E34" s="1218" t="str">
        <f t="shared" si="66"/>
        <v/>
      </c>
      <c r="F34" s="1219" t="str">
        <f t="shared" si="67"/>
        <v/>
      </c>
      <c r="G34" s="1220" t="str">
        <f t="shared" si="68"/>
        <v/>
      </c>
      <c r="H34" s="1221" t="str">
        <f t="shared" si="69"/>
        <v/>
      </c>
      <c r="I34" s="1222" t="str">
        <f t="shared" si="70"/>
        <v/>
      </c>
      <c r="J34" s="1217" t="str">
        <f t="shared" si="71"/>
        <v/>
      </c>
      <c r="K34" s="1221" t="str">
        <f t="shared" si="72"/>
        <v/>
      </c>
      <c r="L34" s="1223" t="str">
        <f t="shared" si="73"/>
        <v/>
      </c>
      <c r="M34" s="1224" t="str">
        <f t="shared" si="74"/>
        <v/>
      </c>
      <c r="N34" s="1225" t="str">
        <f t="shared" si="75"/>
        <v/>
      </c>
      <c r="O34" s="1220" t="str">
        <f t="shared" si="76"/>
        <v/>
      </c>
      <c r="P34" s="1221" t="str">
        <f t="shared" si="77"/>
        <v/>
      </c>
      <c r="Q34" s="1217" t="str">
        <f t="shared" si="78"/>
        <v/>
      </c>
      <c r="R34" s="1218" t="str">
        <f t="shared" si="79"/>
        <v/>
      </c>
      <c r="S34" s="1226" t="str">
        <f t="shared" si="80"/>
        <v/>
      </c>
      <c r="T34" s="1221" t="str">
        <f t="shared" si="81"/>
        <v/>
      </c>
      <c r="U34" s="1217" t="str">
        <f t="shared" si="82"/>
        <v/>
      </c>
      <c r="V34" s="1221" t="str">
        <f t="shared" si="83"/>
        <v/>
      </c>
      <c r="W34" s="1225">
        <f t="shared" si="84"/>
        <v>0</v>
      </c>
      <c r="X34" s="1227" t="str">
        <f t="shared" si="85"/>
        <v/>
      </c>
      <c r="Y34" s="1228" t="str">
        <f t="shared" si="86"/>
        <v/>
      </c>
      <c r="Z34" s="1710" t="str">
        <f t="shared" si="87"/>
        <v/>
      </c>
      <c r="AA34" s="1290" t="str">
        <f t="shared" si="88"/>
        <v/>
      </c>
      <c r="AB34" s="1215" t="str">
        <f t="shared" si="61"/>
        <v/>
      </c>
      <c r="AC34" s="1222" t="str">
        <f t="shared" si="4"/>
        <v/>
      </c>
      <c r="AD34" s="1217" t="str">
        <f t="shared" ca="1" si="44"/>
        <v/>
      </c>
      <c r="AE34" s="1221" t="str">
        <f t="shared" ca="1" si="45"/>
        <v/>
      </c>
      <c r="AF34" s="1222" t="str">
        <f t="shared" ca="1" si="46"/>
        <v/>
      </c>
      <c r="AG34" s="1217" t="str">
        <f t="shared" ca="1" si="47"/>
        <v/>
      </c>
      <c r="AH34" s="1221" t="str">
        <f t="shared" ca="1" si="48"/>
        <v/>
      </c>
      <c r="AI34" s="1217" t="str">
        <f t="shared" ca="1" si="49"/>
        <v/>
      </c>
      <c r="AJ34" s="1221" t="str">
        <f t="shared" ca="1" si="50"/>
        <v/>
      </c>
      <c r="AK34" s="1742" t="str">
        <f t="shared" si="53"/>
        <v/>
      </c>
      <c r="AL34" s="1743" t="str">
        <f t="shared" si="5"/>
        <v/>
      </c>
      <c r="AM34" s="1744" t="str">
        <f t="shared" si="54"/>
        <v/>
      </c>
      <c r="AN34" s="1222" t="str">
        <f t="shared" si="55"/>
        <v/>
      </c>
      <c r="AO34" s="1745" t="str">
        <f t="shared" si="56"/>
        <v/>
      </c>
      <c r="AP34" s="1224" t="str">
        <f t="shared" si="6"/>
        <v/>
      </c>
      <c r="AQ34" s="1746" t="str">
        <f t="shared" si="7"/>
        <v/>
      </c>
      <c r="AR34" s="1220" t="str">
        <f t="shared" si="21"/>
        <v/>
      </c>
      <c r="AS34" s="1221" t="str">
        <f t="shared" si="22"/>
        <v/>
      </c>
      <c r="AT34" s="1747" t="str">
        <f t="shared" si="23"/>
        <v/>
      </c>
      <c r="AU34" s="1748" t="str">
        <f t="shared" si="8"/>
        <v/>
      </c>
      <c r="AV34" s="1226" t="str">
        <f t="shared" si="24"/>
        <v/>
      </c>
      <c r="AW34" s="1221" t="str">
        <f t="shared" si="25"/>
        <v/>
      </c>
      <c r="AX34" s="1747" t="str">
        <f t="shared" si="26"/>
        <v/>
      </c>
      <c r="AY34" s="1748" t="str">
        <f t="shared" si="9"/>
        <v/>
      </c>
      <c r="AZ34" s="1226" t="str">
        <f t="shared" si="27"/>
        <v/>
      </c>
      <c r="BA34" s="1221" t="str">
        <f t="shared" si="28"/>
        <v/>
      </c>
      <c r="BB34" s="1747" t="str">
        <f t="shared" si="29"/>
        <v/>
      </c>
      <c r="BC34" s="1748" t="str">
        <f t="shared" si="10"/>
        <v/>
      </c>
      <c r="BD34" s="1226" t="str">
        <f t="shared" si="30"/>
        <v/>
      </c>
      <c r="BE34" s="1221" t="str">
        <f t="shared" si="31"/>
        <v/>
      </c>
      <c r="BF34" s="1747" t="str">
        <f t="shared" si="57"/>
        <v/>
      </c>
      <c r="BG34" s="1748" t="str">
        <f t="shared" si="11"/>
        <v/>
      </c>
      <c r="BH34" s="261"/>
      <c r="BJ34" s="1302"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3">
        <f t="shared" si="111"/>
        <v>6</v>
      </c>
      <c r="BT34" s="990" t="str">
        <f t="shared" si="112"/>
        <v>No</v>
      </c>
      <c r="BU34" s="1303">
        <f t="shared" si="113"/>
        <v>6</v>
      </c>
      <c r="BV34" s="990" t="str">
        <f t="shared" si="114"/>
        <v>No</v>
      </c>
      <c r="BW34" s="991">
        <f t="shared" ca="1" si="33"/>
        <v>0</v>
      </c>
      <c r="BX34" s="991" t="str">
        <f t="shared" ca="1" si="40"/>
        <v/>
      </c>
      <c r="BY34" s="991" t="b">
        <f t="shared" ca="1" si="34"/>
        <v>0</v>
      </c>
      <c r="BZ34" s="1304" t="b">
        <f t="shared" si="41"/>
        <v>0</v>
      </c>
      <c r="CB34" s="672"/>
      <c r="CC34" s="1685"/>
      <c r="CD34" s="699"/>
      <c r="CE34" s="700"/>
      <c r="CF34" s="1329"/>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1599"/>
      <c r="DE34" s="1600"/>
      <c r="DF34" s="141"/>
      <c r="DG34" s="141"/>
      <c r="DH34" s="672"/>
      <c r="DI34" s="673"/>
      <c r="DJ34" s="692"/>
      <c r="DK34" s="1332"/>
      <c r="DL34" s="674"/>
      <c r="DM34" s="693"/>
      <c r="DN34" s="1335"/>
      <c r="DO34" s="675"/>
      <c r="DP34" s="676"/>
      <c r="DQ34" s="1420"/>
      <c r="DR34" s="677"/>
      <c r="DS34" s="1612"/>
      <c r="DT34" s="1607"/>
      <c r="DU34" s="1608"/>
      <c r="DV34" s="678"/>
      <c r="DW34" s="1337"/>
      <c r="DX34" s="679"/>
      <c r="DY34" s="674"/>
      <c r="DZ34" s="678"/>
      <c r="EA34" s="1337"/>
      <c r="EB34" s="679"/>
      <c r="EC34" s="674"/>
      <c r="ED34" s="678"/>
      <c r="EE34" s="1337"/>
      <c r="EF34" s="679"/>
      <c r="EG34" s="674"/>
      <c r="EH34" s="678"/>
      <c r="EI34" s="1337"/>
      <c r="EJ34" s="679"/>
      <c r="EK34" s="680"/>
      <c r="EL34" s="141"/>
      <c r="EM34" s="1632" t="str">
        <f t="shared" si="115"/>
        <v/>
      </c>
      <c r="EN34" s="1633" t="str">
        <f t="shared" si="90"/>
        <v/>
      </c>
      <c r="EO34" s="648" t="str">
        <f t="shared" si="91"/>
        <v/>
      </c>
      <c r="EP34" s="649" t="str">
        <f t="shared" si="92"/>
        <v/>
      </c>
      <c r="EQ34" s="813" t="str">
        <f t="shared" si="93"/>
        <v/>
      </c>
      <c r="ER34" s="1587" t="str">
        <f t="shared" si="94"/>
        <v/>
      </c>
      <c r="ES34" s="1588" t="str">
        <f t="shared" si="95"/>
        <v/>
      </c>
      <c r="ET34" s="1589" t="str">
        <f t="shared" si="96"/>
        <v/>
      </c>
      <c r="EU34" s="1590"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581" t="str">
        <f t="shared" si="98"/>
        <v/>
      </c>
      <c r="GB34" s="623" t="str">
        <f t="shared" si="99"/>
        <v/>
      </c>
      <c r="GC34" s="625" t="str">
        <f t="shared" si="100"/>
        <v/>
      </c>
      <c r="GD34" s="626" t="str">
        <f t="shared" si="101"/>
        <v/>
      </c>
      <c r="GE34" s="624" t="str">
        <f t="shared" si="102"/>
        <v/>
      </c>
      <c r="GF34" s="582" t="str">
        <f t="shared" si="103"/>
        <v/>
      </c>
      <c r="GG34" s="692"/>
      <c r="GH34" s="1136"/>
      <c r="GI34" s="692"/>
      <c r="GJ34" s="1136"/>
      <c r="GK34" s="1641">
        <f t="shared" si="104"/>
        <v>0</v>
      </c>
      <c r="GL34" s="1641" t="e">
        <f t="shared" si="105"/>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48"/>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43"/>
        <v>0</v>
      </c>
    </row>
    <row r="35" spans="1:272" ht="12.6" customHeight="1" x14ac:dyDescent="0.25">
      <c r="A35" s="1215" t="str">
        <f t="shared" si="62"/>
        <v/>
      </c>
      <c r="B35" s="1709" t="str">
        <f t="shared" si="63"/>
        <v/>
      </c>
      <c r="C35" s="1216" t="str">
        <f t="shared" si="64"/>
        <v/>
      </c>
      <c r="D35" s="1217" t="str">
        <f t="shared" si="65"/>
        <v/>
      </c>
      <c r="E35" s="1218" t="str">
        <f t="shared" si="66"/>
        <v/>
      </c>
      <c r="F35" s="1219" t="str">
        <f t="shared" si="67"/>
        <v/>
      </c>
      <c r="G35" s="1220" t="str">
        <f t="shared" si="68"/>
        <v/>
      </c>
      <c r="H35" s="1221" t="str">
        <f t="shared" si="69"/>
        <v/>
      </c>
      <c r="I35" s="1222" t="str">
        <f t="shared" si="70"/>
        <v/>
      </c>
      <c r="J35" s="1217" t="str">
        <f t="shared" si="71"/>
        <v/>
      </c>
      <c r="K35" s="1221" t="str">
        <f t="shared" si="72"/>
        <v/>
      </c>
      <c r="L35" s="1223" t="str">
        <f t="shared" si="73"/>
        <v/>
      </c>
      <c r="M35" s="1224" t="str">
        <f t="shared" si="74"/>
        <v/>
      </c>
      <c r="N35" s="1225" t="str">
        <f t="shared" si="75"/>
        <v/>
      </c>
      <c r="O35" s="1220" t="str">
        <f t="shared" si="76"/>
        <v/>
      </c>
      <c r="P35" s="1221" t="str">
        <f t="shared" si="77"/>
        <v/>
      </c>
      <c r="Q35" s="1217" t="str">
        <f t="shared" si="78"/>
        <v/>
      </c>
      <c r="R35" s="1218" t="str">
        <f t="shared" si="79"/>
        <v/>
      </c>
      <c r="S35" s="1226" t="str">
        <f t="shared" si="80"/>
        <v/>
      </c>
      <c r="T35" s="1221" t="str">
        <f t="shared" si="81"/>
        <v/>
      </c>
      <c r="U35" s="1217" t="str">
        <f t="shared" si="82"/>
        <v/>
      </c>
      <c r="V35" s="1221" t="str">
        <f t="shared" si="83"/>
        <v/>
      </c>
      <c r="W35" s="1225">
        <f t="shared" si="84"/>
        <v>0</v>
      </c>
      <c r="X35" s="1227" t="str">
        <f t="shared" si="85"/>
        <v/>
      </c>
      <c r="Y35" s="1228" t="str">
        <f t="shared" si="86"/>
        <v/>
      </c>
      <c r="Z35" s="1710" t="str">
        <f t="shared" si="87"/>
        <v/>
      </c>
      <c r="AA35" s="1290" t="str">
        <f t="shared" si="88"/>
        <v/>
      </c>
      <c r="AB35" s="1215" t="str">
        <f t="shared" si="61"/>
        <v/>
      </c>
      <c r="AC35" s="1222" t="str">
        <f t="shared" si="4"/>
        <v/>
      </c>
      <c r="AD35" s="1217" t="str">
        <f t="shared" ca="1" si="44"/>
        <v/>
      </c>
      <c r="AE35" s="1221" t="str">
        <f t="shared" ca="1" si="45"/>
        <v/>
      </c>
      <c r="AF35" s="1222" t="str">
        <f t="shared" ca="1" si="46"/>
        <v/>
      </c>
      <c r="AG35" s="1217" t="str">
        <f t="shared" ca="1" si="47"/>
        <v/>
      </c>
      <c r="AH35" s="1221" t="str">
        <f t="shared" ca="1" si="48"/>
        <v/>
      </c>
      <c r="AI35" s="1217" t="str">
        <f t="shared" ca="1" si="49"/>
        <v/>
      </c>
      <c r="AJ35" s="1221" t="str">
        <f t="shared" ca="1" si="50"/>
        <v/>
      </c>
      <c r="AK35" s="1742" t="str">
        <f t="shared" si="53"/>
        <v/>
      </c>
      <c r="AL35" s="1743" t="str">
        <f t="shared" si="5"/>
        <v/>
      </c>
      <c r="AM35" s="1744" t="str">
        <f t="shared" si="54"/>
        <v/>
      </c>
      <c r="AN35" s="1222" t="str">
        <f t="shared" si="55"/>
        <v/>
      </c>
      <c r="AO35" s="1745" t="str">
        <f t="shared" si="56"/>
        <v/>
      </c>
      <c r="AP35" s="1224" t="str">
        <f t="shared" si="6"/>
        <v/>
      </c>
      <c r="AQ35" s="1746" t="str">
        <f t="shared" si="7"/>
        <v/>
      </c>
      <c r="AR35" s="1220" t="str">
        <f t="shared" si="21"/>
        <v/>
      </c>
      <c r="AS35" s="1221" t="str">
        <f t="shared" si="22"/>
        <v/>
      </c>
      <c r="AT35" s="1747" t="str">
        <f t="shared" si="23"/>
        <v/>
      </c>
      <c r="AU35" s="1748" t="str">
        <f t="shared" si="8"/>
        <v/>
      </c>
      <c r="AV35" s="1226" t="str">
        <f t="shared" si="24"/>
        <v/>
      </c>
      <c r="AW35" s="1221" t="str">
        <f t="shared" si="25"/>
        <v/>
      </c>
      <c r="AX35" s="1747" t="str">
        <f t="shared" si="26"/>
        <v/>
      </c>
      <c r="AY35" s="1748" t="str">
        <f t="shared" si="9"/>
        <v/>
      </c>
      <c r="AZ35" s="1226" t="str">
        <f t="shared" si="27"/>
        <v/>
      </c>
      <c r="BA35" s="1221" t="str">
        <f t="shared" si="28"/>
        <v/>
      </c>
      <c r="BB35" s="1747" t="str">
        <f t="shared" si="29"/>
        <v/>
      </c>
      <c r="BC35" s="1748" t="str">
        <f t="shared" si="10"/>
        <v/>
      </c>
      <c r="BD35" s="1226" t="str">
        <f t="shared" si="30"/>
        <v/>
      </c>
      <c r="BE35" s="1221" t="str">
        <f t="shared" si="31"/>
        <v/>
      </c>
      <c r="BF35" s="1747" t="str">
        <f t="shared" si="57"/>
        <v/>
      </c>
      <c r="BG35" s="1748" t="str">
        <f t="shared" si="11"/>
        <v/>
      </c>
      <c r="BH35" s="261"/>
      <c r="BJ35" s="1302"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3">
        <f t="shared" si="111"/>
        <v>6</v>
      </c>
      <c r="BT35" s="990" t="str">
        <f t="shared" si="112"/>
        <v>No</v>
      </c>
      <c r="BU35" s="1303">
        <f t="shared" si="113"/>
        <v>6</v>
      </c>
      <c r="BV35" s="990" t="str">
        <f t="shared" si="114"/>
        <v>No</v>
      </c>
      <c r="BW35" s="991">
        <f t="shared" ca="1" si="33"/>
        <v>0</v>
      </c>
      <c r="BX35" s="991" t="str">
        <f t="shared" ca="1" si="40"/>
        <v/>
      </c>
      <c r="BY35" s="991" t="b">
        <f t="shared" ca="1" si="34"/>
        <v>0</v>
      </c>
      <c r="BZ35" s="1304" t="b">
        <f t="shared" si="41"/>
        <v>0</v>
      </c>
      <c r="CB35" s="672"/>
      <c r="CC35" s="1685"/>
      <c r="CD35" s="699"/>
      <c r="CE35" s="700"/>
      <c r="CF35" s="1329"/>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1599"/>
      <c r="DE35" s="1600"/>
      <c r="DF35" s="141"/>
      <c r="DG35" s="141"/>
      <c r="DH35" s="672"/>
      <c r="DI35" s="673"/>
      <c r="DJ35" s="692"/>
      <c r="DK35" s="1332"/>
      <c r="DL35" s="674"/>
      <c r="DM35" s="693"/>
      <c r="DN35" s="1335"/>
      <c r="DO35" s="675"/>
      <c r="DP35" s="676"/>
      <c r="DQ35" s="1420"/>
      <c r="DR35" s="677"/>
      <c r="DS35" s="1612"/>
      <c r="DT35" s="1607"/>
      <c r="DU35" s="1608"/>
      <c r="DV35" s="678"/>
      <c r="DW35" s="1337"/>
      <c r="DX35" s="679"/>
      <c r="DY35" s="674"/>
      <c r="DZ35" s="678"/>
      <c r="EA35" s="1337"/>
      <c r="EB35" s="679"/>
      <c r="EC35" s="674"/>
      <c r="ED35" s="678"/>
      <c r="EE35" s="1337"/>
      <c r="EF35" s="679"/>
      <c r="EG35" s="674"/>
      <c r="EH35" s="678"/>
      <c r="EI35" s="1337"/>
      <c r="EJ35" s="679"/>
      <c r="EK35" s="680"/>
      <c r="EL35" s="141"/>
      <c r="EM35" s="1632" t="str">
        <f t="shared" si="115"/>
        <v/>
      </c>
      <c r="EN35" s="1633" t="str">
        <f t="shared" si="90"/>
        <v/>
      </c>
      <c r="EO35" s="648" t="str">
        <f t="shared" si="91"/>
        <v/>
      </c>
      <c r="EP35" s="649" t="str">
        <f t="shared" si="92"/>
        <v/>
      </c>
      <c r="EQ35" s="813" t="str">
        <f t="shared" si="93"/>
        <v/>
      </c>
      <c r="ER35" s="1587" t="str">
        <f t="shared" si="94"/>
        <v/>
      </c>
      <c r="ES35" s="1588" t="str">
        <f t="shared" si="95"/>
        <v/>
      </c>
      <c r="ET35" s="1589" t="str">
        <f t="shared" si="96"/>
        <v/>
      </c>
      <c r="EU35" s="1590"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581" t="str">
        <f t="shared" si="98"/>
        <v/>
      </c>
      <c r="GB35" s="623" t="str">
        <f t="shared" si="99"/>
        <v/>
      </c>
      <c r="GC35" s="625" t="str">
        <f t="shared" si="100"/>
        <v/>
      </c>
      <c r="GD35" s="626" t="str">
        <f t="shared" si="101"/>
        <v/>
      </c>
      <c r="GE35" s="624" t="str">
        <f t="shared" si="102"/>
        <v/>
      </c>
      <c r="GF35" s="582" t="str">
        <f t="shared" si="103"/>
        <v/>
      </c>
      <c r="GG35" s="692"/>
      <c r="GH35" s="1136"/>
      <c r="GI35" s="692"/>
      <c r="GJ35" s="1136"/>
      <c r="GK35" s="1641">
        <f t="shared" si="104"/>
        <v>0</v>
      </c>
      <c r="GL35" s="1641" t="e">
        <f t="shared" si="105"/>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48"/>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43"/>
        <v>0</v>
      </c>
    </row>
    <row r="36" spans="1:272" ht="12.6" customHeight="1" x14ac:dyDescent="0.25">
      <c r="A36" s="1215" t="str">
        <f t="shared" si="62"/>
        <v/>
      </c>
      <c r="B36" s="1709" t="str">
        <f t="shared" si="63"/>
        <v/>
      </c>
      <c r="C36" s="1216" t="str">
        <f t="shared" si="64"/>
        <v/>
      </c>
      <c r="D36" s="1217" t="str">
        <f t="shared" si="65"/>
        <v/>
      </c>
      <c r="E36" s="1218" t="str">
        <f t="shared" si="66"/>
        <v/>
      </c>
      <c r="F36" s="1219" t="str">
        <f t="shared" si="67"/>
        <v/>
      </c>
      <c r="G36" s="1220" t="str">
        <f t="shared" si="68"/>
        <v/>
      </c>
      <c r="H36" s="1221" t="str">
        <f t="shared" si="69"/>
        <v/>
      </c>
      <c r="I36" s="1222" t="str">
        <f t="shared" si="70"/>
        <v/>
      </c>
      <c r="J36" s="1217" t="str">
        <f t="shared" si="71"/>
        <v/>
      </c>
      <c r="K36" s="1221" t="str">
        <f t="shared" si="72"/>
        <v/>
      </c>
      <c r="L36" s="1223" t="str">
        <f t="shared" si="73"/>
        <v/>
      </c>
      <c r="M36" s="1224" t="str">
        <f t="shared" si="74"/>
        <v/>
      </c>
      <c r="N36" s="1225" t="str">
        <f t="shared" si="75"/>
        <v/>
      </c>
      <c r="O36" s="1220" t="str">
        <f t="shared" si="76"/>
        <v/>
      </c>
      <c r="P36" s="1221" t="str">
        <f t="shared" si="77"/>
        <v/>
      </c>
      <c r="Q36" s="1217" t="str">
        <f t="shared" si="78"/>
        <v/>
      </c>
      <c r="R36" s="1218" t="str">
        <f t="shared" si="79"/>
        <v/>
      </c>
      <c r="S36" s="1226" t="str">
        <f t="shared" si="80"/>
        <v/>
      </c>
      <c r="T36" s="1221" t="str">
        <f t="shared" si="81"/>
        <v/>
      </c>
      <c r="U36" s="1217" t="str">
        <f t="shared" si="82"/>
        <v/>
      </c>
      <c r="V36" s="1221" t="str">
        <f t="shared" si="83"/>
        <v/>
      </c>
      <c r="W36" s="1225">
        <f t="shared" si="84"/>
        <v>0</v>
      </c>
      <c r="X36" s="1227" t="str">
        <f t="shared" si="85"/>
        <v/>
      </c>
      <c r="Y36" s="1228" t="str">
        <f t="shared" si="86"/>
        <v/>
      </c>
      <c r="Z36" s="1710" t="str">
        <f t="shared" si="87"/>
        <v/>
      </c>
      <c r="AA36" s="1290" t="str">
        <f t="shared" si="88"/>
        <v/>
      </c>
      <c r="AB36" s="1215" t="str">
        <f t="shared" si="61"/>
        <v/>
      </c>
      <c r="AC36" s="1222" t="str">
        <f t="shared" si="4"/>
        <v/>
      </c>
      <c r="AD36" s="1217" t="str">
        <f t="shared" ca="1" si="44"/>
        <v/>
      </c>
      <c r="AE36" s="1221" t="str">
        <f t="shared" ca="1" si="45"/>
        <v/>
      </c>
      <c r="AF36" s="1222" t="str">
        <f t="shared" ca="1" si="46"/>
        <v/>
      </c>
      <c r="AG36" s="1217" t="str">
        <f t="shared" ca="1" si="47"/>
        <v/>
      </c>
      <c r="AH36" s="1221" t="str">
        <f t="shared" ca="1" si="48"/>
        <v/>
      </c>
      <c r="AI36" s="1217" t="str">
        <f t="shared" ca="1" si="49"/>
        <v/>
      </c>
      <c r="AJ36" s="1221" t="str">
        <f t="shared" ca="1" si="50"/>
        <v/>
      </c>
      <c r="AK36" s="1742" t="str">
        <f t="shared" si="53"/>
        <v/>
      </c>
      <c r="AL36" s="1743" t="str">
        <f t="shared" si="5"/>
        <v/>
      </c>
      <c r="AM36" s="1744" t="str">
        <f t="shared" si="54"/>
        <v/>
      </c>
      <c r="AN36" s="1222" t="str">
        <f t="shared" si="55"/>
        <v/>
      </c>
      <c r="AO36" s="1745" t="str">
        <f t="shared" si="56"/>
        <v/>
      </c>
      <c r="AP36" s="1224" t="str">
        <f t="shared" si="6"/>
        <v/>
      </c>
      <c r="AQ36" s="1746" t="str">
        <f t="shared" si="7"/>
        <v/>
      </c>
      <c r="AR36" s="1220" t="str">
        <f t="shared" si="21"/>
        <v/>
      </c>
      <c r="AS36" s="1221" t="str">
        <f t="shared" si="22"/>
        <v/>
      </c>
      <c r="AT36" s="1747" t="str">
        <f t="shared" si="23"/>
        <v/>
      </c>
      <c r="AU36" s="1748" t="str">
        <f t="shared" si="8"/>
        <v/>
      </c>
      <c r="AV36" s="1226" t="str">
        <f t="shared" si="24"/>
        <v/>
      </c>
      <c r="AW36" s="1221" t="str">
        <f t="shared" si="25"/>
        <v/>
      </c>
      <c r="AX36" s="1747" t="str">
        <f t="shared" si="26"/>
        <v/>
      </c>
      <c r="AY36" s="1748" t="str">
        <f t="shared" si="9"/>
        <v/>
      </c>
      <c r="AZ36" s="1226" t="str">
        <f t="shared" si="27"/>
        <v/>
      </c>
      <c r="BA36" s="1221" t="str">
        <f t="shared" si="28"/>
        <v/>
      </c>
      <c r="BB36" s="1747" t="str">
        <f t="shared" si="29"/>
        <v/>
      </c>
      <c r="BC36" s="1748" t="str">
        <f t="shared" si="10"/>
        <v/>
      </c>
      <c r="BD36" s="1226" t="str">
        <f t="shared" si="30"/>
        <v/>
      </c>
      <c r="BE36" s="1221" t="str">
        <f t="shared" si="31"/>
        <v/>
      </c>
      <c r="BF36" s="1747" t="str">
        <f t="shared" si="57"/>
        <v/>
      </c>
      <c r="BG36" s="1748" t="str">
        <f t="shared" si="11"/>
        <v/>
      </c>
      <c r="BH36" s="261"/>
      <c r="BJ36" s="1302"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3">
        <f t="shared" si="111"/>
        <v>6</v>
      </c>
      <c r="BT36" s="990" t="str">
        <f t="shared" si="112"/>
        <v>No</v>
      </c>
      <c r="BU36" s="1303">
        <f t="shared" si="113"/>
        <v>6</v>
      </c>
      <c r="BV36" s="990" t="str">
        <f t="shared" si="114"/>
        <v>No</v>
      </c>
      <c r="BW36" s="991">
        <f t="shared" ca="1" si="33"/>
        <v>0</v>
      </c>
      <c r="BX36" s="991" t="str">
        <f t="shared" ca="1" si="40"/>
        <v/>
      </c>
      <c r="BY36" s="991" t="b">
        <f t="shared" ca="1" si="34"/>
        <v>0</v>
      </c>
      <c r="BZ36" s="1304" t="b">
        <f t="shared" si="41"/>
        <v>0</v>
      </c>
      <c r="CB36" s="672"/>
      <c r="CC36" s="1685"/>
      <c r="CD36" s="699"/>
      <c r="CE36" s="700"/>
      <c r="CF36" s="1329"/>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1599"/>
      <c r="DE36" s="1600"/>
      <c r="DF36" s="141"/>
      <c r="DG36" s="141"/>
      <c r="DH36" s="672"/>
      <c r="DI36" s="673"/>
      <c r="DJ36" s="692"/>
      <c r="DK36" s="1332"/>
      <c r="DL36" s="674"/>
      <c r="DM36" s="693"/>
      <c r="DN36" s="1335"/>
      <c r="DO36" s="675"/>
      <c r="DP36" s="676"/>
      <c r="DQ36" s="1420"/>
      <c r="DR36" s="677"/>
      <c r="DS36" s="1612"/>
      <c r="DT36" s="1607"/>
      <c r="DU36" s="1608"/>
      <c r="DV36" s="678"/>
      <c r="DW36" s="1337"/>
      <c r="DX36" s="679"/>
      <c r="DY36" s="674"/>
      <c r="DZ36" s="678"/>
      <c r="EA36" s="1337"/>
      <c r="EB36" s="679"/>
      <c r="EC36" s="674"/>
      <c r="ED36" s="678"/>
      <c r="EE36" s="1337"/>
      <c r="EF36" s="679"/>
      <c r="EG36" s="674"/>
      <c r="EH36" s="678"/>
      <c r="EI36" s="1337"/>
      <c r="EJ36" s="679"/>
      <c r="EK36" s="680"/>
      <c r="EL36" s="141"/>
      <c r="EM36" s="1632" t="str">
        <f t="shared" si="115"/>
        <v/>
      </c>
      <c r="EN36" s="1633" t="str">
        <f t="shared" si="90"/>
        <v/>
      </c>
      <c r="EO36" s="648" t="str">
        <f t="shared" si="91"/>
        <v/>
      </c>
      <c r="EP36" s="649" t="str">
        <f t="shared" si="92"/>
        <v/>
      </c>
      <c r="EQ36" s="813" t="str">
        <f t="shared" si="93"/>
        <v/>
      </c>
      <c r="ER36" s="1587" t="str">
        <f t="shared" si="94"/>
        <v/>
      </c>
      <c r="ES36" s="1588" t="str">
        <f t="shared" si="95"/>
        <v/>
      </c>
      <c r="ET36" s="1589" t="str">
        <f t="shared" si="96"/>
        <v/>
      </c>
      <c r="EU36" s="1590"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581" t="str">
        <f t="shared" si="98"/>
        <v/>
      </c>
      <c r="GB36" s="623" t="str">
        <f t="shared" si="99"/>
        <v/>
      </c>
      <c r="GC36" s="625" t="str">
        <f t="shared" si="100"/>
        <v/>
      </c>
      <c r="GD36" s="626" t="str">
        <f t="shared" si="101"/>
        <v/>
      </c>
      <c r="GE36" s="624" t="str">
        <f t="shared" si="102"/>
        <v/>
      </c>
      <c r="GF36" s="582" t="str">
        <f t="shared" si="103"/>
        <v/>
      </c>
      <c r="GG36" s="692"/>
      <c r="GH36" s="1136"/>
      <c r="GI36" s="692"/>
      <c r="GJ36" s="1136"/>
      <c r="GK36" s="1641">
        <f t="shared" si="104"/>
        <v>0</v>
      </c>
      <c r="GL36" s="1641" t="e">
        <f t="shared" si="105"/>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48"/>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43"/>
        <v>0</v>
      </c>
    </row>
    <row r="37" spans="1:272" ht="12.6" customHeight="1" x14ac:dyDescent="0.25">
      <c r="A37" s="1215" t="str">
        <f t="shared" si="62"/>
        <v/>
      </c>
      <c r="B37" s="1709" t="str">
        <f t="shared" si="63"/>
        <v/>
      </c>
      <c r="C37" s="1216" t="str">
        <f t="shared" si="64"/>
        <v/>
      </c>
      <c r="D37" s="1217" t="str">
        <f t="shared" si="65"/>
        <v/>
      </c>
      <c r="E37" s="1218" t="str">
        <f t="shared" si="66"/>
        <v/>
      </c>
      <c r="F37" s="1219" t="str">
        <f t="shared" si="67"/>
        <v/>
      </c>
      <c r="G37" s="1220" t="str">
        <f t="shared" si="68"/>
        <v/>
      </c>
      <c r="H37" s="1221" t="str">
        <f t="shared" si="69"/>
        <v/>
      </c>
      <c r="I37" s="1222" t="str">
        <f t="shared" si="70"/>
        <v/>
      </c>
      <c r="J37" s="1217" t="str">
        <f t="shared" si="71"/>
        <v/>
      </c>
      <c r="K37" s="1221" t="str">
        <f t="shared" si="72"/>
        <v/>
      </c>
      <c r="L37" s="1223" t="str">
        <f t="shared" si="73"/>
        <v/>
      </c>
      <c r="M37" s="1224" t="str">
        <f t="shared" si="74"/>
        <v/>
      </c>
      <c r="N37" s="1225" t="str">
        <f t="shared" si="75"/>
        <v/>
      </c>
      <c r="O37" s="1220" t="str">
        <f t="shared" si="76"/>
        <v/>
      </c>
      <c r="P37" s="1221" t="str">
        <f t="shared" si="77"/>
        <v/>
      </c>
      <c r="Q37" s="1217" t="str">
        <f t="shared" si="78"/>
        <v/>
      </c>
      <c r="R37" s="1218" t="str">
        <f t="shared" si="79"/>
        <v/>
      </c>
      <c r="S37" s="1226" t="str">
        <f t="shared" si="80"/>
        <v/>
      </c>
      <c r="T37" s="1221" t="str">
        <f t="shared" si="81"/>
        <v/>
      </c>
      <c r="U37" s="1217" t="str">
        <f t="shared" si="82"/>
        <v/>
      </c>
      <c r="V37" s="1221" t="str">
        <f t="shared" si="83"/>
        <v/>
      </c>
      <c r="W37" s="1225">
        <f t="shared" si="84"/>
        <v>0</v>
      </c>
      <c r="X37" s="1227" t="str">
        <f t="shared" si="85"/>
        <v/>
      </c>
      <c r="Y37" s="1228" t="str">
        <f t="shared" si="86"/>
        <v/>
      </c>
      <c r="Z37" s="1710" t="str">
        <f t="shared" si="87"/>
        <v/>
      </c>
      <c r="AA37" s="1290" t="str">
        <f t="shared" si="88"/>
        <v/>
      </c>
      <c r="AB37" s="1215" t="str">
        <f t="shared" si="61"/>
        <v/>
      </c>
      <c r="AC37" s="1222" t="str">
        <f t="shared" si="4"/>
        <v/>
      </c>
      <c r="AD37" s="1217" t="str">
        <f t="shared" ca="1" si="44"/>
        <v/>
      </c>
      <c r="AE37" s="1221" t="str">
        <f t="shared" ca="1" si="45"/>
        <v/>
      </c>
      <c r="AF37" s="1222" t="str">
        <f t="shared" ca="1" si="46"/>
        <v/>
      </c>
      <c r="AG37" s="1217" t="str">
        <f t="shared" ca="1" si="47"/>
        <v/>
      </c>
      <c r="AH37" s="1221" t="str">
        <f t="shared" ca="1" si="48"/>
        <v/>
      </c>
      <c r="AI37" s="1217" t="str">
        <f t="shared" ca="1" si="49"/>
        <v/>
      </c>
      <c r="AJ37" s="1221" t="str">
        <f t="shared" ca="1" si="50"/>
        <v/>
      </c>
      <c r="AK37" s="1742" t="str">
        <f t="shared" si="53"/>
        <v/>
      </c>
      <c r="AL37" s="1743" t="str">
        <f t="shared" si="5"/>
        <v/>
      </c>
      <c r="AM37" s="1744" t="str">
        <f t="shared" si="54"/>
        <v/>
      </c>
      <c r="AN37" s="1222" t="str">
        <f t="shared" si="55"/>
        <v/>
      </c>
      <c r="AO37" s="1745" t="str">
        <f t="shared" si="56"/>
        <v/>
      </c>
      <c r="AP37" s="1224" t="str">
        <f t="shared" si="6"/>
        <v/>
      </c>
      <c r="AQ37" s="1746" t="str">
        <f t="shared" si="7"/>
        <v/>
      </c>
      <c r="AR37" s="1220" t="str">
        <f t="shared" si="21"/>
        <v/>
      </c>
      <c r="AS37" s="1221" t="str">
        <f t="shared" si="22"/>
        <v/>
      </c>
      <c r="AT37" s="1747" t="str">
        <f t="shared" si="23"/>
        <v/>
      </c>
      <c r="AU37" s="1748" t="str">
        <f t="shared" si="8"/>
        <v/>
      </c>
      <c r="AV37" s="1226" t="str">
        <f t="shared" si="24"/>
        <v/>
      </c>
      <c r="AW37" s="1221" t="str">
        <f t="shared" si="25"/>
        <v/>
      </c>
      <c r="AX37" s="1747" t="str">
        <f t="shared" si="26"/>
        <v/>
      </c>
      <c r="AY37" s="1748" t="str">
        <f t="shared" si="9"/>
        <v/>
      </c>
      <c r="AZ37" s="1226" t="str">
        <f t="shared" si="27"/>
        <v/>
      </c>
      <c r="BA37" s="1221" t="str">
        <f t="shared" si="28"/>
        <v/>
      </c>
      <c r="BB37" s="1747" t="str">
        <f t="shared" si="29"/>
        <v/>
      </c>
      <c r="BC37" s="1748" t="str">
        <f t="shared" si="10"/>
        <v/>
      </c>
      <c r="BD37" s="1226" t="str">
        <f t="shared" si="30"/>
        <v/>
      </c>
      <c r="BE37" s="1221" t="str">
        <f t="shared" si="31"/>
        <v/>
      </c>
      <c r="BF37" s="1747" t="str">
        <f t="shared" si="57"/>
        <v/>
      </c>
      <c r="BG37" s="1748" t="str">
        <f t="shared" si="11"/>
        <v/>
      </c>
      <c r="BH37" s="261"/>
      <c r="BJ37" s="1302"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3">
        <f t="shared" si="111"/>
        <v>6</v>
      </c>
      <c r="BT37" s="990" t="str">
        <f t="shared" si="112"/>
        <v>No</v>
      </c>
      <c r="BU37" s="1303">
        <f t="shared" si="113"/>
        <v>6</v>
      </c>
      <c r="BV37" s="990" t="str">
        <f t="shared" si="114"/>
        <v>No</v>
      </c>
      <c r="BW37" s="991">
        <f t="shared" ca="1" si="33"/>
        <v>0</v>
      </c>
      <c r="BX37" s="991" t="str">
        <f t="shared" ca="1" si="40"/>
        <v/>
      </c>
      <c r="BY37" s="991" t="b">
        <f t="shared" ca="1" si="34"/>
        <v>0</v>
      </c>
      <c r="BZ37" s="1304" t="b">
        <f t="shared" si="41"/>
        <v>0</v>
      </c>
      <c r="CB37" s="672"/>
      <c r="CC37" s="1685"/>
      <c r="CD37" s="699"/>
      <c r="CE37" s="700"/>
      <c r="CF37" s="1329"/>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1599"/>
      <c r="DE37" s="1600"/>
      <c r="DF37" s="141"/>
      <c r="DG37" s="141"/>
      <c r="DH37" s="672"/>
      <c r="DI37" s="673"/>
      <c r="DJ37" s="692"/>
      <c r="DK37" s="1332"/>
      <c r="DL37" s="674"/>
      <c r="DM37" s="693"/>
      <c r="DN37" s="1335"/>
      <c r="DO37" s="675"/>
      <c r="DP37" s="676"/>
      <c r="DQ37" s="1420"/>
      <c r="DR37" s="677"/>
      <c r="DS37" s="1612"/>
      <c r="DT37" s="1607"/>
      <c r="DU37" s="1608"/>
      <c r="DV37" s="678"/>
      <c r="DW37" s="1337"/>
      <c r="DX37" s="679"/>
      <c r="DY37" s="674"/>
      <c r="DZ37" s="678"/>
      <c r="EA37" s="1337"/>
      <c r="EB37" s="679"/>
      <c r="EC37" s="674"/>
      <c r="ED37" s="678"/>
      <c r="EE37" s="1337"/>
      <c r="EF37" s="679"/>
      <c r="EG37" s="674"/>
      <c r="EH37" s="678"/>
      <c r="EI37" s="1337"/>
      <c r="EJ37" s="679"/>
      <c r="EK37" s="680"/>
      <c r="EL37" s="141"/>
      <c r="EM37" s="1632" t="str">
        <f t="shared" si="115"/>
        <v/>
      </c>
      <c r="EN37" s="1633" t="str">
        <f t="shared" si="90"/>
        <v/>
      </c>
      <c r="EO37" s="648" t="str">
        <f t="shared" si="91"/>
        <v/>
      </c>
      <c r="EP37" s="649" t="str">
        <f t="shared" si="92"/>
        <v/>
      </c>
      <c r="EQ37" s="813" t="str">
        <f t="shared" si="93"/>
        <v/>
      </c>
      <c r="ER37" s="1587" t="str">
        <f t="shared" si="94"/>
        <v/>
      </c>
      <c r="ES37" s="1588" t="str">
        <f t="shared" si="95"/>
        <v/>
      </c>
      <c r="ET37" s="1589" t="str">
        <f t="shared" si="96"/>
        <v/>
      </c>
      <c r="EU37" s="1590"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581" t="str">
        <f t="shared" si="98"/>
        <v/>
      </c>
      <c r="GB37" s="623" t="str">
        <f t="shared" si="99"/>
        <v/>
      </c>
      <c r="GC37" s="625" t="str">
        <f t="shared" si="100"/>
        <v/>
      </c>
      <c r="GD37" s="626" t="str">
        <f t="shared" si="101"/>
        <v/>
      </c>
      <c r="GE37" s="624" t="str">
        <f t="shared" si="102"/>
        <v/>
      </c>
      <c r="GF37" s="582" t="str">
        <f t="shared" si="103"/>
        <v/>
      </c>
      <c r="GG37" s="692"/>
      <c r="GH37" s="1136"/>
      <c r="GI37" s="692"/>
      <c r="GJ37" s="1136"/>
      <c r="GK37" s="1641">
        <f t="shared" si="104"/>
        <v>0</v>
      </c>
      <c r="GL37" s="1641" t="e">
        <f t="shared" si="105"/>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48"/>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43"/>
        <v>0</v>
      </c>
    </row>
    <row r="38" spans="1:272" ht="12.6" customHeight="1" x14ac:dyDescent="0.25">
      <c r="A38" s="1215" t="str">
        <f t="shared" si="62"/>
        <v/>
      </c>
      <c r="B38" s="1709" t="str">
        <f t="shared" si="63"/>
        <v/>
      </c>
      <c r="C38" s="1216" t="str">
        <f t="shared" si="64"/>
        <v/>
      </c>
      <c r="D38" s="1217" t="str">
        <f t="shared" si="65"/>
        <v/>
      </c>
      <c r="E38" s="1218" t="str">
        <f t="shared" si="66"/>
        <v/>
      </c>
      <c r="F38" s="1219" t="str">
        <f t="shared" si="67"/>
        <v/>
      </c>
      <c r="G38" s="1220" t="str">
        <f t="shared" si="68"/>
        <v/>
      </c>
      <c r="H38" s="1221" t="str">
        <f t="shared" si="69"/>
        <v/>
      </c>
      <c r="I38" s="1222" t="str">
        <f t="shared" si="70"/>
        <v/>
      </c>
      <c r="J38" s="1217" t="str">
        <f t="shared" si="71"/>
        <v/>
      </c>
      <c r="K38" s="1221" t="str">
        <f t="shared" si="72"/>
        <v/>
      </c>
      <c r="L38" s="1223" t="str">
        <f t="shared" si="73"/>
        <v/>
      </c>
      <c r="M38" s="1224" t="str">
        <f t="shared" si="74"/>
        <v/>
      </c>
      <c r="N38" s="1225" t="str">
        <f t="shared" si="75"/>
        <v/>
      </c>
      <c r="O38" s="1220" t="str">
        <f t="shared" si="76"/>
        <v/>
      </c>
      <c r="P38" s="1221" t="str">
        <f t="shared" si="77"/>
        <v/>
      </c>
      <c r="Q38" s="1217" t="str">
        <f t="shared" si="78"/>
        <v/>
      </c>
      <c r="R38" s="1218" t="str">
        <f t="shared" si="79"/>
        <v/>
      </c>
      <c r="S38" s="1226" t="str">
        <f t="shared" si="80"/>
        <v/>
      </c>
      <c r="T38" s="1221" t="str">
        <f t="shared" si="81"/>
        <v/>
      </c>
      <c r="U38" s="1217" t="str">
        <f t="shared" si="82"/>
        <v/>
      </c>
      <c r="V38" s="1221" t="str">
        <f t="shared" si="83"/>
        <v/>
      </c>
      <c r="W38" s="1225">
        <f t="shared" si="84"/>
        <v>0</v>
      </c>
      <c r="X38" s="1227" t="str">
        <f t="shared" si="85"/>
        <v/>
      </c>
      <c r="Y38" s="1228" t="str">
        <f t="shared" si="86"/>
        <v/>
      </c>
      <c r="Z38" s="1710" t="str">
        <f t="shared" si="87"/>
        <v/>
      </c>
      <c r="AA38" s="1290" t="str">
        <f t="shared" si="88"/>
        <v/>
      </c>
      <c r="AB38" s="1215" t="str">
        <f t="shared" si="61"/>
        <v/>
      </c>
      <c r="AC38" s="1222" t="str">
        <f t="shared" si="4"/>
        <v/>
      </c>
      <c r="AD38" s="1217" t="str">
        <f t="shared" ca="1" si="44"/>
        <v/>
      </c>
      <c r="AE38" s="1221" t="str">
        <f t="shared" ca="1" si="45"/>
        <v/>
      </c>
      <c r="AF38" s="1222" t="str">
        <f t="shared" ca="1" si="46"/>
        <v/>
      </c>
      <c r="AG38" s="1217" t="str">
        <f t="shared" ca="1" si="47"/>
        <v/>
      </c>
      <c r="AH38" s="1221" t="str">
        <f t="shared" ca="1" si="48"/>
        <v/>
      </c>
      <c r="AI38" s="1217" t="str">
        <f t="shared" ca="1" si="49"/>
        <v/>
      </c>
      <c r="AJ38" s="1221" t="str">
        <f t="shared" ca="1" si="50"/>
        <v/>
      </c>
      <c r="AK38" s="1742" t="str">
        <f t="shared" si="53"/>
        <v/>
      </c>
      <c r="AL38" s="1743" t="str">
        <f t="shared" si="5"/>
        <v/>
      </c>
      <c r="AM38" s="1744" t="str">
        <f t="shared" si="54"/>
        <v/>
      </c>
      <c r="AN38" s="1222" t="str">
        <f t="shared" si="55"/>
        <v/>
      </c>
      <c r="AO38" s="1745" t="str">
        <f t="shared" si="56"/>
        <v/>
      </c>
      <c r="AP38" s="1224" t="str">
        <f t="shared" si="6"/>
        <v/>
      </c>
      <c r="AQ38" s="1746" t="str">
        <f t="shared" si="7"/>
        <v/>
      </c>
      <c r="AR38" s="1220" t="str">
        <f t="shared" si="21"/>
        <v/>
      </c>
      <c r="AS38" s="1221" t="str">
        <f t="shared" si="22"/>
        <v/>
      </c>
      <c r="AT38" s="1747" t="str">
        <f t="shared" si="23"/>
        <v/>
      </c>
      <c r="AU38" s="1748" t="str">
        <f t="shared" si="8"/>
        <v/>
      </c>
      <c r="AV38" s="1226" t="str">
        <f t="shared" si="24"/>
        <v/>
      </c>
      <c r="AW38" s="1221" t="str">
        <f t="shared" si="25"/>
        <v/>
      </c>
      <c r="AX38" s="1747" t="str">
        <f t="shared" si="26"/>
        <v/>
      </c>
      <c r="AY38" s="1748" t="str">
        <f t="shared" si="9"/>
        <v/>
      </c>
      <c r="AZ38" s="1226" t="str">
        <f t="shared" si="27"/>
        <v/>
      </c>
      <c r="BA38" s="1221" t="str">
        <f t="shared" si="28"/>
        <v/>
      </c>
      <c r="BB38" s="1747" t="str">
        <f t="shared" si="29"/>
        <v/>
      </c>
      <c r="BC38" s="1748" t="str">
        <f t="shared" si="10"/>
        <v/>
      </c>
      <c r="BD38" s="1226" t="str">
        <f t="shared" si="30"/>
        <v/>
      </c>
      <c r="BE38" s="1221" t="str">
        <f t="shared" si="31"/>
        <v/>
      </c>
      <c r="BF38" s="1747" t="str">
        <f t="shared" si="57"/>
        <v/>
      </c>
      <c r="BG38" s="1748" t="str">
        <f t="shared" si="11"/>
        <v/>
      </c>
      <c r="BH38" s="261"/>
      <c r="BJ38" s="1302"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3">
        <f t="shared" si="111"/>
        <v>6</v>
      </c>
      <c r="BT38" s="990" t="str">
        <f t="shared" si="112"/>
        <v>No</v>
      </c>
      <c r="BU38" s="1303">
        <f t="shared" si="113"/>
        <v>6</v>
      </c>
      <c r="BV38" s="990" t="str">
        <f t="shared" si="114"/>
        <v>No</v>
      </c>
      <c r="BW38" s="991">
        <f t="shared" ca="1" si="33"/>
        <v>0</v>
      </c>
      <c r="BX38" s="991" t="str">
        <f t="shared" ca="1" si="40"/>
        <v/>
      </c>
      <c r="BY38" s="991" t="b">
        <f t="shared" ca="1" si="34"/>
        <v>0</v>
      </c>
      <c r="BZ38" s="1304" t="b">
        <f t="shared" si="41"/>
        <v>0</v>
      </c>
      <c r="CB38" s="672"/>
      <c r="CC38" s="1685"/>
      <c r="CD38" s="699"/>
      <c r="CE38" s="700"/>
      <c r="CF38" s="1329"/>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1599"/>
      <c r="DE38" s="1600"/>
      <c r="DF38" s="141"/>
      <c r="DG38" s="141"/>
      <c r="DH38" s="672"/>
      <c r="DI38" s="673"/>
      <c r="DJ38" s="692"/>
      <c r="DK38" s="1332"/>
      <c r="DL38" s="674"/>
      <c r="DM38" s="693"/>
      <c r="DN38" s="1335"/>
      <c r="DO38" s="675"/>
      <c r="DP38" s="676"/>
      <c r="DQ38" s="1420"/>
      <c r="DR38" s="677"/>
      <c r="DS38" s="1612"/>
      <c r="DT38" s="1607"/>
      <c r="DU38" s="1608"/>
      <c r="DV38" s="678"/>
      <c r="DW38" s="1337"/>
      <c r="DX38" s="679"/>
      <c r="DY38" s="674"/>
      <c r="DZ38" s="678"/>
      <c r="EA38" s="1337"/>
      <c r="EB38" s="679"/>
      <c r="EC38" s="674"/>
      <c r="ED38" s="678"/>
      <c r="EE38" s="1337"/>
      <c r="EF38" s="679"/>
      <c r="EG38" s="674"/>
      <c r="EH38" s="678"/>
      <c r="EI38" s="1337"/>
      <c r="EJ38" s="679"/>
      <c r="EK38" s="680"/>
      <c r="EL38" s="141"/>
      <c r="EM38" s="1632" t="str">
        <f t="shared" si="115"/>
        <v/>
      </c>
      <c r="EN38" s="1633" t="str">
        <f t="shared" si="90"/>
        <v/>
      </c>
      <c r="EO38" s="648" t="str">
        <f t="shared" si="91"/>
        <v/>
      </c>
      <c r="EP38" s="649" t="str">
        <f t="shared" si="92"/>
        <v/>
      </c>
      <c r="EQ38" s="813" t="str">
        <f t="shared" si="93"/>
        <v/>
      </c>
      <c r="ER38" s="1587" t="str">
        <f t="shared" si="94"/>
        <v/>
      </c>
      <c r="ES38" s="1588" t="str">
        <f t="shared" si="95"/>
        <v/>
      </c>
      <c r="ET38" s="1589" t="str">
        <f t="shared" si="96"/>
        <v/>
      </c>
      <c r="EU38" s="1590"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581" t="str">
        <f t="shared" si="98"/>
        <v/>
      </c>
      <c r="GB38" s="623" t="str">
        <f t="shared" si="99"/>
        <v/>
      </c>
      <c r="GC38" s="625" t="str">
        <f t="shared" si="100"/>
        <v/>
      </c>
      <c r="GD38" s="626" t="str">
        <f t="shared" si="101"/>
        <v/>
      </c>
      <c r="GE38" s="624" t="str">
        <f t="shared" si="102"/>
        <v/>
      </c>
      <c r="GF38" s="582" t="str">
        <f t="shared" si="103"/>
        <v/>
      </c>
      <c r="GG38" s="692"/>
      <c r="GH38" s="1136"/>
      <c r="GI38" s="692"/>
      <c r="GJ38" s="1136"/>
      <c r="GK38" s="1641">
        <f t="shared" si="104"/>
        <v>0</v>
      </c>
      <c r="GL38" s="1641" t="e">
        <f t="shared" si="105"/>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48"/>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43"/>
        <v>0</v>
      </c>
    </row>
    <row r="39" spans="1:272" ht="12.6" customHeight="1" x14ac:dyDescent="0.25">
      <c r="A39" s="1215" t="str">
        <f t="shared" si="62"/>
        <v/>
      </c>
      <c r="B39" s="1709" t="str">
        <f t="shared" si="63"/>
        <v/>
      </c>
      <c r="C39" s="1216" t="str">
        <f t="shared" si="64"/>
        <v/>
      </c>
      <c r="D39" s="1217" t="str">
        <f t="shared" si="65"/>
        <v/>
      </c>
      <c r="E39" s="1218" t="str">
        <f t="shared" si="66"/>
        <v/>
      </c>
      <c r="F39" s="1219" t="str">
        <f t="shared" si="67"/>
        <v/>
      </c>
      <c r="G39" s="1220" t="str">
        <f t="shared" si="68"/>
        <v/>
      </c>
      <c r="H39" s="1221" t="str">
        <f t="shared" si="69"/>
        <v/>
      </c>
      <c r="I39" s="1222" t="str">
        <f t="shared" si="70"/>
        <v/>
      </c>
      <c r="J39" s="1217" t="str">
        <f t="shared" si="71"/>
        <v/>
      </c>
      <c r="K39" s="1221" t="str">
        <f t="shared" si="72"/>
        <v/>
      </c>
      <c r="L39" s="1223" t="str">
        <f t="shared" si="73"/>
        <v/>
      </c>
      <c r="M39" s="1224" t="str">
        <f t="shared" si="74"/>
        <v/>
      </c>
      <c r="N39" s="1225" t="str">
        <f t="shared" si="75"/>
        <v/>
      </c>
      <c r="O39" s="1220" t="str">
        <f t="shared" si="76"/>
        <v/>
      </c>
      <c r="P39" s="1221" t="str">
        <f t="shared" si="77"/>
        <v/>
      </c>
      <c r="Q39" s="1217" t="str">
        <f t="shared" si="78"/>
        <v/>
      </c>
      <c r="R39" s="1218" t="str">
        <f t="shared" si="79"/>
        <v/>
      </c>
      <c r="S39" s="1226" t="str">
        <f t="shared" si="80"/>
        <v/>
      </c>
      <c r="T39" s="1221" t="str">
        <f t="shared" si="81"/>
        <v/>
      </c>
      <c r="U39" s="1217" t="str">
        <f t="shared" si="82"/>
        <v/>
      </c>
      <c r="V39" s="1221" t="str">
        <f t="shared" si="83"/>
        <v/>
      </c>
      <c r="W39" s="1225">
        <f t="shared" si="84"/>
        <v>0</v>
      </c>
      <c r="X39" s="1227" t="str">
        <f t="shared" si="85"/>
        <v/>
      </c>
      <c r="Y39" s="1228" t="str">
        <f t="shared" si="86"/>
        <v/>
      </c>
      <c r="Z39" s="1710" t="str">
        <f t="shared" si="87"/>
        <v/>
      </c>
      <c r="AA39" s="1290" t="str">
        <f t="shared" si="88"/>
        <v/>
      </c>
      <c r="AB39" s="1215" t="str">
        <f t="shared" si="61"/>
        <v/>
      </c>
      <c r="AC39" s="1222" t="str">
        <f t="shared" si="4"/>
        <v/>
      </c>
      <c r="AD39" s="1217" t="str">
        <f t="shared" ca="1" si="44"/>
        <v/>
      </c>
      <c r="AE39" s="1221" t="str">
        <f t="shared" ca="1" si="45"/>
        <v/>
      </c>
      <c r="AF39" s="1222" t="str">
        <f t="shared" ca="1" si="46"/>
        <v/>
      </c>
      <c r="AG39" s="1217" t="str">
        <f t="shared" ca="1" si="47"/>
        <v/>
      </c>
      <c r="AH39" s="1221" t="str">
        <f t="shared" ca="1" si="48"/>
        <v/>
      </c>
      <c r="AI39" s="1217" t="str">
        <f t="shared" ca="1" si="49"/>
        <v/>
      </c>
      <c r="AJ39" s="1221" t="str">
        <f t="shared" ca="1" si="50"/>
        <v/>
      </c>
      <c r="AK39" s="1742" t="str">
        <f t="shared" si="53"/>
        <v/>
      </c>
      <c r="AL39" s="1743" t="str">
        <f t="shared" si="5"/>
        <v/>
      </c>
      <c r="AM39" s="1744" t="str">
        <f t="shared" si="54"/>
        <v/>
      </c>
      <c r="AN39" s="1222" t="str">
        <f t="shared" si="55"/>
        <v/>
      </c>
      <c r="AO39" s="1745" t="str">
        <f t="shared" si="56"/>
        <v/>
      </c>
      <c r="AP39" s="1224" t="str">
        <f t="shared" si="6"/>
        <v/>
      </c>
      <c r="AQ39" s="1746" t="str">
        <f t="shared" si="7"/>
        <v/>
      </c>
      <c r="AR39" s="1220" t="str">
        <f t="shared" si="21"/>
        <v/>
      </c>
      <c r="AS39" s="1221" t="str">
        <f t="shared" si="22"/>
        <v/>
      </c>
      <c r="AT39" s="1747" t="str">
        <f t="shared" si="23"/>
        <v/>
      </c>
      <c r="AU39" s="1748" t="str">
        <f t="shared" si="8"/>
        <v/>
      </c>
      <c r="AV39" s="1226" t="str">
        <f t="shared" si="24"/>
        <v/>
      </c>
      <c r="AW39" s="1221" t="str">
        <f t="shared" si="25"/>
        <v/>
      </c>
      <c r="AX39" s="1747" t="str">
        <f t="shared" si="26"/>
        <v/>
      </c>
      <c r="AY39" s="1748" t="str">
        <f t="shared" si="9"/>
        <v/>
      </c>
      <c r="AZ39" s="1226" t="str">
        <f t="shared" si="27"/>
        <v/>
      </c>
      <c r="BA39" s="1221" t="str">
        <f t="shared" si="28"/>
        <v/>
      </c>
      <c r="BB39" s="1747" t="str">
        <f t="shared" si="29"/>
        <v/>
      </c>
      <c r="BC39" s="1748" t="str">
        <f t="shared" si="10"/>
        <v/>
      </c>
      <c r="BD39" s="1226" t="str">
        <f t="shared" si="30"/>
        <v/>
      </c>
      <c r="BE39" s="1221" t="str">
        <f t="shared" si="31"/>
        <v/>
      </c>
      <c r="BF39" s="1747" t="str">
        <f t="shared" si="57"/>
        <v/>
      </c>
      <c r="BG39" s="1748" t="str">
        <f t="shared" si="11"/>
        <v/>
      </c>
      <c r="BH39" s="261"/>
      <c r="BJ39" s="1302"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3">
        <f t="shared" si="111"/>
        <v>6</v>
      </c>
      <c r="BT39" s="990" t="str">
        <f t="shared" si="112"/>
        <v>No</v>
      </c>
      <c r="BU39" s="1303">
        <f t="shared" si="113"/>
        <v>6</v>
      </c>
      <c r="BV39" s="990" t="str">
        <f t="shared" si="114"/>
        <v>No</v>
      </c>
      <c r="BW39" s="991">
        <f t="shared" ca="1" si="33"/>
        <v>0</v>
      </c>
      <c r="BX39" s="991" t="str">
        <f t="shared" ca="1" si="40"/>
        <v/>
      </c>
      <c r="BY39" s="991" t="b">
        <f t="shared" ca="1" si="34"/>
        <v>0</v>
      </c>
      <c r="BZ39" s="1304" t="b">
        <f t="shared" si="41"/>
        <v>0</v>
      </c>
      <c r="CB39" s="672"/>
      <c r="CC39" s="1685"/>
      <c r="CD39" s="699"/>
      <c r="CE39" s="700"/>
      <c r="CF39" s="1329"/>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1599"/>
      <c r="DE39" s="1600"/>
      <c r="DF39" s="141"/>
      <c r="DG39" s="141"/>
      <c r="DH39" s="672"/>
      <c r="DI39" s="673"/>
      <c r="DJ39" s="692"/>
      <c r="DK39" s="1332"/>
      <c r="DL39" s="674"/>
      <c r="DM39" s="693"/>
      <c r="DN39" s="1335"/>
      <c r="DO39" s="675"/>
      <c r="DP39" s="676"/>
      <c r="DQ39" s="1420"/>
      <c r="DR39" s="677"/>
      <c r="DS39" s="1612"/>
      <c r="DT39" s="1607"/>
      <c r="DU39" s="1608"/>
      <c r="DV39" s="678"/>
      <c r="DW39" s="1337"/>
      <c r="DX39" s="679"/>
      <c r="DY39" s="674"/>
      <c r="DZ39" s="678"/>
      <c r="EA39" s="1337"/>
      <c r="EB39" s="679"/>
      <c r="EC39" s="674"/>
      <c r="ED39" s="678"/>
      <c r="EE39" s="1337"/>
      <c r="EF39" s="679"/>
      <c r="EG39" s="674"/>
      <c r="EH39" s="678"/>
      <c r="EI39" s="1337"/>
      <c r="EJ39" s="679"/>
      <c r="EK39" s="680"/>
      <c r="EL39" s="141"/>
      <c r="EM39" s="1632" t="str">
        <f t="shared" si="115"/>
        <v/>
      </c>
      <c r="EN39" s="1633" t="str">
        <f t="shared" si="90"/>
        <v/>
      </c>
      <c r="EO39" s="648" t="str">
        <f t="shared" si="91"/>
        <v/>
      </c>
      <c r="EP39" s="649" t="str">
        <f t="shared" si="92"/>
        <v/>
      </c>
      <c r="EQ39" s="813" t="str">
        <f t="shared" si="93"/>
        <v/>
      </c>
      <c r="ER39" s="1587" t="str">
        <f t="shared" si="94"/>
        <v/>
      </c>
      <c r="ES39" s="1588" t="str">
        <f t="shared" si="95"/>
        <v/>
      </c>
      <c r="ET39" s="1589" t="str">
        <f t="shared" si="96"/>
        <v/>
      </c>
      <c r="EU39" s="1590"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581" t="str">
        <f t="shared" si="98"/>
        <v/>
      </c>
      <c r="GB39" s="623" t="str">
        <f t="shared" si="99"/>
        <v/>
      </c>
      <c r="GC39" s="625" t="str">
        <f t="shared" si="100"/>
        <v/>
      </c>
      <c r="GD39" s="626" t="str">
        <f t="shared" si="101"/>
        <v/>
      </c>
      <c r="GE39" s="624" t="str">
        <f t="shared" si="102"/>
        <v/>
      </c>
      <c r="GF39" s="582" t="str">
        <f t="shared" si="103"/>
        <v/>
      </c>
      <c r="GG39" s="692"/>
      <c r="GH39" s="1136"/>
      <c r="GI39" s="692"/>
      <c r="GJ39" s="1136"/>
      <c r="GK39" s="1641">
        <f t="shared" si="104"/>
        <v>0</v>
      </c>
      <c r="GL39" s="1641" t="e">
        <f t="shared" si="105"/>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48"/>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43"/>
        <v>0</v>
      </c>
    </row>
    <row r="40" spans="1:272" ht="12.6" customHeight="1" x14ac:dyDescent="0.25">
      <c r="A40" s="1215" t="str">
        <f t="shared" si="62"/>
        <v/>
      </c>
      <c r="B40" s="1709" t="str">
        <f t="shared" si="63"/>
        <v/>
      </c>
      <c r="C40" s="1216" t="str">
        <f t="shared" si="64"/>
        <v/>
      </c>
      <c r="D40" s="1217" t="str">
        <f t="shared" si="65"/>
        <v/>
      </c>
      <c r="E40" s="1218" t="str">
        <f t="shared" si="66"/>
        <v/>
      </c>
      <c r="F40" s="1219" t="str">
        <f t="shared" si="67"/>
        <v/>
      </c>
      <c r="G40" s="1220" t="str">
        <f t="shared" si="68"/>
        <v/>
      </c>
      <c r="H40" s="1221" t="str">
        <f t="shared" si="69"/>
        <v/>
      </c>
      <c r="I40" s="1222" t="str">
        <f t="shared" si="70"/>
        <v/>
      </c>
      <c r="J40" s="1217" t="str">
        <f t="shared" si="71"/>
        <v/>
      </c>
      <c r="K40" s="1221" t="str">
        <f t="shared" si="72"/>
        <v/>
      </c>
      <c r="L40" s="1223" t="str">
        <f t="shared" si="73"/>
        <v/>
      </c>
      <c r="M40" s="1224" t="str">
        <f t="shared" si="74"/>
        <v/>
      </c>
      <c r="N40" s="1225" t="str">
        <f t="shared" si="75"/>
        <v/>
      </c>
      <c r="O40" s="1220" t="str">
        <f t="shared" si="76"/>
        <v/>
      </c>
      <c r="P40" s="1221" t="str">
        <f t="shared" si="77"/>
        <v/>
      </c>
      <c r="Q40" s="1217" t="str">
        <f t="shared" si="78"/>
        <v/>
      </c>
      <c r="R40" s="1218" t="str">
        <f t="shared" si="79"/>
        <v/>
      </c>
      <c r="S40" s="1226" t="str">
        <f t="shared" si="80"/>
        <v/>
      </c>
      <c r="T40" s="1221" t="str">
        <f t="shared" si="81"/>
        <v/>
      </c>
      <c r="U40" s="1217" t="str">
        <f t="shared" si="82"/>
        <v/>
      </c>
      <c r="V40" s="1221" t="str">
        <f t="shared" si="83"/>
        <v/>
      </c>
      <c r="W40" s="1225">
        <f t="shared" si="84"/>
        <v>0</v>
      </c>
      <c r="X40" s="1227" t="str">
        <f t="shared" si="85"/>
        <v/>
      </c>
      <c r="Y40" s="1228" t="str">
        <f t="shared" si="86"/>
        <v/>
      </c>
      <c r="Z40" s="1710" t="str">
        <f t="shared" si="87"/>
        <v/>
      </c>
      <c r="AA40" s="1290" t="str">
        <f t="shared" si="88"/>
        <v/>
      </c>
      <c r="AB40" s="1215" t="str">
        <f t="shared" si="61"/>
        <v/>
      </c>
      <c r="AC40" s="1222" t="str">
        <f t="shared" si="4"/>
        <v/>
      </c>
      <c r="AD40" s="1217" t="str">
        <f t="shared" ca="1" si="44"/>
        <v/>
      </c>
      <c r="AE40" s="1221" t="str">
        <f t="shared" ca="1" si="45"/>
        <v/>
      </c>
      <c r="AF40" s="1222" t="str">
        <f t="shared" ca="1" si="46"/>
        <v/>
      </c>
      <c r="AG40" s="1217" t="str">
        <f t="shared" ca="1" si="47"/>
        <v/>
      </c>
      <c r="AH40" s="1221" t="str">
        <f t="shared" ca="1" si="48"/>
        <v/>
      </c>
      <c r="AI40" s="1217" t="str">
        <f t="shared" ca="1" si="49"/>
        <v/>
      </c>
      <c r="AJ40" s="1221" t="str">
        <f t="shared" ca="1" si="50"/>
        <v/>
      </c>
      <c r="AK40" s="1742" t="str">
        <f t="shared" si="53"/>
        <v/>
      </c>
      <c r="AL40" s="1743" t="str">
        <f t="shared" si="5"/>
        <v/>
      </c>
      <c r="AM40" s="1744" t="str">
        <f t="shared" si="54"/>
        <v/>
      </c>
      <c r="AN40" s="1222" t="str">
        <f t="shared" si="55"/>
        <v/>
      </c>
      <c r="AO40" s="1745" t="str">
        <f t="shared" si="56"/>
        <v/>
      </c>
      <c r="AP40" s="1224" t="str">
        <f t="shared" si="6"/>
        <v/>
      </c>
      <c r="AQ40" s="1746" t="str">
        <f t="shared" si="7"/>
        <v/>
      </c>
      <c r="AR40" s="1220" t="str">
        <f t="shared" si="21"/>
        <v/>
      </c>
      <c r="AS40" s="1221" t="str">
        <f t="shared" si="22"/>
        <v/>
      </c>
      <c r="AT40" s="1747" t="str">
        <f t="shared" si="23"/>
        <v/>
      </c>
      <c r="AU40" s="1748" t="str">
        <f t="shared" si="8"/>
        <v/>
      </c>
      <c r="AV40" s="1226" t="str">
        <f t="shared" si="24"/>
        <v/>
      </c>
      <c r="AW40" s="1221" t="str">
        <f t="shared" si="25"/>
        <v/>
      </c>
      <c r="AX40" s="1747" t="str">
        <f t="shared" si="26"/>
        <v/>
      </c>
      <c r="AY40" s="1748" t="str">
        <f t="shared" si="9"/>
        <v/>
      </c>
      <c r="AZ40" s="1226" t="str">
        <f t="shared" si="27"/>
        <v/>
      </c>
      <c r="BA40" s="1221" t="str">
        <f t="shared" si="28"/>
        <v/>
      </c>
      <c r="BB40" s="1747" t="str">
        <f t="shared" si="29"/>
        <v/>
      </c>
      <c r="BC40" s="1748" t="str">
        <f t="shared" si="10"/>
        <v/>
      </c>
      <c r="BD40" s="1226" t="str">
        <f t="shared" si="30"/>
        <v/>
      </c>
      <c r="BE40" s="1221" t="str">
        <f t="shared" si="31"/>
        <v/>
      </c>
      <c r="BF40" s="1747" t="str">
        <f t="shared" si="57"/>
        <v/>
      </c>
      <c r="BG40" s="1748" t="str">
        <f t="shared" si="11"/>
        <v/>
      </c>
      <c r="BH40" s="261"/>
      <c r="BJ40" s="1302"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3">
        <f t="shared" si="111"/>
        <v>6</v>
      </c>
      <c r="BT40" s="990" t="str">
        <f t="shared" si="112"/>
        <v>No</v>
      </c>
      <c r="BU40" s="1303">
        <f t="shared" si="113"/>
        <v>6</v>
      </c>
      <c r="BV40" s="990" t="str">
        <f t="shared" si="114"/>
        <v>No</v>
      </c>
      <c r="BW40" s="991">
        <f t="shared" ca="1" si="33"/>
        <v>0</v>
      </c>
      <c r="BX40" s="991" t="str">
        <f t="shared" ca="1" si="40"/>
        <v/>
      </c>
      <c r="BY40" s="991" t="b">
        <f t="shared" ca="1" si="34"/>
        <v>0</v>
      </c>
      <c r="BZ40" s="1304" t="b">
        <f t="shared" si="41"/>
        <v>0</v>
      </c>
      <c r="CB40" s="672"/>
      <c r="CC40" s="1685"/>
      <c r="CD40" s="699"/>
      <c r="CE40" s="700"/>
      <c r="CF40" s="1329"/>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1599"/>
      <c r="DE40" s="1600"/>
      <c r="DF40" s="141"/>
      <c r="DG40" s="141"/>
      <c r="DH40" s="672"/>
      <c r="DI40" s="673"/>
      <c r="DJ40" s="692"/>
      <c r="DK40" s="1332"/>
      <c r="DL40" s="674"/>
      <c r="DM40" s="693"/>
      <c r="DN40" s="1335"/>
      <c r="DO40" s="675"/>
      <c r="DP40" s="676"/>
      <c r="DQ40" s="1420"/>
      <c r="DR40" s="677"/>
      <c r="DS40" s="1612"/>
      <c r="DT40" s="1607"/>
      <c r="DU40" s="1608"/>
      <c r="DV40" s="678"/>
      <c r="DW40" s="1337"/>
      <c r="DX40" s="679"/>
      <c r="DY40" s="674"/>
      <c r="DZ40" s="678"/>
      <c r="EA40" s="1337"/>
      <c r="EB40" s="679"/>
      <c r="EC40" s="674"/>
      <c r="ED40" s="678"/>
      <c r="EE40" s="1337"/>
      <c r="EF40" s="679"/>
      <c r="EG40" s="674"/>
      <c r="EH40" s="678"/>
      <c r="EI40" s="1337"/>
      <c r="EJ40" s="679"/>
      <c r="EK40" s="680"/>
      <c r="EL40" s="141"/>
      <c r="EM40" s="1632" t="str">
        <f t="shared" si="115"/>
        <v/>
      </c>
      <c r="EN40" s="1633" t="str">
        <f t="shared" si="90"/>
        <v/>
      </c>
      <c r="EO40" s="648" t="str">
        <f t="shared" si="91"/>
        <v/>
      </c>
      <c r="EP40" s="649" t="str">
        <f t="shared" si="92"/>
        <v/>
      </c>
      <c r="EQ40" s="813" t="str">
        <f t="shared" si="93"/>
        <v/>
      </c>
      <c r="ER40" s="1587" t="str">
        <f t="shared" si="94"/>
        <v/>
      </c>
      <c r="ES40" s="1588" t="str">
        <f t="shared" si="95"/>
        <v/>
      </c>
      <c r="ET40" s="1589" t="str">
        <f t="shared" si="96"/>
        <v/>
      </c>
      <c r="EU40" s="1590"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581" t="str">
        <f t="shared" si="98"/>
        <v/>
      </c>
      <c r="GB40" s="623" t="str">
        <f t="shared" si="99"/>
        <v/>
      </c>
      <c r="GC40" s="625" t="str">
        <f t="shared" si="100"/>
        <v/>
      </c>
      <c r="GD40" s="626" t="str">
        <f t="shared" si="101"/>
        <v/>
      </c>
      <c r="GE40" s="624" t="str">
        <f t="shared" si="102"/>
        <v/>
      </c>
      <c r="GF40" s="582" t="str">
        <f t="shared" si="103"/>
        <v/>
      </c>
      <c r="GG40" s="692"/>
      <c r="GH40" s="1136"/>
      <c r="GI40" s="692"/>
      <c r="GJ40" s="1136"/>
      <c r="GK40" s="1641">
        <f t="shared" si="104"/>
        <v>0</v>
      </c>
      <c r="GL40" s="1641" t="e">
        <f t="shared" si="105"/>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48"/>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43"/>
        <v>0</v>
      </c>
    </row>
    <row r="41" spans="1:272" ht="12.6" customHeight="1" x14ac:dyDescent="0.25">
      <c r="A41" s="1215" t="str">
        <f t="shared" si="62"/>
        <v/>
      </c>
      <c r="B41" s="1709" t="str">
        <f t="shared" si="63"/>
        <v/>
      </c>
      <c r="C41" s="1216" t="str">
        <f t="shared" si="64"/>
        <v/>
      </c>
      <c r="D41" s="1217" t="str">
        <f t="shared" si="65"/>
        <v/>
      </c>
      <c r="E41" s="1218" t="str">
        <f t="shared" si="66"/>
        <v/>
      </c>
      <c r="F41" s="1219" t="str">
        <f t="shared" si="67"/>
        <v/>
      </c>
      <c r="G41" s="1220" t="str">
        <f t="shared" si="68"/>
        <v/>
      </c>
      <c r="H41" s="1221" t="str">
        <f t="shared" si="69"/>
        <v/>
      </c>
      <c r="I41" s="1222" t="str">
        <f t="shared" si="70"/>
        <v/>
      </c>
      <c r="J41" s="1217" t="str">
        <f t="shared" si="71"/>
        <v/>
      </c>
      <c r="K41" s="1221" t="str">
        <f t="shared" si="72"/>
        <v/>
      </c>
      <c r="L41" s="1223" t="str">
        <f t="shared" si="73"/>
        <v/>
      </c>
      <c r="M41" s="1224" t="str">
        <f t="shared" si="74"/>
        <v/>
      </c>
      <c r="N41" s="1225" t="str">
        <f t="shared" si="75"/>
        <v/>
      </c>
      <c r="O41" s="1220" t="str">
        <f t="shared" si="76"/>
        <v/>
      </c>
      <c r="P41" s="1221" t="str">
        <f t="shared" si="77"/>
        <v/>
      </c>
      <c r="Q41" s="1217" t="str">
        <f t="shared" si="78"/>
        <v/>
      </c>
      <c r="R41" s="1218" t="str">
        <f t="shared" si="79"/>
        <v/>
      </c>
      <c r="S41" s="1226" t="str">
        <f t="shared" si="80"/>
        <v/>
      </c>
      <c r="T41" s="1221" t="str">
        <f t="shared" si="81"/>
        <v/>
      </c>
      <c r="U41" s="1217" t="str">
        <f t="shared" si="82"/>
        <v/>
      </c>
      <c r="V41" s="1221" t="str">
        <f t="shared" si="83"/>
        <v/>
      </c>
      <c r="W41" s="1225">
        <f t="shared" si="84"/>
        <v>0</v>
      </c>
      <c r="X41" s="1227" t="str">
        <f t="shared" si="85"/>
        <v/>
      </c>
      <c r="Y41" s="1228" t="str">
        <f t="shared" si="86"/>
        <v/>
      </c>
      <c r="Z41" s="1710" t="str">
        <f t="shared" si="87"/>
        <v/>
      </c>
      <c r="AA41" s="1290" t="str">
        <f t="shared" si="88"/>
        <v/>
      </c>
      <c r="AB41" s="1215" t="str">
        <f t="shared" si="61"/>
        <v/>
      </c>
      <c r="AC41" s="1222" t="str">
        <f t="shared" si="4"/>
        <v/>
      </c>
      <c r="AD41" s="1217" t="str">
        <f t="shared" ca="1" si="44"/>
        <v/>
      </c>
      <c r="AE41" s="1221" t="str">
        <f t="shared" ca="1" si="45"/>
        <v/>
      </c>
      <c r="AF41" s="1222" t="str">
        <f t="shared" ca="1" si="46"/>
        <v/>
      </c>
      <c r="AG41" s="1217" t="str">
        <f t="shared" ca="1" si="47"/>
        <v/>
      </c>
      <c r="AH41" s="1221" t="str">
        <f t="shared" ca="1" si="48"/>
        <v/>
      </c>
      <c r="AI41" s="1217" t="str">
        <f t="shared" ca="1" si="49"/>
        <v/>
      </c>
      <c r="AJ41" s="1221" t="str">
        <f t="shared" ca="1" si="50"/>
        <v/>
      </c>
      <c r="AK41" s="1742" t="str">
        <f t="shared" si="53"/>
        <v/>
      </c>
      <c r="AL41" s="1743" t="str">
        <f t="shared" si="5"/>
        <v/>
      </c>
      <c r="AM41" s="1744" t="str">
        <f t="shared" si="54"/>
        <v/>
      </c>
      <c r="AN41" s="1222" t="str">
        <f t="shared" si="55"/>
        <v/>
      </c>
      <c r="AO41" s="1745" t="str">
        <f t="shared" si="56"/>
        <v/>
      </c>
      <c r="AP41" s="1224" t="str">
        <f t="shared" si="6"/>
        <v/>
      </c>
      <c r="AQ41" s="1746" t="str">
        <f t="shared" si="7"/>
        <v/>
      </c>
      <c r="AR41" s="1220" t="str">
        <f t="shared" si="21"/>
        <v/>
      </c>
      <c r="AS41" s="1221" t="str">
        <f t="shared" si="22"/>
        <v/>
      </c>
      <c r="AT41" s="1747" t="str">
        <f t="shared" si="23"/>
        <v/>
      </c>
      <c r="AU41" s="1748" t="str">
        <f t="shared" si="8"/>
        <v/>
      </c>
      <c r="AV41" s="1226" t="str">
        <f t="shared" si="24"/>
        <v/>
      </c>
      <c r="AW41" s="1221" t="str">
        <f t="shared" si="25"/>
        <v/>
      </c>
      <c r="AX41" s="1747" t="str">
        <f t="shared" si="26"/>
        <v/>
      </c>
      <c r="AY41" s="1748" t="str">
        <f t="shared" si="9"/>
        <v/>
      </c>
      <c r="AZ41" s="1226" t="str">
        <f t="shared" si="27"/>
        <v/>
      </c>
      <c r="BA41" s="1221" t="str">
        <f t="shared" si="28"/>
        <v/>
      </c>
      <c r="BB41" s="1747" t="str">
        <f t="shared" si="29"/>
        <v/>
      </c>
      <c r="BC41" s="1748" t="str">
        <f t="shared" si="10"/>
        <v/>
      </c>
      <c r="BD41" s="1226" t="str">
        <f t="shared" si="30"/>
        <v/>
      </c>
      <c r="BE41" s="1221" t="str">
        <f t="shared" si="31"/>
        <v/>
      </c>
      <c r="BF41" s="1747" t="str">
        <f t="shared" si="57"/>
        <v/>
      </c>
      <c r="BG41" s="1748" t="str">
        <f t="shared" si="11"/>
        <v/>
      </c>
      <c r="BH41" s="261"/>
      <c r="BJ41" s="1302"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3">
        <f t="shared" si="111"/>
        <v>6</v>
      </c>
      <c r="BT41" s="990" t="str">
        <f t="shared" si="112"/>
        <v>No</v>
      </c>
      <c r="BU41" s="1303">
        <f t="shared" si="113"/>
        <v>6</v>
      </c>
      <c r="BV41" s="990" t="str">
        <f t="shared" si="114"/>
        <v>No</v>
      </c>
      <c r="BW41" s="991">
        <f t="shared" ca="1" si="33"/>
        <v>0</v>
      </c>
      <c r="BX41" s="991" t="str">
        <f t="shared" ca="1" si="40"/>
        <v/>
      </c>
      <c r="BY41" s="991" t="b">
        <f t="shared" ca="1" si="34"/>
        <v>0</v>
      </c>
      <c r="BZ41" s="1304" t="b">
        <f t="shared" si="41"/>
        <v>0</v>
      </c>
      <c r="CB41" s="672"/>
      <c r="CC41" s="1685"/>
      <c r="CD41" s="699"/>
      <c r="CE41" s="700"/>
      <c r="CF41" s="1329"/>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1599"/>
      <c r="DE41" s="1600"/>
      <c r="DF41" s="141"/>
      <c r="DG41" s="141"/>
      <c r="DH41" s="672"/>
      <c r="DI41" s="673"/>
      <c r="DJ41" s="692"/>
      <c r="DK41" s="1332"/>
      <c r="DL41" s="674"/>
      <c r="DM41" s="693"/>
      <c r="DN41" s="1335"/>
      <c r="DO41" s="675"/>
      <c r="DP41" s="676"/>
      <c r="DQ41" s="1420"/>
      <c r="DR41" s="677"/>
      <c r="DS41" s="1612"/>
      <c r="DT41" s="1607"/>
      <c r="DU41" s="1608"/>
      <c r="DV41" s="678"/>
      <c r="DW41" s="1337"/>
      <c r="DX41" s="679"/>
      <c r="DY41" s="674"/>
      <c r="DZ41" s="678"/>
      <c r="EA41" s="1337"/>
      <c r="EB41" s="679"/>
      <c r="EC41" s="674"/>
      <c r="ED41" s="678"/>
      <c r="EE41" s="1337"/>
      <c r="EF41" s="679"/>
      <c r="EG41" s="674"/>
      <c r="EH41" s="678"/>
      <c r="EI41" s="1337"/>
      <c r="EJ41" s="679"/>
      <c r="EK41" s="680"/>
      <c r="EL41" s="141"/>
      <c r="EM41" s="1632" t="str">
        <f t="shared" si="115"/>
        <v/>
      </c>
      <c r="EN41" s="1633" t="str">
        <f t="shared" si="90"/>
        <v/>
      </c>
      <c r="EO41" s="648" t="str">
        <f t="shared" si="91"/>
        <v/>
      </c>
      <c r="EP41" s="649" t="str">
        <f t="shared" si="92"/>
        <v/>
      </c>
      <c r="EQ41" s="813" t="str">
        <f t="shared" si="93"/>
        <v/>
      </c>
      <c r="ER41" s="1587" t="str">
        <f t="shared" si="94"/>
        <v/>
      </c>
      <c r="ES41" s="1588" t="str">
        <f t="shared" si="95"/>
        <v/>
      </c>
      <c r="ET41" s="1589" t="str">
        <f t="shared" si="96"/>
        <v/>
      </c>
      <c r="EU41" s="1590"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581" t="str">
        <f t="shared" si="98"/>
        <v/>
      </c>
      <c r="GB41" s="623" t="str">
        <f t="shared" si="99"/>
        <v/>
      </c>
      <c r="GC41" s="625" t="str">
        <f t="shared" si="100"/>
        <v/>
      </c>
      <c r="GD41" s="626" t="str">
        <f t="shared" si="101"/>
        <v/>
      </c>
      <c r="GE41" s="624" t="str">
        <f t="shared" si="102"/>
        <v/>
      </c>
      <c r="GF41" s="582" t="str">
        <f t="shared" si="103"/>
        <v/>
      </c>
      <c r="GG41" s="692"/>
      <c r="GH41" s="1136"/>
      <c r="GI41" s="692"/>
      <c r="GJ41" s="1136"/>
      <c r="GK41" s="1641">
        <f t="shared" si="104"/>
        <v>0</v>
      </c>
      <c r="GL41" s="1641" t="e">
        <f t="shared" si="10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48"/>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43"/>
        <v>0</v>
      </c>
    </row>
    <row r="42" spans="1:272" ht="12.6" customHeight="1" x14ac:dyDescent="0.25">
      <c r="A42" s="1215" t="str">
        <f t="shared" si="62"/>
        <v/>
      </c>
      <c r="B42" s="1709" t="str">
        <f t="shared" si="63"/>
        <v/>
      </c>
      <c r="C42" s="1216" t="str">
        <f t="shared" si="64"/>
        <v/>
      </c>
      <c r="D42" s="1217" t="str">
        <f t="shared" si="65"/>
        <v/>
      </c>
      <c r="E42" s="1218" t="str">
        <f t="shared" si="66"/>
        <v/>
      </c>
      <c r="F42" s="1219" t="str">
        <f t="shared" si="67"/>
        <v/>
      </c>
      <c r="G42" s="1220" t="str">
        <f t="shared" si="68"/>
        <v/>
      </c>
      <c r="H42" s="1221" t="str">
        <f t="shared" si="69"/>
        <v/>
      </c>
      <c r="I42" s="1222" t="str">
        <f t="shared" si="70"/>
        <v/>
      </c>
      <c r="J42" s="1217" t="str">
        <f t="shared" si="71"/>
        <v/>
      </c>
      <c r="K42" s="1221" t="str">
        <f t="shared" si="72"/>
        <v/>
      </c>
      <c r="L42" s="1223" t="str">
        <f t="shared" si="73"/>
        <v/>
      </c>
      <c r="M42" s="1224" t="str">
        <f t="shared" si="74"/>
        <v/>
      </c>
      <c r="N42" s="1225" t="str">
        <f t="shared" si="75"/>
        <v/>
      </c>
      <c r="O42" s="1220" t="str">
        <f t="shared" si="76"/>
        <v/>
      </c>
      <c r="P42" s="1221" t="str">
        <f t="shared" si="77"/>
        <v/>
      </c>
      <c r="Q42" s="1217" t="str">
        <f t="shared" si="78"/>
        <v/>
      </c>
      <c r="R42" s="1218" t="str">
        <f t="shared" si="79"/>
        <v/>
      </c>
      <c r="S42" s="1226" t="str">
        <f t="shared" si="80"/>
        <v/>
      </c>
      <c r="T42" s="1221" t="str">
        <f t="shared" si="81"/>
        <v/>
      </c>
      <c r="U42" s="1217" t="str">
        <f t="shared" si="82"/>
        <v/>
      </c>
      <c r="V42" s="1221" t="str">
        <f t="shared" si="83"/>
        <v/>
      </c>
      <c r="W42" s="1225">
        <f t="shared" si="84"/>
        <v>0</v>
      </c>
      <c r="X42" s="1227" t="str">
        <f t="shared" si="85"/>
        <v/>
      </c>
      <c r="Y42" s="1228" t="str">
        <f t="shared" si="86"/>
        <v/>
      </c>
      <c r="Z42" s="1710" t="str">
        <f t="shared" si="87"/>
        <v/>
      </c>
      <c r="AA42" s="1290" t="str">
        <f t="shared" si="88"/>
        <v/>
      </c>
      <c r="AB42" s="1215" t="str">
        <f t="shared" si="61"/>
        <v/>
      </c>
      <c r="AC42" s="1222" t="str">
        <f t="shared" si="4"/>
        <v/>
      </c>
      <c r="AD42" s="1217" t="str">
        <f t="shared" ca="1" si="44"/>
        <v/>
      </c>
      <c r="AE42" s="1221" t="str">
        <f t="shared" ca="1" si="45"/>
        <v/>
      </c>
      <c r="AF42" s="1222" t="str">
        <f t="shared" ca="1" si="46"/>
        <v/>
      </c>
      <c r="AG42" s="1217" t="str">
        <f t="shared" ca="1" si="47"/>
        <v/>
      </c>
      <c r="AH42" s="1221" t="str">
        <f t="shared" ca="1" si="48"/>
        <v/>
      </c>
      <c r="AI42" s="1217" t="str">
        <f t="shared" ca="1" si="49"/>
        <v/>
      </c>
      <c r="AJ42" s="1221" t="str">
        <f t="shared" ca="1" si="50"/>
        <v/>
      </c>
      <c r="AK42" s="1742" t="str">
        <f t="shared" si="53"/>
        <v/>
      </c>
      <c r="AL42" s="1743" t="str">
        <f t="shared" si="5"/>
        <v/>
      </c>
      <c r="AM42" s="1744" t="str">
        <f t="shared" si="54"/>
        <v/>
      </c>
      <c r="AN42" s="1222" t="str">
        <f t="shared" si="55"/>
        <v/>
      </c>
      <c r="AO42" s="1745" t="str">
        <f t="shared" si="56"/>
        <v/>
      </c>
      <c r="AP42" s="1224" t="str">
        <f t="shared" si="6"/>
        <v/>
      </c>
      <c r="AQ42" s="1746" t="str">
        <f t="shared" si="7"/>
        <v/>
      </c>
      <c r="AR42" s="1220" t="str">
        <f t="shared" si="21"/>
        <v/>
      </c>
      <c r="AS42" s="1221" t="str">
        <f t="shared" si="22"/>
        <v/>
      </c>
      <c r="AT42" s="1747" t="str">
        <f t="shared" si="23"/>
        <v/>
      </c>
      <c r="AU42" s="1748" t="str">
        <f t="shared" si="8"/>
        <v/>
      </c>
      <c r="AV42" s="1226" t="str">
        <f t="shared" si="24"/>
        <v/>
      </c>
      <c r="AW42" s="1221" t="str">
        <f t="shared" si="25"/>
        <v/>
      </c>
      <c r="AX42" s="1747" t="str">
        <f t="shared" si="26"/>
        <v/>
      </c>
      <c r="AY42" s="1748" t="str">
        <f t="shared" si="9"/>
        <v/>
      </c>
      <c r="AZ42" s="1226" t="str">
        <f t="shared" si="27"/>
        <v/>
      </c>
      <c r="BA42" s="1221" t="str">
        <f t="shared" si="28"/>
        <v/>
      </c>
      <c r="BB42" s="1747" t="str">
        <f t="shared" si="29"/>
        <v/>
      </c>
      <c r="BC42" s="1748" t="str">
        <f t="shared" si="10"/>
        <v/>
      </c>
      <c r="BD42" s="1226" t="str">
        <f t="shared" si="30"/>
        <v/>
      </c>
      <c r="BE42" s="1221" t="str">
        <f t="shared" si="31"/>
        <v/>
      </c>
      <c r="BF42" s="1747" t="str">
        <f t="shared" si="57"/>
        <v/>
      </c>
      <c r="BG42" s="1748" t="str">
        <f t="shared" si="11"/>
        <v/>
      </c>
      <c r="BH42" s="261"/>
      <c r="BJ42" s="1302"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3">
        <f t="shared" si="111"/>
        <v>6</v>
      </c>
      <c r="BT42" s="990" t="str">
        <f t="shared" si="112"/>
        <v>No</v>
      </c>
      <c r="BU42" s="1303">
        <f t="shared" si="113"/>
        <v>6</v>
      </c>
      <c r="BV42" s="990" t="str">
        <f t="shared" si="114"/>
        <v>No</v>
      </c>
      <c r="BW42" s="991">
        <f t="shared" ca="1" si="33"/>
        <v>0</v>
      </c>
      <c r="BX42" s="991" t="str">
        <f t="shared" ca="1" si="40"/>
        <v/>
      </c>
      <c r="BY42" s="991" t="b">
        <f t="shared" ca="1" si="34"/>
        <v>0</v>
      </c>
      <c r="BZ42" s="1304" t="b">
        <f t="shared" si="41"/>
        <v>0</v>
      </c>
      <c r="CB42" s="672"/>
      <c r="CC42" s="1685"/>
      <c r="CD42" s="699"/>
      <c r="CE42" s="700"/>
      <c r="CF42" s="1329"/>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1599"/>
      <c r="DE42" s="1600"/>
      <c r="DF42" s="141"/>
      <c r="DG42" s="141"/>
      <c r="DH42" s="672"/>
      <c r="DI42" s="673"/>
      <c r="DJ42" s="692"/>
      <c r="DK42" s="1332"/>
      <c r="DL42" s="674"/>
      <c r="DM42" s="693"/>
      <c r="DN42" s="1335"/>
      <c r="DO42" s="675"/>
      <c r="DP42" s="676"/>
      <c r="DQ42" s="1420"/>
      <c r="DR42" s="677"/>
      <c r="DS42" s="1612"/>
      <c r="DT42" s="1607"/>
      <c r="DU42" s="1608"/>
      <c r="DV42" s="678"/>
      <c r="DW42" s="1337"/>
      <c r="DX42" s="679"/>
      <c r="DY42" s="674"/>
      <c r="DZ42" s="678"/>
      <c r="EA42" s="1337"/>
      <c r="EB42" s="679"/>
      <c r="EC42" s="674"/>
      <c r="ED42" s="678"/>
      <c r="EE42" s="1337"/>
      <c r="EF42" s="679"/>
      <c r="EG42" s="674"/>
      <c r="EH42" s="678"/>
      <c r="EI42" s="1337"/>
      <c r="EJ42" s="679"/>
      <c r="EK42" s="680"/>
      <c r="EL42" s="141"/>
      <c r="EM42" s="1632" t="str">
        <f t="shared" si="115"/>
        <v/>
      </c>
      <c r="EN42" s="1633" t="str">
        <f t="shared" si="90"/>
        <v/>
      </c>
      <c r="EO42" s="648" t="str">
        <f t="shared" si="91"/>
        <v/>
      </c>
      <c r="EP42" s="649" t="str">
        <f t="shared" si="92"/>
        <v/>
      </c>
      <c r="EQ42" s="813" t="str">
        <f t="shared" si="93"/>
        <v/>
      </c>
      <c r="ER42" s="1587" t="str">
        <f t="shared" si="94"/>
        <v/>
      </c>
      <c r="ES42" s="1588" t="str">
        <f t="shared" si="95"/>
        <v/>
      </c>
      <c r="ET42" s="1589" t="str">
        <f t="shared" si="96"/>
        <v/>
      </c>
      <c r="EU42" s="1590"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581" t="str">
        <f t="shared" si="98"/>
        <v/>
      </c>
      <c r="GB42" s="623" t="str">
        <f t="shared" si="99"/>
        <v/>
      </c>
      <c r="GC42" s="625" t="str">
        <f t="shared" si="100"/>
        <v/>
      </c>
      <c r="GD42" s="626" t="str">
        <f t="shared" si="101"/>
        <v/>
      </c>
      <c r="GE42" s="624" t="str">
        <f t="shared" si="102"/>
        <v/>
      </c>
      <c r="GF42" s="582" t="str">
        <f t="shared" si="103"/>
        <v/>
      </c>
      <c r="GG42" s="692"/>
      <c r="GH42" s="1136"/>
      <c r="GI42" s="692"/>
      <c r="GJ42" s="1136"/>
      <c r="GK42" s="1641">
        <f t="shared" si="104"/>
        <v>0</v>
      </c>
      <c r="GL42" s="1641" t="e">
        <f t="shared" si="10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48"/>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43"/>
        <v>0</v>
      </c>
    </row>
    <row r="43" spans="1:272" ht="12.6" customHeight="1" x14ac:dyDescent="0.25">
      <c r="A43" s="1215" t="str">
        <f t="shared" si="62"/>
        <v/>
      </c>
      <c r="B43" s="1709" t="str">
        <f t="shared" si="63"/>
        <v/>
      </c>
      <c r="C43" s="1216" t="str">
        <f t="shared" si="64"/>
        <v/>
      </c>
      <c r="D43" s="1217" t="str">
        <f t="shared" si="65"/>
        <v/>
      </c>
      <c r="E43" s="1218" t="str">
        <f t="shared" si="66"/>
        <v/>
      </c>
      <c r="F43" s="1219" t="str">
        <f t="shared" si="67"/>
        <v/>
      </c>
      <c r="G43" s="1220" t="str">
        <f t="shared" si="68"/>
        <v/>
      </c>
      <c r="H43" s="1221" t="str">
        <f t="shared" si="69"/>
        <v/>
      </c>
      <c r="I43" s="1222" t="str">
        <f t="shared" si="70"/>
        <v/>
      </c>
      <c r="J43" s="1217" t="str">
        <f t="shared" si="71"/>
        <v/>
      </c>
      <c r="K43" s="1221" t="str">
        <f t="shared" si="72"/>
        <v/>
      </c>
      <c r="L43" s="1223" t="str">
        <f t="shared" si="73"/>
        <v/>
      </c>
      <c r="M43" s="1224" t="str">
        <f t="shared" si="74"/>
        <v/>
      </c>
      <c r="N43" s="1225" t="str">
        <f t="shared" si="75"/>
        <v/>
      </c>
      <c r="O43" s="1220" t="str">
        <f t="shared" si="76"/>
        <v/>
      </c>
      <c r="P43" s="1221" t="str">
        <f t="shared" si="77"/>
        <v/>
      </c>
      <c r="Q43" s="1217" t="str">
        <f t="shared" si="78"/>
        <v/>
      </c>
      <c r="R43" s="1218" t="str">
        <f t="shared" si="79"/>
        <v/>
      </c>
      <c r="S43" s="1226" t="str">
        <f t="shared" si="80"/>
        <v/>
      </c>
      <c r="T43" s="1221" t="str">
        <f t="shared" si="81"/>
        <v/>
      </c>
      <c r="U43" s="1217" t="str">
        <f t="shared" si="82"/>
        <v/>
      </c>
      <c r="V43" s="1221" t="str">
        <f t="shared" si="83"/>
        <v/>
      </c>
      <c r="W43" s="1225">
        <f t="shared" si="84"/>
        <v>0</v>
      </c>
      <c r="X43" s="1227" t="str">
        <f t="shared" si="85"/>
        <v/>
      </c>
      <c r="Y43" s="1228" t="str">
        <f t="shared" si="86"/>
        <v/>
      </c>
      <c r="Z43" s="1710" t="str">
        <f t="shared" si="87"/>
        <v/>
      </c>
      <c r="AA43" s="1290" t="str">
        <f t="shared" si="88"/>
        <v/>
      </c>
      <c r="AB43" s="1215" t="str">
        <f t="shared" si="61"/>
        <v/>
      </c>
      <c r="AC43" s="1222" t="str">
        <f t="shared" si="4"/>
        <v/>
      </c>
      <c r="AD43" s="1217" t="str">
        <f t="shared" ca="1" si="44"/>
        <v/>
      </c>
      <c r="AE43" s="1221" t="str">
        <f t="shared" ca="1" si="45"/>
        <v/>
      </c>
      <c r="AF43" s="1222" t="str">
        <f t="shared" ca="1" si="46"/>
        <v/>
      </c>
      <c r="AG43" s="1217" t="str">
        <f t="shared" ca="1" si="47"/>
        <v/>
      </c>
      <c r="AH43" s="1221" t="str">
        <f t="shared" ca="1" si="48"/>
        <v/>
      </c>
      <c r="AI43" s="1217" t="str">
        <f t="shared" ca="1" si="49"/>
        <v/>
      </c>
      <c r="AJ43" s="1221" t="str">
        <f t="shared" ca="1" si="50"/>
        <v/>
      </c>
      <c r="AK43" s="1742" t="str">
        <f t="shared" si="53"/>
        <v/>
      </c>
      <c r="AL43" s="1743" t="str">
        <f t="shared" si="5"/>
        <v/>
      </c>
      <c r="AM43" s="1744" t="str">
        <f t="shared" si="54"/>
        <v/>
      </c>
      <c r="AN43" s="1222" t="str">
        <f t="shared" si="55"/>
        <v/>
      </c>
      <c r="AO43" s="1745" t="str">
        <f t="shared" si="56"/>
        <v/>
      </c>
      <c r="AP43" s="1224" t="str">
        <f t="shared" si="6"/>
        <v/>
      </c>
      <c r="AQ43" s="1746" t="str">
        <f t="shared" si="7"/>
        <v/>
      </c>
      <c r="AR43" s="1220" t="str">
        <f t="shared" si="21"/>
        <v/>
      </c>
      <c r="AS43" s="1221" t="str">
        <f t="shared" si="22"/>
        <v/>
      </c>
      <c r="AT43" s="1747" t="str">
        <f t="shared" si="23"/>
        <v/>
      </c>
      <c r="AU43" s="1748" t="str">
        <f t="shared" si="8"/>
        <v/>
      </c>
      <c r="AV43" s="1226" t="str">
        <f t="shared" si="24"/>
        <v/>
      </c>
      <c r="AW43" s="1221" t="str">
        <f t="shared" si="25"/>
        <v/>
      </c>
      <c r="AX43" s="1747" t="str">
        <f t="shared" si="26"/>
        <v/>
      </c>
      <c r="AY43" s="1748" t="str">
        <f t="shared" si="9"/>
        <v/>
      </c>
      <c r="AZ43" s="1226" t="str">
        <f t="shared" si="27"/>
        <v/>
      </c>
      <c r="BA43" s="1221" t="str">
        <f t="shared" si="28"/>
        <v/>
      </c>
      <c r="BB43" s="1747" t="str">
        <f t="shared" si="29"/>
        <v/>
      </c>
      <c r="BC43" s="1748" t="str">
        <f t="shared" si="10"/>
        <v/>
      </c>
      <c r="BD43" s="1226" t="str">
        <f t="shared" si="30"/>
        <v/>
      </c>
      <c r="BE43" s="1221" t="str">
        <f t="shared" si="31"/>
        <v/>
      </c>
      <c r="BF43" s="1747" t="str">
        <f t="shared" si="57"/>
        <v/>
      </c>
      <c r="BG43" s="1748" t="str">
        <f t="shared" si="11"/>
        <v/>
      </c>
      <c r="BH43" s="261"/>
      <c r="BJ43" s="1302"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3">
        <f t="shared" si="111"/>
        <v>6</v>
      </c>
      <c r="BT43" s="990" t="str">
        <f t="shared" si="112"/>
        <v>No</v>
      </c>
      <c r="BU43" s="1303">
        <f t="shared" si="113"/>
        <v>6</v>
      </c>
      <c r="BV43" s="990" t="str">
        <f t="shared" si="114"/>
        <v>No</v>
      </c>
      <c r="BW43" s="991">
        <f t="shared" ca="1" si="33"/>
        <v>0</v>
      </c>
      <c r="BX43" s="991" t="str">
        <f t="shared" ca="1" si="40"/>
        <v/>
      </c>
      <c r="BY43" s="991" t="b">
        <f t="shared" ca="1" si="34"/>
        <v>0</v>
      </c>
      <c r="BZ43" s="1304" t="b">
        <f t="shared" si="41"/>
        <v>0</v>
      </c>
      <c r="CB43" s="672"/>
      <c r="CC43" s="1685"/>
      <c r="CD43" s="699"/>
      <c r="CE43" s="700"/>
      <c r="CF43" s="1329"/>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1599"/>
      <c r="DE43" s="1600"/>
      <c r="DF43" s="141"/>
      <c r="DG43" s="141"/>
      <c r="DH43" s="672"/>
      <c r="DI43" s="673"/>
      <c r="DJ43" s="692"/>
      <c r="DK43" s="1332"/>
      <c r="DL43" s="674"/>
      <c r="DM43" s="693"/>
      <c r="DN43" s="1335"/>
      <c r="DO43" s="675"/>
      <c r="DP43" s="676"/>
      <c r="DQ43" s="1420"/>
      <c r="DR43" s="677"/>
      <c r="DS43" s="1612"/>
      <c r="DT43" s="1607"/>
      <c r="DU43" s="1608"/>
      <c r="DV43" s="678"/>
      <c r="DW43" s="1337"/>
      <c r="DX43" s="679"/>
      <c r="DY43" s="674"/>
      <c r="DZ43" s="678"/>
      <c r="EA43" s="1337"/>
      <c r="EB43" s="679"/>
      <c r="EC43" s="674"/>
      <c r="ED43" s="678"/>
      <c r="EE43" s="1337"/>
      <c r="EF43" s="679"/>
      <c r="EG43" s="674"/>
      <c r="EH43" s="678"/>
      <c r="EI43" s="1337"/>
      <c r="EJ43" s="679"/>
      <c r="EK43" s="680"/>
      <c r="EL43" s="141"/>
      <c r="EM43" s="1632" t="str">
        <f t="shared" si="115"/>
        <v/>
      </c>
      <c r="EN43" s="1633" t="str">
        <f t="shared" si="90"/>
        <v/>
      </c>
      <c r="EO43" s="648" t="str">
        <f t="shared" si="91"/>
        <v/>
      </c>
      <c r="EP43" s="649" t="str">
        <f t="shared" si="92"/>
        <v/>
      </c>
      <c r="EQ43" s="813" t="str">
        <f t="shared" si="93"/>
        <v/>
      </c>
      <c r="ER43" s="1587" t="str">
        <f t="shared" si="94"/>
        <v/>
      </c>
      <c r="ES43" s="1588" t="str">
        <f t="shared" si="95"/>
        <v/>
      </c>
      <c r="ET43" s="1589" t="str">
        <f t="shared" si="96"/>
        <v/>
      </c>
      <c r="EU43" s="1590"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581" t="str">
        <f t="shared" si="98"/>
        <v/>
      </c>
      <c r="GB43" s="623" t="str">
        <f t="shared" si="99"/>
        <v/>
      </c>
      <c r="GC43" s="625" t="str">
        <f t="shared" si="100"/>
        <v/>
      </c>
      <c r="GD43" s="626" t="str">
        <f t="shared" si="101"/>
        <v/>
      </c>
      <c r="GE43" s="624" t="str">
        <f t="shared" si="102"/>
        <v/>
      </c>
      <c r="GF43" s="582" t="str">
        <f t="shared" si="103"/>
        <v/>
      </c>
      <c r="GG43" s="692"/>
      <c r="GH43" s="1136"/>
      <c r="GI43" s="692"/>
      <c r="GJ43" s="1136"/>
      <c r="GK43" s="1641">
        <f t="shared" si="104"/>
        <v>0</v>
      </c>
      <c r="GL43" s="1641" t="e">
        <f t="shared" si="10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48"/>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43"/>
        <v>0</v>
      </c>
    </row>
    <row r="44" spans="1:272" ht="12.6" customHeight="1" x14ac:dyDescent="0.25">
      <c r="A44" s="1215" t="str">
        <f t="shared" si="62"/>
        <v/>
      </c>
      <c r="B44" s="1709" t="str">
        <f t="shared" si="63"/>
        <v/>
      </c>
      <c r="C44" s="1216" t="str">
        <f t="shared" si="64"/>
        <v/>
      </c>
      <c r="D44" s="1217" t="str">
        <f t="shared" si="65"/>
        <v/>
      </c>
      <c r="E44" s="1218" t="str">
        <f t="shared" si="66"/>
        <v/>
      </c>
      <c r="F44" s="1219" t="str">
        <f t="shared" si="67"/>
        <v/>
      </c>
      <c r="G44" s="1220" t="str">
        <f t="shared" si="68"/>
        <v/>
      </c>
      <c r="H44" s="1221" t="str">
        <f t="shared" si="69"/>
        <v/>
      </c>
      <c r="I44" s="1222" t="str">
        <f t="shared" si="70"/>
        <v/>
      </c>
      <c r="J44" s="1217" t="str">
        <f t="shared" si="71"/>
        <v/>
      </c>
      <c r="K44" s="1221" t="str">
        <f t="shared" si="72"/>
        <v/>
      </c>
      <c r="L44" s="1223" t="str">
        <f t="shared" si="73"/>
        <v/>
      </c>
      <c r="M44" s="1224" t="str">
        <f t="shared" si="74"/>
        <v/>
      </c>
      <c r="N44" s="1225" t="str">
        <f t="shared" si="75"/>
        <v/>
      </c>
      <c r="O44" s="1220" t="str">
        <f t="shared" si="76"/>
        <v/>
      </c>
      <c r="P44" s="1221" t="str">
        <f t="shared" si="77"/>
        <v/>
      </c>
      <c r="Q44" s="1217" t="str">
        <f t="shared" si="78"/>
        <v/>
      </c>
      <c r="R44" s="1218" t="str">
        <f t="shared" si="79"/>
        <v/>
      </c>
      <c r="S44" s="1226" t="str">
        <f t="shared" si="80"/>
        <v/>
      </c>
      <c r="T44" s="1221" t="str">
        <f t="shared" si="81"/>
        <v/>
      </c>
      <c r="U44" s="1217" t="str">
        <f t="shared" si="82"/>
        <v/>
      </c>
      <c r="V44" s="1221" t="str">
        <f t="shared" si="83"/>
        <v/>
      </c>
      <c r="W44" s="1225">
        <f t="shared" si="84"/>
        <v>0</v>
      </c>
      <c r="X44" s="1227" t="str">
        <f t="shared" si="85"/>
        <v/>
      </c>
      <c r="Y44" s="1228" t="str">
        <f t="shared" si="86"/>
        <v/>
      </c>
      <c r="Z44" s="1710" t="str">
        <f t="shared" si="87"/>
        <v/>
      </c>
      <c r="AA44" s="1290" t="str">
        <f t="shared" si="88"/>
        <v/>
      </c>
      <c r="AB44" s="1215" t="str">
        <f t="shared" si="61"/>
        <v/>
      </c>
      <c r="AC44" s="1222" t="str">
        <f t="shared" si="4"/>
        <v/>
      </c>
      <c r="AD44" s="1217" t="str">
        <f t="shared" ca="1" si="44"/>
        <v/>
      </c>
      <c r="AE44" s="1221" t="str">
        <f t="shared" ca="1" si="45"/>
        <v/>
      </c>
      <c r="AF44" s="1222" t="str">
        <f t="shared" ca="1" si="46"/>
        <v/>
      </c>
      <c r="AG44" s="1217" t="str">
        <f t="shared" ca="1" si="47"/>
        <v/>
      </c>
      <c r="AH44" s="1221" t="str">
        <f t="shared" ca="1" si="48"/>
        <v/>
      </c>
      <c r="AI44" s="1217" t="str">
        <f t="shared" ca="1" si="49"/>
        <v/>
      </c>
      <c r="AJ44" s="1221" t="str">
        <f t="shared" ca="1" si="50"/>
        <v/>
      </c>
      <c r="AK44" s="1742" t="str">
        <f t="shared" si="53"/>
        <v/>
      </c>
      <c r="AL44" s="1743" t="str">
        <f t="shared" si="5"/>
        <v/>
      </c>
      <c r="AM44" s="1744" t="str">
        <f t="shared" si="54"/>
        <v/>
      </c>
      <c r="AN44" s="1222" t="str">
        <f t="shared" si="55"/>
        <v/>
      </c>
      <c r="AO44" s="1745" t="str">
        <f t="shared" si="56"/>
        <v/>
      </c>
      <c r="AP44" s="1224" t="str">
        <f t="shared" si="6"/>
        <v/>
      </c>
      <c r="AQ44" s="1746" t="str">
        <f t="shared" si="7"/>
        <v/>
      </c>
      <c r="AR44" s="1220" t="str">
        <f t="shared" si="21"/>
        <v/>
      </c>
      <c r="AS44" s="1221" t="str">
        <f t="shared" si="22"/>
        <v/>
      </c>
      <c r="AT44" s="1747" t="str">
        <f t="shared" si="23"/>
        <v/>
      </c>
      <c r="AU44" s="1748" t="str">
        <f t="shared" si="8"/>
        <v/>
      </c>
      <c r="AV44" s="1226" t="str">
        <f t="shared" si="24"/>
        <v/>
      </c>
      <c r="AW44" s="1221" t="str">
        <f t="shared" si="25"/>
        <v/>
      </c>
      <c r="AX44" s="1747" t="str">
        <f t="shared" si="26"/>
        <v/>
      </c>
      <c r="AY44" s="1748" t="str">
        <f t="shared" si="9"/>
        <v/>
      </c>
      <c r="AZ44" s="1226" t="str">
        <f t="shared" si="27"/>
        <v/>
      </c>
      <c r="BA44" s="1221" t="str">
        <f t="shared" si="28"/>
        <v/>
      </c>
      <c r="BB44" s="1747" t="str">
        <f t="shared" si="29"/>
        <v/>
      </c>
      <c r="BC44" s="1748" t="str">
        <f t="shared" si="10"/>
        <v/>
      </c>
      <c r="BD44" s="1226" t="str">
        <f t="shared" si="30"/>
        <v/>
      </c>
      <c r="BE44" s="1221" t="str">
        <f t="shared" si="31"/>
        <v/>
      </c>
      <c r="BF44" s="1747" t="str">
        <f t="shared" si="57"/>
        <v/>
      </c>
      <c r="BG44" s="1748" t="str">
        <f t="shared" si="11"/>
        <v/>
      </c>
      <c r="BH44" s="261"/>
      <c r="BJ44" s="1302"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3">
        <f t="shared" si="111"/>
        <v>6</v>
      </c>
      <c r="BT44" s="990" t="str">
        <f t="shared" si="112"/>
        <v>No</v>
      </c>
      <c r="BU44" s="1303">
        <f t="shared" si="113"/>
        <v>6</v>
      </c>
      <c r="BV44" s="990" t="str">
        <f t="shared" si="114"/>
        <v>No</v>
      </c>
      <c r="BW44" s="991">
        <f t="shared" ca="1" si="33"/>
        <v>0</v>
      </c>
      <c r="BX44" s="991" t="str">
        <f t="shared" ca="1" si="40"/>
        <v/>
      </c>
      <c r="BY44" s="991" t="b">
        <f t="shared" ca="1" si="34"/>
        <v>0</v>
      </c>
      <c r="BZ44" s="1304" t="b">
        <f t="shared" si="41"/>
        <v>0</v>
      </c>
      <c r="CB44" s="672"/>
      <c r="CC44" s="1685"/>
      <c r="CD44" s="699"/>
      <c r="CE44" s="700"/>
      <c r="CF44" s="1329"/>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1599"/>
      <c r="DE44" s="1600"/>
      <c r="DF44" s="141"/>
      <c r="DG44" s="141"/>
      <c r="DH44" s="745"/>
      <c r="DI44" s="673"/>
      <c r="DJ44" s="692"/>
      <c r="DK44" s="1332"/>
      <c r="DL44" s="674"/>
      <c r="DM44" s="693"/>
      <c r="DN44" s="1335"/>
      <c r="DO44" s="675"/>
      <c r="DP44" s="676"/>
      <c r="DQ44" s="1420"/>
      <c r="DR44" s="677"/>
      <c r="DS44" s="1612"/>
      <c r="DT44" s="1607"/>
      <c r="DU44" s="1608"/>
      <c r="DV44" s="678"/>
      <c r="DW44" s="1337"/>
      <c r="DX44" s="679"/>
      <c r="DY44" s="674"/>
      <c r="DZ44" s="678"/>
      <c r="EA44" s="1337"/>
      <c r="EB44" s="679"/>
      <c r="EC44" s="674"/>
      <c r="ED44" s="678"/>
      <c r="EE44" s="1337"/>
      <c r="EF44" s="679"/>
      <c r="EG44" s="674"/>
      <c r="EH44" s="678"/>
      <c r="EI44" s="1337"/>
      <c r="EJ44" s="679"/>
      <c r="EK44" s="680"/>
      <c r="EL44" s="141"/>
      <c r="EM44" s="1632" t="str">
        <f t="shared" si="115"/>
        <v/>
      </c>
      <c r="EN44" s="1633" t="str">
        <f t="shared" si="90"/>
        <v/>
      </c>
      <c r="EO44" s="648" t="str">
        <f t="shared" si="91"/>
        <v/>
      </c>
      <c r="EP44" s="649" t="str">
        <f t="shared" si="92"/>
        <v/>
      </c>
      <c r="EQ44" s="813" t="str">
        <f t="shared" si="93"/>
        <v/>
      </c>
      <c r="ER44" s="1587" t="str">
        <f t="shared" si="94"/>
        <v/>
      </c>
      <c r="ES44" s="1588" t="str">
        <f t="shared" si="95"/>
        <v/>
      </c>
      <c r="ET44" s="1589" t="str">
        <f t="shared" si="96"/>
        <v/>
      </c>
      <c r="EU44" s="1590"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581" t="str">
        <f t="shared" si="98"/>
        <v/>
      </c>
      <c r="GB44" s="623" t="str">
        <f t="shared" si="99"/>
        <v/>
      </c>
      <c r="GC44" s="625" t="str">
        <f t="shared" si="100"/>
        <v/>
      </c>
      <c r="GD44" s="626" t="str">
        <f t="shared" si="101"/>
        <v/>
      </c>
      <c r="GE44" s="624" t="str">
        <f t="shared" si="102"/>
        <v/>
      </c>
      <c r="GF44" s="582" t="str">
        <f t="shared" si="103"/>
        <v/>
      </c>
      <c r="GG44" s="692"/>
      <c r="GH44" s="1136"/>
      <c r="GI44" s="692"/>
      <c r="GJ44" s="1136"/>
      <c r="GK44" s="1641">
        <f t="shared" si="104"/>
        <v>0</v>
      </c>
      <c r="GL44" s="1641" t="e">
        <f t="shared" si="105"/>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43"/>
        <v>0</v>
      </c>
    </row>
    <row r="45" spans="1:272" ht="12.6" customHeight="1" thickBot="1" x14ac:dyDescent="0.35">
      <c r="A45" s="1711" t="str">
        <f t="shared" si="62"/>
        <v/>
      </c>
      <c r="B45" s="1712" t="str">
        <f t="shared" si="63"/>
        <v/>
      </c>
      <c r="C45" s="1713" t="str">
        <f t="shared" si="64"/>
        <v/>
      </c>
      <c r="D45" s="1714" t="str">
        <f>IF(CV85="","",TRUNC(CV85/12))</f>
        <v/>
      </c>
      <c r="E45" s="1715" t="str">
        <f>IF(CV85="","",CV85-(D45*12))</f>
        <v/>
      </c>
      <c r="F45" s="1716" t="str">
        <f t="shared" si="67"/>
        <v/>
      </c>
      <c r="G45" s="1717" t="str">
        <f>IF(DD85=0,"",TRUNC(DD85/12))</f>
        <v/>
      </c>
      <c r="H45" s="1718" t="str">
        <f>IF(DD85=0,"",DD85-(G45*12))</f>
        <v/>
      </c>
      <c r="I45" s="1719" t="str">
        <f>IF(DD85=0,"",CE85)</f>
        <v/>
      </c>
      <c r="J45" s="1714" t="str">
        <f>IF(DJ85=0,"",TRUNC(DJ85/12))</f>
        <v/>
      </c>
      <c r="K45" s="1718" t="str">
        <f>IF(DJ85=0,"",DJ85-(J45*12))</f>
        <v/>
      </c>
      <c r="L45" s="1720" t="str">
        <f>IF(DJ85=0,"",CN85)</f>
        <v/>
      </c>
      <c r="M45" s="1721" t="str">
        <f t="shared" si="74"/>
        <v/>
      </c>
      <c r="N45" s="1722" t="str">
        <f t="shared" si="75"/>
        <v/>
      </c>
      <c r="O45" s="1717" t="str">
        <f>IF(DZ85="","",IF(AND(DZ85&gt;-12,DZ85&lt;0),-0.000001,TRUNC(DZ85/12)))</f>
        <v/>
      </c>
      <c r="P45" s="1718" t="str">
        <f>IF(DZ85="","",IF(AND(DZ85&lt;0,DZ85-(O45*12)=0),-0.00001,DZ85-(O45*12)))</f>
        <v/>
      </c>
      <c r="Q45" s="1714" t="str">
        <f>IF(EA85="","",IF(AND(EA85&gt;-12,EA85&lt;0),-0.000001,TRUNC(EA85/12)))</f>
        <v/>
      </c>
      <c r="R45" s="1715" t="str">
        <f>IF(EA85="","",IF(AND(EA85&lt;0,EA85-(Q45*12)=0),-0.00001,EA85-(Q45*12)))</f>
        <v/>
      </c>
      <c r="S45" s="1723" t="str">
        <f>IF(DR85="","",IF(DR85="ERR",TRUNC(DQ85/12),TRUNC(DR85/12)))</f>
        <v/>
      </c>
      <c r="T45" s="1718" t="str">
        <f>IF(DR85="","",IF(DR85="ERR",DQ85-(S45*12),DR85-(S45*12)))</f>
        <v/>
      </c>
      <c r="U45" s="1714" t="str">
        <f>IF(DY85="","",IF(DY85="ERR",TRUNC(DX85/12),TRUNC(DY85/12)))</f>
        <v/>
      </c>
      <c r="V45" s="1718" t="str">
        <f>IF(DY85="","",IF(DY85="ERR",DX85-(U45*12),DY85-(U45*12)))</f>
        <v/>
      </c>
      <c r="W45" s="1722">
        <f>IF(EC85="",0,EC85)</f>
        <v>0</v>
      </c>
      <c r="X45" s="1724" t="str">
        <f>IF(EN85="","",EN85)</f>
        <v/>
      </c>
      <c r="Y45" s="1725" t="str">
        <f>IF(ES85="","",ES85)</f>
        <v/>
      </c>
      <c r="Z45" s="1726" t="str">
        <f t="shared" si="87"/>
        <v/>
      </c>
      <c r="AA45" s="1727" t="str">
        <f t="shared" si="88"/>
        <v/>
      </c>
      <c r="AB45" s="1711" t="str">
        <f t="shared" si="61"/>
        <v/>
      </c>
      <c r="AC45" s="1719" t="str">
        <f t="shared" si="4"/>
        <v/>
      </c>
      <c r="AD45" s="1714" t="str">
        <f t="shared" ca="1" si="44"/>
        <v/>
      </c>
      <c r="AE45" s="1718" t="str">
        <f t="shared" ca="1" si="45"/>
        <v/>
      </c>
      <c r="AF45" s="1719" t="str">
        <f t="shared" ca="1" si="46"/>
        <v/>
      </c>
      <c r="AG45" s="1714" t="str">
        <f t="shared" ca="1" si="47"/>
        <v/>
      </c>
      <c r="AH45" s="1718" t="str">
        <f t="shared" ca="1" si="48"/>
        <v/>
      </c>
      <c r="AI45" s="1714" t="str">
        <f t="shared" ca="1" si="49"/>
        <v/>
      </c>
      <c r="AJ45" s="1718" t="str">
        <f t="shared" ca="1" si="50"/>
        <v/>
      </c>
      <c r="AK45" s="1749" t="str">
        <f t="shared" si="53"/>
        <v/>
      </c>
      <c r="AL45" s="1750" t="str">
        <f t="shared" si="5"/>
        <v/>
      </c>
      <c r="AM45" s="1751" t="str">
        <f t="shared" si="54"/>
        <v/>
      </c>
      <c r="AN45" s="1719" t="str">
        <f t="shared" si="55"/>
        <v/>
      </c>
      <c r="AO45" s="1752" t="str">
        <f t="shared" si="56"/>
        <v/>
      </c>
      <c r="AP45" s="1721" t="str">
        <f t="shared" si="6"/>
        <v/>
      </c>
      <c r="AQ45" s="1753" t="str">
        <f t="shared" si="7"/>
        <v/>
      </c>
      <c r="AR45" s="1717" t="str">
        <f t="shared" si="21"/>
        <v/>
      </c>
      <c r="AS45" s="1718" t="str">
        <f t="shared" si="22"/>
        <v/>
      </c>
      <c r="AT45" s="1754" t="str">
        <f t="shared" si="23"/>
        <v/>
      </c>
      <c r="AU45" s="1755" t="str">
        <f t="shared" si="8"/>
        <v/>
      </c>
      <c r="AV45" s="1723" t="str">
        <f t="shared" si="24"/>
        <v/>
      </c>
      <c r="AW45" s="1718" t="str">
        <f t="shared" si="25"/>
        <v/>
      </c>
      <c r="AX45" s="1754" t="str">
        <f t="shared" si="26"/>
        <v/>
      </c>
      <c r="AY45" s="1755" t="str">
        <f t="shared" si="9"/>
        <v/>
      </c>
      <c r="AZ45" s="1723" t="str">
        <f t="shared" si="27"/>
        <v/>
      </c>
      <c r="BA45" s="1718" t="str">
        <f t="shared" si="28"/>
        <v/>
      </c>
      <c r="BB45" s="1754" t="str">
        <f t="shared" si="29"/>
        <v/>
      </c>
      <c r="BC45" s="1755" t="str">
        <f t="shared" si="10"/>
        <v/>
      </c>
      <c r="BD45" s="1723" t="str">
        <f t="shared" si="30"/>
        <v/>
      </c>
      <c r="BE45" s="1718" t="str">
        <f t="shared" si="31"/>
        <v/>
      </c>
      <c r="BF45" s="1754" t="str">
        <f t="shared" si="57"/>
        <v/>
      </c>
      <c r="BG45" s="1755" t="str">
        <f t="shared" si="11"/>
        <v/>
      </c>
      <c r="BH45" s="261"/>
      <c r="BJ45" s="1302"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3">
        <f t="shared" si="111"/>
        <v>6</v>
      </c>
      <c r="BT45" s="990" t="str">
        <f t="shared" si="112"/>
        <v>No</v>
      </c>
      <c r="BU45" s="1303">
        <f t="shared" si="113"/>
        <v>6</v>
      </c>
      <c r="BV45" s="990" t="str">
        <f t="shared" si="114"/>
        <v>No</v>
      </c>
      <c r="BW45" s="991">
        <f t="shared" ca="1" si="33"/>
        <v>0</v>
      </c>
      <c r="BX45" s="991" t="str">
        <f t="shared" ca="1" si="40"/>
        <v/>
      </c>
      <c r="BY45" s="991" t="b">
        <f t="shared" ca="1" si="34"/>
        <v>0</v>
      </c>
      <c r="BZ45" s="1304" t="b">
        <f t="shared" si="41"/>
        <v>0</v>
      </c>
      <c r="CB45" s="681"/>
      <c r="CC45" s="1686"/>
      <c r="CD45" s="704"/>
      <c r="CE45" s="705"/>
      <c r="CF45" s="1330"/>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1601"/>
      <c r="DE45" s="1602"/>
      <c r="DF45" s="141"/>
      <c r="DG45" s="141"/>
      <c r="DH45" s="681"/>
      <c r="DI45" s="682"/>
      <c r="DJ45" s="694"/>
      <c r="DK45" s="1333"/>
      <c r="DL45" s="683"/>
      <c r="DM45" s="695"/>
      <c r="DN45" s="1336"/>
      <c r="DO45" s="684"/>
      <c r="DP45" s="685"/>
      <c r="DQ45" s="1421"/>
      <c r="DR45" s="686"/>
      <c r="DS45" s="1613"/>
      <c r="DT45" s="1609"/>
      <c r="DU45" s="1610"/>
      <c r="DV45" s="687"/>
      <c r="DW45" s="1338"/>
      <c r="DX45" s="688"/>
      <c r="DY45" s="683"/>
      <c r="DZ45" s="687"/>
      <c r="EA45" s="1338"/>
      <c r="EB45" s="688"/>
      <c r="EC45" s="683"/>
      <c r="ED45" s="687"/>
      <c r="EE45" s="1338"/>
      <c r="EF45" s="688"/>
      <c r="EG45" s="683"/>
      <c r="EH45" s="687"/>
      <c r="EI45" s="1338"/>
      <c r="EJ45" s="688"/>
      <c r="EK45" s="689"/>
      <c r="EL45" s="141"/>
      <c r="EM45" s="1634" t="str">
        <f t="shared" si="115"/>
        <v/>
      </c>
      <c r="EN45" s="1635" t="str">
        <f t="shared" si="90"/>
        <v/>
      </c>
      <c r="EO45" s="650" t="str">
        <f t="shared" si="91"/>
        <v/>
      </c>
      <c r="EP45" s="651" t="str">
        <f t="shared" si="92"/>
        <v/>
      </c>
      <c r="EQ45" s="814" t="str">
        <f t="shared" si="93"/>
        <v/>
      </c>
      <c r="ER45" s="1593" t="str">
        <f t="shared" si="94"/>
        <v/>
      </c>
      <c r="ES45" s="1594" t="str">
        <f t="shared" si="95"/>
        <v/>
      </c>
      <c r="ET45" s="1595" t="str">
        <f t="shared" si="96"/>
        <v/>
      </c>
      <c r="EU45" s="1596"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581" t="str">
        <f t="shared" si="98"/>
        <v/>
      </c>
      <c r="GB45" s="623" t="str">
        <f t="shared" si="99"/>
        <v/>
      </c>
      <c r="GC45" s="625" t="str">
        <f t="shared" si="100"/>
        <v/>
      </c>
      <c r="GD45" s="626" t="str">
        <f t="shared" si="101"/>
        <v/>
      </c>
      <c r="GE45" s="624" t="str">
        <f t="shared" si="102"/>
        <v/>
      </c>
      <c r="GF45" s="582" t="str">
        <f t="shared" si="103"/>
        <v/>
      </c>
      <c r="GG45" s="1137"/>
      <c r="GH45" s="1138"/>
      <c r="GI45" s="1137"/>
      <c r="GJ45" s="1138"/>
      <c r="GK45" s="1641">
        <f t="shared" si="104"/>
        <v>0</v>
      </c>
      <c r="GL45" s="1641" t="e">
        <f t="shared" si="10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43"/>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117"/>
      <c r="FM50" s="117"/>
      <c r="FN50" s="1993" t="s">
        <v>616</v>
      </c>
      <c r="FO50" s="1994"/>
      <c r="FP50" s="1994"/>
      <c r="FQ50" s="1994"/>
      <c r="FR50" s="1994"/>
      <c r="FS50" s="1995"/>
      <c r="FT50" s="2040" t="s">
        <v>617</v>
      </c>
      <c r="FU50" s="2041"/>
      <c r="FV50" s="2041"/>
      <c r="FW50" s="2041"/>
      <c r="FX50" s="2041"/>
      <c r="FY50" s="2041"/>
      <c r="FZ50" s="2042"/>
      <c r="GA50" s="246"/>
      <c r="GB50" s="246"/>
      <c r="GC50" s="117"/>
      <c r="GD50" s="246"/>
      <c r="GE50" s="246"/>
      <c r="GF50" s="246"/>
      <c r="GG50" s="246"/>
      <c r="GH50" s="246"/>
      <c r="GI50" s="117"/>
      <c r="GJ50" s="243"/>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84"/>
      <c r="EQ51" s="1977"/>
      <c r="ER51" s="1977"/>
      <c r="ES51" s="1977"/>
      <c r="ET51" s="1977"/>
      <c r="EU51" s="1984"/>
      <c r="EV51" s="293"/>
      <c r="EW51" s="293"/>
      <c r="EX51" s="1980" t="s">
        <v>618</v>
      </c>
      <c r="EY51" s="1978" t="s">
        <v>619</v>
      </c>
      <c r="EZ51" s="293"/>
      <c r="FA51" s="293"/>
      <c r="FB51" s="293"/>
      <c r="FC51" s="293"/>
      <c r="FD51" s="293"/>
      <c r="FF51" s="2070" t="s">
        <v>947</v>
      </c>
      <c r="FG51" s="2071"/>
      <c r="FH51" s="2071"/>
      <c r="FI51" s="2071"/>
      <c r="FN51" s="1996"/>
      <c r="FO51" s="1997"/>
      <c r="FP51" s="1997"/>
      <c r="FQ51" s="1997"/>
      <c r="FR51" s="1997"/>
      <c r="FS51" s="1998"/>
      <c r="FT51" s="2043"/>
      <c r="FU51" s="2044"/>
      <c r="FV51" s="2044"/>
      <c r="FW51" s="2044"/>
      <c r="FX51" s="2044"/>
      <c r="FY51" s="2044"/>
      <c r="FZ51" s="2045"/>
      <c r="GA51" s="102"/>
      <c r="GB51" s="102"/>
      <c r="GC51" s="102"/>
      <c r="GD51" s="102"/>
      <c r="GE51" s="102"/>
      <c r="GF51" s="102"/>
      <c r="GG51" s="104"/>
      <c r="GH51" s="104"/>
      <c r="GJ51" s="140"/>
    </row>
    <row r="52" spans="1:193" ht="24.95"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1015</v>
      </c>
      <c r="DA52" s="2087"/>
      <c r="DB52" s="2140" t="s">
        <v>510</v>
      </c>
      <c r="DC52" s="2006" t="s">
        <v>513</v>
      </c>
      <c r="DD52" s="2006" t="s">
        <v>514</v>
      </c>
      <c r="DE52" s="2140" t="s">
        <v>544</v>
      </c>
      <c r="DF52" s="2086" t="s">
        <v>1016</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84"/>
      <c r="EQ52" s="1977"/>
      <c r="ER52" s="1977"/>
      <c r="ES52" s="1977"/>
      <c r="ET52" s="1977"/>
      <c r="EU52" s="1984"/>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068" t="s">
        <v>493</v>
      </c>
      <c r="FP52" s="2056" t="s">
        <v>494</v>
      </c>
      <c r="FQ52" s="2056" t="s">
        <v>495</v>
      </c>
      <c r="FR52" s="2058" t="s">
        <v>496</v>
      </c>
      <c r="FS52" s="2054"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84"/>
      <c r="EQ53" s="1977"/>
      <c r="ER53" s="1977"/>
      <c r="ES53" s="1977"/>
      <c r="ET53" s="1977"/>
      <c r="EU53" s="1984"/>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069"/>
      <c r="FP53" s="2057"/>
      <c r="FQ53" s="2057"/>
      <c r="FR53" s="2059"/>
      <c r="FS53" s="2055"/>
      <c r="FT53" s="2047"/>
      <c r="FU53" s="1990"/>
      <c r="FV53" s="1990"/>
      <c r="FW53" s="1990"/>
      <c r="FX53" s="1990"/>
      <c r="FY53" s="1990"/>
      <c r="FZ53" s="1990"/>
      <c r="GA53" s="1990"/>
      <c r="GB53" s="1992"/>
      <c r="GC53" s="1988"/>
      <c r="GD53" s="208" t="s">
        <v>623</v>
      </c>
      <c r="GE53" s="142" t="s">
        <v>624</v>
      </c>
      <c r="GF53" s="135" t="s">
        <v>626</v>
      </c>
      <c r="GG53" s="135" t="s">
        <v>627</v>
      </c>
      <c r="GH53" s="135" t="s">
        <v>628</v>
      </c>
      <c r="GI53" s="136" t="s">
        <v>629</v>
      </c>
      <c r="GJ53" s="1986"/>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6"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6"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5"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ref="CK68:CK85" si="155">CM28*-1</f>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1" t="str">
        <f>IF(CD68="","",CD68+DA68+($EY$4*TAN(CY68)))</f>
        <v/>
      </c>
      <c r="DC68" s="1311" t="str">
        <f t="shared" ref="DC68:DC85" si="164">IF(CD68="","",IF(NOT(ISBLANK(CO28)),CD68-CO28,MAX(IF(AND(CZ68&gt;=$FB$4,DA68&lt;=$FA$4,OR($FA$1=1,$FA$1=4)),CD68,IF(OR($FA$1=3,$FA$1=4),DB68-$FA$4,DB68+MAX(($FA$4-$FB$4)-(DA68-CZ68)-$EY$4/2*TAN(CY68),0)-$FA$4))-EO68,0)))</f>
        <v/>
      </c>
      <c r="DD68" s="1312">
        <f>IF(CD68="",0,IF(DC68/COS(EU68)&lt;0.0625,0,CEILING(DC68/COS(EU68)-0.03125,0.125)))</f>
        <v>0</v>
      </c>
      <c r="DE68" s="1311">
        <f t="shared" ref="DE68:DE85" si="165">RADIANS(ABS(CV28))</f>
        <v>0</v>
      </c>
      <c r="DF68" s="1313">
        <f t="shared" ref="DF68:DF85" si="166">MIN(IF(CR28&gt;0,CR28/2,MAX(CS28/2,CS68)),IF(CS28&gt;0,CS28/2,MAX(CR28/2,CS68)),IF(CS68&gt;0,CS68,MAX(CS28/2,CR28/2)))/IF(OR(CL68="C",AND(CL68="M",$FG$1="N")),1,COS(DE68))</f>
        <v>0</v>
      </c>
      <c r="DG68" s="1313" t="str">
        <f t="shared" ref="DG68:DG85" si="167">IF(CM68="","",IF(CS68&gt;=0,MAX(CR28/2,CS28/2,CS68),CS68)/IF(OR(CL68="C",AND(CL68="M",$FG$1="N")),1,COS(DE68)))</f>
        <v/>
      </c>
      <c r="DH68" s="1311" t="str">
        <f>IF(CM68="","",CM68+DG68+($EY$4*TAN(DE68)))</f>
        <v/>
      </c>
      <c r="DI68" s="1311" t="str">
        <f t="shared" ref="DI68:DI85" si="168">IF(CM68="","",IF(NOT(ISBLANK(CY28)),CM68-CY28,MAX(IF(AND(DF68&gt;=$FB$4,DG68&lt;=$FA$4,OR($FA$1=1,$FA$1=4)),CM68,IF(OR($FA$1=3,$FA$1=4),DH68-$FA$4,DH68+MAX(($FA$4-$FB$4)-(DG68-DF68)-$EY$4/2*TAN(DE68),0)-$FA$4))-ET68,0)-CY28))</f>
        <v/>
      </c>
      <c r="DJ68" s="1312">
        <f>IF(CM68="",0,IF(DI68/COS(EU68)&lt;0.0625,0,CEILING(DI68/COS(EU68)-0.03125,0.125)))</f>
        <v>0</v>
      </c>
      <c r="DK68" s="1311" t="str">
        <f>IF(CV68="","",CEILING(CV68-DD68-DJ68-0.0625,0.125))</f>
        <v/>
      </c>
      <c r="DL68" s="1311" t="str">
        <f>IF(AND(EG68="",CH68=""),"",IF(EG68="ERR","ERR",IF(ISNUMBER(EG68),(EG68/2)*-1,CH68)))</f>
        <v/>
      </c>
      <c r="DM68" s="1311" t="str">
        <f t="shared" ref="DM68:DM85" si="169">IF(DL68="ERR","ERR",IF(DL68="","",IF(CR68*TAN(CY68)&lt;=($FE$4-($FD$4-0.0625)),CD68-(DL68-EO68)/IF(OR(CC68="C",AND(CC68="M",$FG$1="N")),1,COS(CY68))-IF(MID(CE68,1,1)="R",0,DC68),(ABS(DL68-EO68)/IF(OR(CC68="C",AND(CC68="M",$FG$1="N")),1,COS(CY68))+CD68)-((CR68/2)*TAN(CY68))-IF(MID(CE68,1,1)="R",0,DC68))))</f>
        <v/>
      </c>
      <c r="DN68" s="1311"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1" t="str">
        <f>IF(ISERROR(DM68),"ERR",IF(DM68="","",IF(DO68="ERR","ERR",CEILING(DO68-0.0625,0.125))))</f>
        <v/>
      </c>
      <c r="DR68" s="1311" t="str">
        <f>IF(ISERROR(DN68),"ERR",IF(DN68="","",IF(DP68="ERR","ERR",CEILING(DP68-0.0625,0.125))))</f>
        <v/>
      </c>
      <c r="DS68" s="1311" t="str">
        <f>IF(AND(EJ68="",CQ68=""),"",IF(EJ68="ERR","ERR",IF(ISNUMBER(EJ68),(EJ68/2)*-1,CQ68)))</f>
        <v/>
      </c>
      <c r="DT68" s="1311" t="str">
        <f t="shared" ref="DT68:DT85" si="173">IF(DS68="ERR","ERR",IF(DS68="","",IF(CR68*TAN(DE68)&lt;=($FE$4-($FD$4-0.0625)),CM68-(DS68-ET68)/IF(OR(CL68="C",AND(CL68="M",$FG$1="N")),1,COS(DE68))-IF(MID(CN68,1,1)="R",0,DI68),(ABS(DS68-ET68)/IF(OR(CL68="C",AND(CL68="M",$FG$1="N")),1,COS(DE68))+CM68)-((CR68/2)*TAN(DE68))-IF(MID(CN68,1,1)="R",0,DI68))))</f>
        <v/>
      </c>
      <c r="DU68" s="1311"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5"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5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1" t="str">
        <f t="shared" ref="DB69:DB85" si="199">IF(CD69="","",CD69+DA69+($EY$4*TAN(CY69)))</f>
        <v/>
      </c>
      <c r="DC69" s="1311" t="str">
        <f t="shared" si="164"/>
        <v/>
      </c>
      <c r="DD69" s="1312">
        <f t="shared" ref="DD69:DD85" si="200">IF(CD69="",0,IF(DC69/COS(EU69)&lt;0.0625,0,CEILING(DC69/COS(EU69)-0.03125,0.125)))</f>
        <v>0</v>
      </c>
      <c r="DE69" s="1311">
        <f t="shared" si="165"/>
        <v>0</v>
      </c>
      <c r="DF69" s="1313">
        <f t="shared" si="166"/>
        <v>0</v>
      </c>
      <c r="DG69" s="1313" t="str">
        <f t="shared" si="167"/>
        <v/>
      </c>
      <c r="DH69" s="1311" t="str">
        <f t="shared" ref="DH69:DH85" si="201">IF(CM69="","",CM69+DG69+($EY$4*TAN(DE69)))</f>
        <v/>
      </c>
      <c r="DI69" s="1311" t="str">
        <f t="shared" si="168"/>
        <v/>
      </c>
      <c r="DJ69" s="1312">
        <f t="shared" ref="DJ69:DJ85" si="202">IF(CM69="",0,IF(DI69/COS(EU69)&lt;0.0625,0,CEILING(DI69/COS(EU69)-0.03125,0.125)))</f>
        <v>0</v>
      </c>
      <c r="DK69" s="1311" t="str">
        <f t="shared" ref="DK69:DK85" si="203">IF(CV69="","",CEILING(CV69-DD69-DJ69-0.0625,0.125))</f>
        <v/>
      </c>
      <c r="DL69" s="1311" t="str">
        <f t="shared" ref="DL69:DL85" si="204">IF(AND(EG69="",CH69=""),"",IF(EG69="ERR","ERR",IF(ISNUMBER(EG69),(EG69/2)*-1,CH69)))</f>
        <v/>
      </c>
      <c r="DM69" s="1311" t="str">
        <f t="shared" si="169"/>
        <v/>
      </c>
      <c r="DN69" s="1311" t="str">
        <f t="shared" si="170"/>
        <v/>
      </c>
      <c r="DO69" s="889" t="str">
        <f t="shared" si="171"/>
        <v>ERR</v>
      </c>
      <c r="DP69" s="889" t="str">
        <f t="shared" si="172"/>
        <v>ERR</v>
      </c>
      <c r="DQ69" s="1311" t="str">
        <f t="shared" ref="DQ69:DQ85" si="205">IF(ISERROR(DM69),"ERR",IF(DM69="","",IF(DO69="ERR","ERR",CEILING(DO69-0.0625,0.125))))</f>
        <v/>
      </c>
      <c r="DR69" s="1311" t="str">
        <f t="shared" ref="DR69:DR85" si="206">IF(ISERROR(DN69),"ERR",IF(DN69="","",IF(DP69="ERR","ERR",CEILING(DP69-0.0625,0.125))))</f>
        <v/>
      </c>
      <c r="DS69" s="1311" t="str">
        <f t="shared" ref="DS69:DS85" si="207">IF(AND(EJ69="",CQ69=""),"",IF(EJ69="ERR","ERR",IF(ISNUMBER(EJ69),(EJ69/2)*-1,CQ69)))</f>
        <v/>
      </c>
      <c r="DT69" s="1311" t="str">
        <f t="shared" si="173"/>
        <v/>
      </c>
      <c r="DU69" s="1311"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5"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5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1" t="str">
        <f t="shared" si="199"/>
        <v/>
      </c>
      <c r="DC70" s="1311" t="str">
        <f t="shared" si="164"/>
        <v/>
      </c>
      <c r="DD70" s="1312">
        <f t="shared" si="200"/>
        <v>0</v>
      </c>
      <c r="DE70" s="1311">
        <f t="shared" si="165"/>
        <v>0</v>
      </c>
      <c r="DF70" s="1313">
        <f t="shared" si="166"/>
        <v>0</v>
      </c>
      <c r="DG70" s="1313" t="str">
        <f t="shared" si="167"/>
        <v/>
      </c>
      <c r="DH70" s="1311" t="str">
        <f t="shared" si="201"/>
        <v/>
      </c>
      <c r="DI70" s="1311" t="str">
        <f t="shared" si="168"/>
        <v/>
      </c>
      <c r="DJ70" s="1312">
        <f t="shared" si="202"/>
        <v>0</v>
      </c>
      <c r="DK70" s="1311" t="str">
        <f t="shared" si="203"/>
        <v/>
      </c>
      <c r="DL70" s="1311" t="str">
        <f t="shared" si="204"/>
        <v/>
      </c>
      <c r="DM70" s="1311" t="str">
        <f t="shared" si="169"/>
        <v/>
      </c>
      <c r="DN70" s="1311" t="str">
        <f t="shared" si="170"/>
        <v/>
      </c>
      <c r="DO70" s="889" t="str">
        <f t="shared" si="171"/>
        <v>ERR</v>
      </c>
      <c r="DP70" s="889" t="str">
        <f t="shared" si="172"/>
        <v>ERR</v>
      </c>
      <c r="DQ70" s="1311" t="str">
        <f t="shared" si="205"/>
        <v/>
      </c>
      <c r="DR70" s="1311" t="str">
        <f t="shared" si="206"/>
        <v/>
      </c>
      <c r="DS70" s="1311" t="str">
        <f t="shared" si="207"/>
        <v/>
      </c>
      <c r="DT70" s="1311" t="str">
        <f t="shared" si="173"/>
        <v/>
      </c>
      <c r="DU70" s="1311"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4" t="s">
        <v>1257</v>
      </c>
    </row>
    <row r="71" spans="78:196" ht="12.6" hidden="1" customHeight="1" x14ac:dyDescent="0.2">
      <c r="BZ71" s="293"/>
      <c r="CA71" s="293"/>
      <c r="CB71" s="365" t="str">
        <f t="shared" si="154"/>
        <v/>
      </c>
      <c r="CC71" s="1305"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5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1" t="str">
        <f t="shared" si="199"/>
        <v/>
      </c>
      <c r="DC71" s="1311" t="str">
        <f t="shared" si="164"/>
        <v/>
      </c>
      <c r="DD71" s="1312">
        <f t="shared" si="200"/>
        <v>0</v>
      </c>
      <c r="DE71" s="1311">
        <f t="shared" si="165"/>
        <v>0</v>
      </c>
      <c r="DF71" s="1313">
        <f t="shared" si="166"/>
        <v>0</v>
      </c>
      <c r="DG71" s="1313" t="str">
        <f t="shared" si="167"/>
        <v/>
      </c>
      <c r="DH71" s="1311" t="str">
        <f t="shared" si="201"/>
        <v/>
      </c>
      <c r="DI71" s="1311" t="str">
        <f t="shared" si="168"/>
        <v/>
      </c>
      <c r="DJ71" s="1312">
        <f t="shared" si="202"/>
        <v>0</v>
      </c>
      <c r="DK71" s="1311" t="str">
        <f t="shared" si="203"/>
        <v/>
      </c>
      <c r="DL71" s="1311" t="str">
        <f t="shared" si="204"/>
        <v/>
      </c>
      <c r="DM71" s="1311" t="str">
        <f t="shared" si="169"/>
        <v/>
      </c>
      <c r="DN71" s="1311" t="str">
        <f t="shared" si="170"/>
        <v/>
      </c>
      <c r="DO71" s="889" t="str">
        <f t="shared" si="171"/>
        <v>ERR</v>
      </c>
      <c r="DP71" s="889" t="str">
        <f t="shared" si="172"/>
        <v>ERR</v>
      </c>
      <c r="DQ71" s="1311" t="str">
        <f t="shared" si="205"/>
        <v/>
      </c>
      <c r="DR71" s="1311" t="str">
        <f t="shared" si="206"/>
        <v/>
      </c>
      <c r="DS71" s="1311" t="str">
        <f t="shared" si="207"/>
        <v/>
      </c>
      <c r="DT71" s="1311" t="str">
        <f t="shared" si="173"/>
        <v/>
      </c>
      <c r="DU71" s="1311"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5"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5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1" t="str">
        <f t="shared" si="199"/>
        <v/>
      </c>
      <c r="DC72" s="1311" t="str">
        <f t="shared" si="164"/>
        <v/>
      </c>
      <c r="DD72" s="1312">
        <f t="shared" si="200"/>
        <v>0</v>
      </c>
      <c r="DE72" s="1311">
        <f t="shared" si="165"/>
        <v>0</v>
      </c>
      <c r="DF72" s="1313">
        <f t="shared" si="166"/>
        <v>0</v>
      </c>
      <c r="DG72" s="1313" t="str">
        <f t="shared" si="167"/>
        <v/>
      </c>
      <c r="DH72" s="1311" t="str">
        <f t="shared" si="201"/>
        <v/>
      </c>
      <c r="DI72" s="1311" t="str">
        <f t="shared" si="168"/>
        <v/>
      </c>
      <c r="DJ72" s="1312">
        <f t="shared" si="202"/>
        <v>0</v>
      </c>
      <c r="DK72" s="1311" t="str">
        <f t="shared" si="203"/>
        <v/>
      </c>
      <c r="DL72" s="1311" t="str">
        <f t="shared" si="204"/>
        <v/>
      </c>
      <c r="DM72" s="1311" t="str">
        <f t="shared" si="169"/>
        <v/>
      </c>
      <c r="DN72" s="1311" t="str">
        <f t="shared" si="170"/>
        <v/>
      </c>
      <c r="DO72" s="889" t="str">
        <f t="shared" si="171"/>
        <v>ERR</v>
      </c>
      <c r="DP72" s="889" t="str">
        <f t="shared" si="172"/>
        <v>ERR</v>
      </c>
      <c r="DQ72" s="1311" t="str">
        <f t="shared" si="205"/>
        <v/>
      </c>
      <c r="DR72" s="1311" t="str">
        <f t="shared" si="206"/>
        <v/>
      </c>
      <c r="DS72" s="1311" t="str">
        <f t="shared" si="207"/>
        <v/>
      </c>
      <c r="DT72" s="1311" t="str">
        <f t="shared" si="173"/>
        <v/>
      </c>
      <c r="DU72" s="1311"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5"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5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1" t="str">
        <f t="shared" si="199"/>
        <v/>
      </c>
      <c r="DC73" s="1311" t="str">
        <f t="shared" si="164"/>
        <v/>
      </c>
      <c r="DD73" s="1312">
        <f t="shared" si="200"/>
        <v>0</v>
      </c>
      <c r="DE73" s="1311">
        <f t="shared" si="165"/>
        <v>0</v>
      </c>
      <c r="DF73" s="1313">
        <f t="shared" si="166"/>
        <v>0</v>
      </c>
      <c r="DG73" s="1313" t="str">
        <f t="shared" si="167"/>
        <v/>
      </c>
      <c r="DH73" s="1311" t="str">
        <f t="shared" si="201"/>
        <v/>
      </c>
      <c r="DI73" s="1311" t="str">
        <f t="shared" si="168"/>
        <v/>
      </c>
      <c r="DJ73" s="1312">
        <f t="shared" si="202"/>
        <v>0</v>
      </c>
      <c r="DK73" s="1311" t="str">
        <f t="shared" si="203"/>
        <v/>
      </c>
      <c r="DL73" s="1311" t="str">
        <f t="shared" si="204"/>
        <v/>
      </c>
      <c r="DM73" s="1311" t="str">
        <f t="shared" si="169"/>
        <v/>
      </c>
      <c r="DN73" s="1311" t="str">
        <f t="shared" si="170"/>
        <v/>
      </c>
      <c r="DO73" s="889" t="str">
        <f t="shared" si="171"/>
        <v>ERR</v>
      </c>
      <c r="DP73" s="889" t="str">
        <f t="shared" si="172"/>
        <v>ERR</v>
      </c>
      <c r="DQ73" s="1311" t="str">
        <f t="shared" si="205"/>
        <v/>
      </c>
      <c r="DR73" s="1311" t="str">
        <f t="shared" si="206"/>
        <v/>
      </c>
      <c r="DS73" s="1311" t="str">
        <f t="shared" si="207"/>
        <v/>
      </c>
      <c r="DT73" s="1311" t="str">
        <f t="shared" si="173"/>
        <v/>
      </c>
      <c r="DU73" s="1311"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5"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5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1" t="str">
        <f t="shared" si="199"/>
        <v/>
      </c>
      <c r="DC74" s="1311" t="str">
        <f t="shared" si="164"/>
        <v/>
      </c>
      <c r="DD74" s="1312">
        <f t="shared" si="200"/>
        <v>0</v>
      </c>
      <c r="DE74" s="1311">
        <f t="shared" si="165"/>
        <v>0</v>
      </c>
      <c r="DF74" s="1313">
        <f t="shared" si="166"/>
        <v>0</v>
      </c>
      <c r="DG74" s="1313" t="str">
        <f t="shared" si="167"/>
        <v/>
      </c>
      <c r="DH74" s="1311" t="str">
        <f t="shared" si="201"/>
        <v/>
      </c>
      <c r="DI74" s="1311" t="str">
        <f t="shared" si="168"/>
        <v/>
      </c>
      <c r="DJ74" s="1312">
        <f t="shared" si="202"/>
        <v>0</v>
      </c>
      <c r="DK74" s="1311" t="str">
        <f t="shared" si="203"/>
        <v/>
      </c>
      <c r="DL74" s="1311" t="str">
        <f t="shared" si="204"/>
        <v/>
      </c>
      <c r="DM74" s="1311" t="str">
        <f t="shared" si="169"/>
        <v/>
      </c>
      <c r="DN74" s="1311" t="str">
        <f t="shared" si="170"/>
        <v/>
      </c>
      <c r="DO74" s="889" t="str">
        <f t="shared" si="171"/>
        <v>ERR</v>
      </c>
      <c r="DP74" s="889" t="str">
        <f t="shared" si="172"/>
        <v>ERR</v>
      </c>
      <c r="DQ74" s="1311" t="str">
        <f t="shared" si="205"/>
        <v/>
      </c>
      <c r="DR74" s="1311" t="str">
        <f t="shared" si="206"/>
        <v/>
      </c>
      <c r="DS74" s="1311" t="str">
        <f t="shared" si="207"/>
        <v/>
      </c>
      <c r="DT74" s="1311" t="str">
        <f t="shared" si="173"/>
        <v/>
      </c>
      <c r="DU74" s="1311"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5"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5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1" t="str">
        <f t="shared" si="199"/>
        <v/>
      </c>
      <c r="DC75" s="1311" t="str">
        <f t="shared" si="164"/>
        <v/>
      </c>
      <c r="DD75" s="1312">
        <f t="shared" si="200"/>
        <v>0</v>
      </c>
      <c r="DE75" s="1311">
        <f t="shared" si="165"/>
        <v>0</v>
      </c>
      <c r="DF75" s="1313">
        <f t="shared" si="166"/>
        <v>0</v>
      </c>
      <c r="DG75" s="1313" t="str">
        <f t="shared" si="167"/>
        <v/>
      </c>
      <c r="DH75" s="1311" t="str">
        <f t="shared" si="201"/>
        <v/>
      </c>
      <c r="DI75" s="1311" t="str">
        <f t="shared" si="168"/>
        <v/>
      </c>
      <c r="DJ75" s="1312">
        <f t="shared" si="202"/>
        <v>0</v>
      </c>
      <c r="DK75" s="1311" t="str">
        <f t="shared" si="203"/>
        <v/>
      </c>
      <c r="DL75" s="1311" t="str">
        <f t="shared" si="204"/>
        <v/>
      </c>
      <c r="DM75" s="1311" t="str">
        <f t="shared" si="169"/>
        <v/>
      </c>
      <c r="DN75" s="1311" t="str">
        <f t="shared" si="170"/>
        <v/>
      </c>
      <c r="DO75" s="889" t="str">
        <f t="shared" si="171"/>
        <v>ERR</v>
      </c>
      <c r="DP75" s="889" t="str">
        <f t="shared" si="172"/>
        <v>ERR</v>
      </c>
      <c r="DQ75" s="1311" t="str">
        <f t="shared" si="205"/>
        <v/>
      </c>
      <c r="DR75" s="1311" t="str">
        <f t="shared" si="206"/>
        <v/>
      </c>
      <c r="DS75" s="1311" t="str">
        <f t="shared" si="207"/>
        <v/>
      </c>
      <c r="DT75" s="1311" t="str">
        <f t="shared" si="173"/>
        <v/>
      </c>
      <c r="DU75" s="1311"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5"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5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1" t="str">
        <f t="shared" si="199"/>
        <v/>
      </c>
      <c r="DC76" s="1311" t="str">
        <f t="shared" si="164"/>
        <v/>
      </c>
      <c r="DD76" s="1312">
        <f t="shared" si="200"/>
        <v>0</v>
      </c>
      <c r="DE76" s="1311">
        <f t="shared" si="165"/>
        <v>0</v>
      </c>
      <c r="DF76" s="1313">
        <f t="shared" si="166"/>
        <v>0</v>
      </c>
      <c r="DG76" s="1313" t="str">
        <f t="shared" si="167"/>
        <v/>
      </c>
      <c r="DH76" s="1311" t="str">
        <f t="shared" si="201"/>
        <v/>
      </c>
      <c r="DI76" s="1311" t="str">
        <f t="shared" si="168"/>
        <v/>
      </c>
      <c r="DJ76" s="1312">
        <f t="shared" si="202"/>
        <v>0</v>
      </c>
      <c r="DK76" s="1311" t="str">
        <f t="shared" si="203"/>
        <v/>
      </c>
      <c r="DL76" s="1311" t="str">
        <f t="shared" si="204"/>
        <v/>
      </c>
      <c r="DM76" s="1311" t="str">
        <f t="shared" si="169"/>
        <v/>
      </c>
      <c r="DN76" s="1311" t="str">
        <f t="shared" si="170"/>
        <v/>
      </c>
      <c r="DO76" s="889" t="str">
        <f t="shared" si="171"/>
        <v>ERR</v>
      </c>
      <c r="DP76" s="889" t="str">
        <f t="shared" si="172"/>
        <v>ERR</v>
      </c>
      <c r="DQ76" s="1311" t="str">
        <f t="shared" si="205"/>
        <v/>
      </c>
      <c r="DR76" s="1311" t="str">
        <f t="shared" si="206"/>
        <v/>
      </c>
      <c r="DS76" s="1311" t="str">
        <f t="shared" si="207"/>
        <v/>
      </c>
      <c r="DT76" s="1311" t="str">
        <f t="shared" si="173"/>
        <v/>
      </c>
      <c r="DU76" s="1311"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5"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5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1" t="str">
        <f t="shared" si="199"/>
        <v/>
      </c>
      <c r="DC77" s="1311" t="str">
        <f t="shared" si="164"/>
        <v/>
      </c>
      <c r="DD77" s="1312">
        <f t="shared" si="200"/>
        <v>0</v>
      </c>
      <c r="DE77" s="1311">
        <f t="shared" si="165"/>
        <v>0</v>
      </c>
      <c r="DF77" s="1313">
        <f t="shared" si="166"/>
        <v>0</v>
      </c>
      <c r="DG77" s="1313" t="str">
        <f t="shared" si="167"/>
        <v/>
      </c>
      <c r="DH77" s="1311" t="str">
        <f t="shared" si="201"/>
        <v/>
      </c>
      <c r="DI77" s="1311" t="str">
        <f t="shared" si="168"/>
        <v/>
      </c>
      <c r="DJ77" s="1312">
        <f t="shared" si="202"/>
        <v>0</v>
      </c>
      <c r="DK77" s="1311" t="str">
        <f t="shared" si="203"/>
        <v/>
      </c>
      <c r="DL77" s="1311" t="str">
        <f t="shared" si="204"/>
        <v/>
      </c>
      <c r="DM77" s="1311" t="str">
        <f t="shared" si="169"/>
        <v/>
      </c>
      <c r="DN77" s="1311" t="str">
        <f t="shared" si="170"/>
        <v/>
      </c>
      <c r="DO77" s="889" t="str">
        <f t="shared" si="171"/>
        <v>ERR</v>
      </c>
      <c r="DP77" s="889" t="str">
        <f t="shared" si="172"/>
        <v>ERR</v>
      </c>
      <c r="DQ77" s="1311" t="str">
        <f t="shared" si="205"/>
        <v/>
      </c>
      <c r="DR77" s="1311" t="str">
        <f t="shared" si="206"/>
        <v/>
      </c>
      <c r="DS77" s="1311" t="str">
        <f t="shared" si="207"/>
        <v/>
      </c>
      <c r="DT77" s="1311" t="str">
        <f t="shared" si="173"/>
        <v/>
      </c>
      <c r="DU77" s="1311"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5"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5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1" t="str">
        <f t="shared" si="199"/>
        <v/>
      </c>
      <c r="DC78" s="1311" t="str">
        <f t="shared" si="164"/>
        <v/>
      </c>
      <c r="DD78" s="1312">
        <f t="shared" si="200"/>
        <v>0</v>
      </c>
      <c r="DE78" s="1311">
        <f t="shared" si="165"/>
        <v>0</v>
      </c>
      <c r="DF78" s="1313">
        <f t="shared" si="166"/>
        <v>0</v>
      </c>
      <c r="DG78" s="1313" t="str">
        <f t="shared" si="167"/>
        <v/>
      </c>
      <c r="DH78" s="1311" t="str">
        <f t="shared" si="201"/>
        <v/>
      </c>
      <c r="DI78" s="1311" t="str">
        <f t="shared" si="168"/>
        <v/>
      </c>
      <c r="DJ78" s="1312">
        <f t="shared" si="202"/>
        <v>0</v>
      </c>
      <c r="DK78" s="1311" t="str">
        <f t="shared" si="203"/>
        <v/>
      </c>
      <c r="DL78" s="1311" t="str">
        <f t="shared" si="204"/>
        <v/>
      </c>
      <c r="DM78" s="1311" t="str">
        <f t="shared" si="169"/>
        <v/>
      </c>
      <c r="DN78" s="1311" t="str">
        <f t="shared" si="170"/>
        <v/>
      </c>
      <c r="DO78" s="889" t="str">
        <f t="shared" si="171"/>
        <v>ERR</v>
      </c>
      <c r="DP78" s="889" t="str">
        <f t="shared" si="172"/>
        <v>ERR</v>
      </c>
      <c r="DQ78" s="1311" t="str">
        <f t="shared" si="205"/>
        <v/>
      </c>
      <c r="DR78" s="1311" t="str">
        <f t="shared" si="206"/>
        <v/>
      </c>
      <c r="DS78" s="1311" t="str">
        <f t="shared" si="207"/>
        <v/>
      </c>
      <c r="DT78" s="1311" t="str">
        <f t="shared" si="173"/>
        <v/>
      </c>
      <c r="DU78" s="1311"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5"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5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1" t="str">
        <f t="shared" si="199"/>
        <v/>
      </c>
      <c r="DC79" s="1311" t="str">
        <f t="shared" si="164"/>
        <v/>
      </c>
      <c r="DD79" s="1312">
        <f t="shared" si="200"/>
        <v>0</v>
      </c>
      <c r="DE79" s="1311">
        <f t="shared" si="165"/>
        <v>0</v>
      </c>
      <c r="DF79" s="1313">
        <f t="shared" si="166"/>
        <v>0</v>
      </c>
      <c r="DG79" s="1313" t="str">
        <f t="shared" si="167"/>
        <v/>
      </c>
      <c r="DH79" s="1311" t="str">
        <f t="shared" si="201"/>
        <v/>
      </c>
      <c r="DI79" s="1311" t="str">
        <f t="shared" si="168"/>
        <v/>
      </c>
      <c r="DJ79" s="1312">
        <f t="shared" si="202"/>
        <v>0</v>
      </c>
      <c r="DK79" s="1311" t="str">
        <f t="shared" si="203"/>
        <v/>
      </c>
      <c r="DL79" s="1311" t="str">
        <f t="shared" si="204"/>
        <v/>
      </c>
      <c r="DM79" s="1311" t="str">
        <f t="shared" si="169"/>
        <v/>
      </c>
      <c r="DN79" s="1311" t="str">
        <f t="shared" si="170"/>
        <v/>
      </c>
      <c r="DO79" s="889" t="str">
        <f t="shared" si="171"/>
        <v>ERR</v>
      </c>
      <c r="DP79" s="889" t="str">
        <f t="shared" si="172"/>
        <v>ERR</v>
      </c>
      <c r="DQ79" s="1311" t="str">
        <f t="shared" si="205"/>
        <v/>
      </c>
      <c r="DR79" s="1311" t="str">
        <f t="shared" si="206"/>
        <v/>
      </c>
      <c r="DS79" s="1311" t="str">
        <f t="shared" si="207"/>
        <v/>
      </c>
      <c r="DT79" s="1311" t="str">
        <f t="shared" si="173"/>
        <v/>
      </c>
      <c r="DU79" s="1311"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5"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5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1" t="str">
        <f t="shared" si="199"/>
        <v/>
      </c>
      <c r="DC80" s="1311" t="str">
        <f t="shared" si="164"/>
        <v/>
      </c>
      <c r="DD80" s="1312">
        <f t="shared" si="200"/>
        <v>0</v>
      </c>
      <c r="DE80" s="1311">
        <f t="shared" si="165"/>
        <v>0</v>
      </c>
      <c r="DF80" s="1313">
        <f t="shared" si="166"/>
        <v>0</v>
      </c>
      <c r="DG80" s="1313" t="str">
        <f t="shared" si="167"/>
        <v/>
      </c>
      <c r="DH80" s="1311" t="str">
        <f t="shared" si="201"/>
        <v/>
      </c>
      <c r="DI80" s="1311" t="str">
        <f t="shared" si="168"/>
        <v/>
      </c>
      <c r="DJ80" s="1312">
        <f t="shared" si="202"/>
        <v>0</v>
      </c>
      <c r="DK80" s="1311" t="str">
        <f t="shared" si="203"/>
        <v/>
      </c>
      <c r="DL80" s="1311" t="str">
        <f t="shared" si="204"/>
        <v/>
      </c>
      <c r="DM80" s="1311" t="str">
        <f t="shared" si="169"/>
        <v/>
      </c>
      <c r="DN80" s="1311" t="str">
        <f t="shared" si="170"/>
        <v/>
      </c>
      <c r="DO80" s="889" t="str">
        <f t="shared" si="171"/>
        <v>ERR</v>
      </c>
      <c r="DP80" s="889" t="str">
        <f t="shared" si="172"/>
        <v>ERR</v>
      </c>
      <c r="DQ80" s="1311" t="str">
        <f t="shared" si="205"/>
        <v/>
      </c>
      <c r="DR80" s="1311" t="str">
        <f t="shared" si="206"/>
        <v/>
      </c>
      <c r="DS80" s="1311" t="str">
        <f t="shared" si="207"/>
        <v/>
      </c>
      <c r="DT80" s="1311" t="str">
        <f t="shared" si="173"/>
        <v/>
      </c>
      <c r="DU80" s="1311"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5"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5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1" t="str">
        <f t="shared" si="199"/>
        <v/>
      </c>
      <c r="DC81" s="1311" t="str">
        <f t="shared" si="164"/>
        <v/>
      </c>
      <c r="DD81" s="1312">
        <f t="shared" si="200"/>
        <v>0</v>
      </c>
      <c r="DE81" s="1311">
        <f t="shared" si="165"/>
        <v>0</v>
      </c>
      <c r="DF81" s="1313">
        <f t="shared" si="166"/>
        <v>0</v>
      </c>
      <c r="DG81" s="1313" t="str">
        <f t="shared" si="167"/>
        <v/>
      </c>
      <c r="DH81" s="1311" t="str">
        <f t="shared" si="201"/>
        <v/>
      </c>
      <c r="DI81" s="1311" t="str">
        <f t="shared" si="168"/>
        <v/>
      </c>
      <c r="DJ81" s="1312">
        <f t="shared" si="202"/>
        <v>0</v>
      </c>
      <c r="DK81" s="1311" t="str">
        <f t="shared" si="203"/>
        <v/>
      </c>
      <c r="DL81" s="1311" t="str">
        <f t="shared" si="204"/>
        <v/>
      </c>
      <c r="DM81" s="1311" t="str">
        <f t="shared" si="169"/>
        <v/>
      </c>
      <c r="DN81" s="1311" t="str">
        <f t="shared" si="170"/>
        <v/>
      </c>
      <c r="DO81" s="889" t="str">
        <f t="shared" si="171"/>
        <v>ERR</v>
      </c>
      <c r="DP81" s="889" t="str">
        <f t="shared" si="172"/>
        <v>ERR</v>
      </c>
      <c r="DQ81" s="1311" t="str">
        <f t="shared" si="205"/>
        <v/>
      </c>
      <c r="DR81" s="1311" t="str">
        <f t="shared" si="206"/>
        <v/>
      </c>
      <c r="DS81" s="1311" t="str">
        <f t="shared" si="207"/>
        <v/>
      </c>
      <c r="DT81" s="1311" t="str">
        <f t="shared" si="173"/>
        <v/>
      </c>
      <c r="DU81" s="1311"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5"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5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1" t="str">
        <f t="shared" si="199"/>
        <v/>
      </c>
      <c r="DC82" s="1311" t="str">
        <f t="shared" si="164"/>
        <v/>
      </c>
      <c r="DD82" s="1312">
        <f t="shared" si="200"/>
        <v>0</v>
      </c>
      <c r="DE82" s="1311">
        <f t="shared" si="165"/>
        <v>0</v>
      </c>
      <c r="DF82" s="1313">
        <f t="shared" si="166"/>
        <v>0</v>
      </c>
      <c r="DG82" s="1313" t="str">
        <f t="shared" si="167"/>
        <v/>
      </c>
      <c r="DH82" s="1311" t="str">
        <f t="shared" si="201"/>
        <v/>
      </c>
      <c r="DI82" s="1311" t="str">
        <f t="shared" si="168"/>
        <v/>
      </c>
      <c r="DJ82" s="1312">
        <f t="shared" si="202"/>
        <v>0</v>
      </c>
      <c r="DK82" s="1311" t="str">
        <f t="shared" si="203"/>
        <v/>
      </c>
      <c r="DL82" s="1311" t="str">
        <f t="shared" si="204"/>
        <v/>
      </c>
      <c r="DM82" s="1311" t="str">
        <f t="shared" si="169"/>
        <v/>
      </c>
      <c r="DN82" s="1311" t="str">
        <f t="shared" si="170"/>
        <v/>
      </c>
      <c r="DO82" s="889" t="str">
        <f t="shared" si="171"/>
        <v>ERR</v>
      </c>
      <c r="DP82" s="889" t="str">
        <f t="shared" si="172"/>
        <v>ERR</v>
      </c>
      <c r="DQ82" s="1311" t="str">
        <f t="shared" si="205"/>
        <v/>
      </c>
      <c r="DR82" s="1311" t="str">
        <f t="shared" si="206"/>
        <v/>
      </c>
      <c r="DS82" s="1311" t="str">
        <f t="shared" si="207"/>
        <v/>
      </c>
      <c r="DT82" s="1311" t="str">
        <f t="shared" si="173"/>
        <v/>
      </c>
      <c r="DU82" s="1311"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5"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5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1" t="str">
        <f t="shared" si="199"/>
        <v/>
      </c>
      <c r="DC83" s="1311" t="str">
        <f t="shared" si="164"/>
        <v/>
      </c>
      <c r="DD83" s="1312">
        <f t="shared" si="200"/>
        <v>0</v>
      </c>
      <c r="DE83" s="1311">
        <f t="shared" si="165"/>
        <v>0</v>
      </c>
      <c r="DF83" s="1313">
        <f t="shared" si="166"/>
        <v>0</v>
      </c>
      <c r="DG83" s="1313" t="str">
        <f t="shared" si="167"/>
        <v/>
      </c>
      <c r="DH83" s="1311" t="str">
        <f t="shared" si="201"/>
        <v/>
      </c>
      <c r="DI83" s="1311" t="str">
        <f t="shared" si="168"/>
        <v/>
      </c>
      <c r="DJ83" s="1312">
        <f t="shared" si="202"/>
        <v>0</v>
      </c>
      <c r="DK83" s="1311" t="str">
        <f t="shared" si="203"/>
        <v/>
      </c>
      <c r="DL83" s="1311" t="str">
        <f t="shared" si="204"/>
        <v/>
      </c>
      <c r="DM83" s="1311" t="str">
        <f t="shared" si="169"/>
        <v/>
      </c>
      <c r="DN83" s="1311" t="str">
        <f t="shared" si="170"/>
        <v/>
      </c>
      <c r="DO83" s="889" t="str">
        <f t="shared" si="171"/>
        <v>ERR</v>
      </c>
      <c r="DP83" s="889" t="str">
        <f t="shared" si="172"/>
        <v>ERR</v>
      </c>
      <c r="DQ83" s="1311" t="str">
        <f t="shared" si="205"/>
        <v/>
      </c>
      <c r="DR83" s="1311" t="str">
        <f t="shared" si="206"/>
        <v/>
      </c>
      <c r="DS83" s="1311" t="str">
        <f t="shared" si="207"/>
        <v/>
      </c>
      <c r="DT83" s="1311" t="str">
        <f t="shared" si="173"/>
        <v/>
      </c>
      <c r="DU83" s="1311"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5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1" t="str">
        <f t="shared" si="199"/>
        <v/>
      </c>
      <c r="DC84" s="1311" t="str">
        <f t="shared" si="164"/>
        <v/>
      </c>
      <c r="DD84" s="1312">
        <f t="shared" si="200"/>
        <v>0</v>
      </c>
      <c r="DE84" s="1311">
        <f t="shared" si="165"/>
        <v>0</v>
      </c>
      <c r="DF84" s="1313">
        <f t="shared" si="166"/>
        <v>0</v>
      </c>
      <c r="DG84" s="1313" t="str">
        <f t="shared" si="167"/>
        <v/>
      </c>
      <c r="DH84" s="1311" t="str">
        <f t="shared" si="201"/>
        <v/>
      </c>
      <c r="DI84" s="1311" t="str">
        <f t="shared" si="168"/>
        <v/>
      </c>
      <c r="DJ84" s="1312">
        <f t="shared" si="202"/>
        <v>0</v>
      </c>
      <c r="DK84" s="1311" t="str">
        <f t="shared" si="203"/>
        <v/>
      </c>
      <c r="DL84" s="1311" t="str">
        <f t="shared" si="204"/>
        <v/>
      </c>
      <c r="DM84" s="1311" t="str">
        <f t="shared" si="169"/>
        <v/>
      </c>
      <c r="DN84" s="1311" t="str">
        <f t="shared" si="170"/>
        <v/>
      </c>
      <c r="DO84" s="889" t="str">
        <f t="shared" si="171"/>
        <v>ERR</v>
      </c>
      <c r="DP84" s="889" t="str">
        <f t="shared" si="172"/>
        <v>ERR</v>
      </c>
      <c r="DQ84" s="1311" t="str">
        <f t="shared" si="205"/>
        <v/>
      </c>
      <c r="DR84" s="1311" t="str">
        <f t="shared" si="206"/>
        <v/>
      </c>
      <c r="DS84" s="1311" t="str">
        <f t="shared" si="207"/>
        <v/>
      </c>
      <c r="DT84" s="1311" t="str">
        <f t="shared" si="173"/>
        <v/>
      </c>
      <c r="DU84" s="1311"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55"/>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4" t="str">
        <f t="shared" si="199"/>
        <v/>
      </c>
      <c r="DC85" s="1314" t="str">
        <f t="shared" si="164"/>
        <v/>
      </c>
      <c r="DD85" s="1315">
        <f t="shared" si="200"/>
        <v>0</v>
      </c>
      <c r="DE85" s="1314">
        <f t="shared" si="165"/>
        <v>0</v>
      </c>
      <c r="DF85" s="1316">
        <f t="shared" si="166"/>
        <v>0</v>
      </c>
      <c r="DG85" s="1316" t="str">
        <f t="shared" si="167"/>
        <v/>
      </c>
      <c r="DH85" s="1314" t="str">
        <f t="shared" si="201"/>
        <v/>
      </c>
      <c r="DI85" s="1314" t="str">
        <f t="shared" si="168"/>
        <v/>
      </c>
      <c r="DJ85" s="1315">
        <f t="shared" si="202"/>
        <v>0</v>
      </c>
      <c r="DK85" s="1314" t="str">
        <f t="shared" si="203"/>
        <v/>
      </c>
      <c r="DL85" s="1314" t="str">
        <f t="shared" si="204"/>
        <v/>
      </c>
      <c r="DM85" s="1314" t="str">
        <f t="shared" si="169"/>
        <v/>
      </c>
      <c r="DN85" s="1314" t="str">
        <f t="shared" si="170"/>
        <v/>
      </c>
      <c r="DO85" s="891" t="str">
        <f t="shared" si="171"/>
        <v>ERR</v>
      </c>
      <c r="DP85" s="891" t="str">
        <f t="shared" si="172"/>
        <v>ERR</v>
      </c>
      <c r="DQ85" s="1314" t="str">
        <f t="shared" si="205"/>
        <v/>
      </c>
      <c r="DR85" s="1314" t="str">
        <f t="shared" si="206"/>
        <v/>
      </c>
      <c r="DS85" s="1314" t="str">
        <f t="shared" si="207"/>
        <v/>
      </c>
      <c r="DT85" s="1314" t="str">
        <f t="shared" si="173"/>
        <v/>
      </c>
      <c r="DU85" s="1314"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1"/>
      <c r="AA86" s="1141"/>
      <c r="AB86" s="1141"/>
    </row>
    <row r="87" spans="1:238" ht="12.6" hidden="1" customHeight="1" x14ac:dyDescent="0.25">
      <c r="A87" s="1215" t="str">
        <f>IF(ISBLANK(CB87),"",CB87)</f>
        <v/>
      </c>
      <c r="B87" s="1679" t="str">
        <f t="shared" ref="B87" si="220">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selectLockedCells="1"/>
  <mergeCells count="392">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EO50:EO53"/>
    <mergeCell ref="EP50:EP53"/>
    <mergeCell ref="DV52:DW52"/>
    <mergeCell ref="DX52:DY52"/>
    <mergeCell ref="EM50:EM53"/>
    <mergeCell ref="EJ50:EJ53"/>
    <mergeCell ref="EI50:EI53"/>
    <mergeCell ref="EA52:EA53"/>
    <mergeCell ref="EE50:EE53"/>
    <mergeCell ref="DZ52:DZ53"/>
    <mergeCell ref="ED50:ED53"/>
    <mergeCell ref="EB52:EB53"/>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387" priority="296">
      <formula>AND(NOT($BK28),NOT($BR28))</formula>
    </cfRule>
  </conditionalFormatting>
  <conditionalFormatting sqref="DM54:DM85 DT54:DT85">
    <cfRule type="cellIs" dxfId="1386" priority="500" stopIfTrue="1" operator="notEqual">
      <formula>DN54</formula>
    </cfRule>
  </conditionalFormatting>
  <conditionalFormatting sqref="DD28:DD45">
    <cfRule type="cellIs" dxfId="1385" priority="513" operator="greaterThan">
      <formula>EY68</formula>
    </cfRule>
    <cfRule type="expression" dxfId="1384" priority="514">
      <formula>AND(ISBLANK(DD28),EY68&gt;0)</formula>
    </cfRule>
  </conditionalFormatting>
  <conditionalFormatting sqref="DE28:DE45">
    <cfRule type="cellIs" dxfId="1383" priority="515" operator="lessThan">
      <formula>EX68</formula>
    </cfRule>
    <cfRule type="expression" dxfId="1382" priority="516">
      <formula>AND(ISBLANK(DE28),EX68&lt;&gt;"")</formula>
    </cfRule>
  </conditionalFormatting>
  <conditionalFormatting sqref="A28:B45">
    <cfRule type="expression" dxfId="1381" priority="518">
      <formula>AND(NOT($BK$1),$B28=0,OR($BJ$1="",$BJ$1="M"))</formula>
    </cfRule>
  </conditionalFormatting>
  <conditionalFormatting sqref="FQ54:FR85">
    <cfRule type="cellIs" dxfId="1380" priority="593" stopIfTrue="1" operator="lessThan">
      <formula>0</formula>
    </cfRule>
  </conditionalFormatting>
  <conditionalFormatting sqref="DI14">
    <cfRule type="expression" dxfId="1379" priority="520">
      <formula>UPPER(#REF!)="X"</formula>
    </cfRule>
  </conditionalFormatting>
  <conditionalFormatting sqref="DJ14">
    <cfRule type="expression" dxfId="1378" priority="521">
      <formula>OR(UPPER(#REF!)="X",UPPER(#REF!="X"))</formula>
    </cfRule>
  </conditionalFormatting>
  <conditionalFormatting sqref="DK14">
    <cfRule type="expression" dxfId="1377" priority="550">
      <formula>OR(UPPER(#REF!)="X",UPPER(#REF!="X"))</formula>
    </cfRule>
  </conditionalFormatting>
  <conditionalFormatting sqref="Q2:T4 AU2:AX4">
    <cfRule type="cellIs" dxfId="1376" priority="597" stopIfTrue="1" operator="equal">
      <formula>""</formula>
    </cfRule>
  </conditionalFormatting>
  <conditionalFormatting sqref="M7">
    <cfRule type="expression" dxfId="1375" priority="598" stopIfTrue="1">
      <formula>OR(ISBLANK($M$7),$M$7="")</formula>
    </cfRule>
    <cfRule type="expression" dxfId="1374" priority="599" stopIfTrue="1">
      <formula>NOT(OR(COUNTIF(masterFinishList, $M$7) &gt; 0, COUNTIF($M$7, "Other:*") &gt; 0))</formula>
    </cfRule>
  </conditionalFormatting>
  <conditionalFormatting sqref="DA20">
    <cfRule type="expression" dxfId="1373" priority="600" stopIfTrue="1">
      <formula>NOT(ISBLANK($DA$20))</formula>
    </cfRule>
  </conditionalFormatting>
  <conditionalFormatting sqref="C28:C45">
    <cfRule type="expression" dxfId="1372" priority="123">
      <formula>AND(NOT($BK28),NOT(BR28))</formula>
    </cfRule>
  </conditionalFormatting>
  <conditionalFormatting sqref="U28:U45">
    <cfRule type="expression" dxfId="1371" priority="143">
      <formula>AND(NOT($BK28),BV28="No")</formula>
    </cfRule>
  </conditionalFormatting>
  <conditionalFormatting sqref="V28:V45">
    <cfRule type="expression" dxfId="1370" priority="293">
      <formula>AND(NOT($BK28),BV28="No")</formula>
    </cfRule>
  </conditionalFormatting>
  <conditionalFormatting sqref="S28:S45">
    <cfRule type="expression" dxfId="1369" priority="119">
      <formula>AND(NOT($BK28),BT28="No")</formula>
    </cfRule>
  </conditionalFormatting>
  <conditionalFormatting sqref="T28:T45">
    <cfRule type="expression" dxfId="1368" priority="120">
      <formula>AND(NOT($BK28),BT28="No")</formula>
    </cfRule>
  </conditionalFormatting>
  <conditionalFormatting sqref="W28:W45">
    <cfRule type="expression" dxfId="1367" priority="36">
      <formula>$W28=0</formula>
    </cfRule>
  </conditionalFormatting>
  <conditionalFormatting sqref="DI15:DI45">
    <cfRule type="expression" dxfId="1366" priority="579">
      <formula>FM54="X"</formula>
    </cfRule>
  </conditionalFormatting>
  <conditionalFormatting sqref="DJ15:DJ45">
    <cfRule type="expression" dxfId="1365" priority="594">
      <formula>FM54="X"</formula>
    </cfRule>
  </conditionalFormatting>
  <conditionalFormatting sqref="DK15:DK45">
    <cfRule type="expression" dxfId="1364" priority="595">
      <formula>FM54="X"</formula>
    </cfRule>
  </conditionalFormatting>
  <conditionalFormatting sqref="DH14:DH45">
    <cfRule type="expression" dxfId="1363" priority="15">
      <formula>NOT($FQ14)</formula>
    </cfRule>
    <cfRule type="expression" dxfId="1362" priority="596">
      <formula>FJ54="G"</formula>
    </cfRule>
  </conditionalFormatting>
  <conditionalFormatting sqref="DT14:DU45">
    <cfRule type="expression" dxfId="1361" priority="977">
      <formula>GD54=0</formula>
    </cfRule>
  </conditionalFormatting>
  <conditionalFormatting sqref="AR87:AS87 AR14:AS45">
    <cfRule type="expression" dxfId="1360" priority="979">
      <formula>AND(NOT($BZ14),$FF54)</formula>
    </cfRule>
  </conditionalFormatting>
  <conditionalFormatting sqref="AV87:AW87 AV14:AW45">
    <cfRule type="expression" dxfId="1359" priority="980">
      <formula>AND(NOT($BZ14),$FG54)</formula>
    </cfRule>
  </conditionalFormatting>
  <conditionalFormatting sqref="AZ87:BA87 AZ14:BA45">
    <cfRule type="expression" dxfId="1358" priority="981">
      <formula>AND(NOT($BZ14),$FH54)</formula>
    </cfRule>
  </conditionalFormatting>
  <conditionalFormatting sqref="BD87:BE87 BD14:BE45">
    <cfRule type="expression" dxfId="1357" priority="982">
      <formula>AND(NOT($BZ14),$FI54)</formula>
    </cfRule>
  </conditionalFormatting>
  <conditionalFormatting sqref="DW14:DW45">
    <cfRule type="expression" dxfId="1356" priority="986">
      <formula>FF54</formula>
    </cfRule>
  </conditionalFormatting>
  <conditionalFormatting sqref="EA14:EA45">
    <cfRule type="expression" dxfId="1355" priority="987">
      <formula>FG54</formula>
    </cfRule>
  </conditionalFormatting>
  <conditionalFormatting sqref="EE14:EE45">
    <cfRule type="expression" dxfId="1354" priority="988">
      <formula>FH54</formula>
    </cfRule>
  </conditionalFormatting>
  <conditionalFormatting sqref="EI14:EI45">
    <cfRule type="expression" dxfId="1353" priority="989">
      <formula>FI54</formula>
    </cfRule>
  </conditionalFormatting>
  <conditionalFormatting sqref="AD87:AE87 DJ14:DK45 AD14:AE45">
    <cfRule type="expression" dxfId="1352" priority="1005">
      <formula>AND(NOT($BZ14),FIND("A",$GK54))</formula>
    </cfRule>
  </conditionalFormatting>
  <conditionalFormatting sqref="AI87:AJ87 DM14:DN45 AI14:AJ45">
    <cfRule type="expression" dxfId="1351" priority="1006">
      <formula>AND(NOT($BZ14),FIND("B",$GK54))</formula>
    </cfRule>
  </conditionalFormatting>
  <conditionalFormatting sqref="DL14:DL45">
    <cfRule type="expression" dxfId="1350" priority="4">
      <formula>AND(NOT(ISBLANK($DH14)),ISBLANK($DL14))</formula>
    </cfRule>
    <cfRule type="expression" dxfId="1349" priority="88">
      <formula>FIND("B",$GK54)</formula>
    </cfRule>
  </conditionalFormatting>
  <conditionalFormatting sqref="DI14:DI45">
    <cfRule type="expression" dxfId="1348" priority="1013">
      <formula>NOT($EY14)</formula>
    </cfRule>
  </conditionalFormatting>
  <conditionalFormatting sqref="AC14:AC45">
    <cfRule type="expression" dxfId="1347" priority="1020">
      <formula>AND(NOT($BZ14),NOT($EY14))</formula>
    </cfRule>
  </conditionalFormatting>
  <conditionalFormatting sqref="AM14:AM45">
    <cfRule type="expression" dxfId="1346" priority="83">
      <formula>AND(NOT($BZ14),AM14&lt;&gt;EZ14)</formula>
    </cfRule>
  </conditionalFormatting>
  <conditionalFormatting sqref="DQ14:DQ45">
    <cfRule type="expression" dxfId="1345" priority="82">
      <formula>DQ14&lt;&gt;EZ14</formula>
    </cfRule>
  </conditionalFormatting>
  <conditionalFormatting sqref="DB28:DC45">
    <cfRule type="expression" dxfId="1344" priority="81">
      <formula>AND(NOT($BK28),LEN($Z28)&gt;27)</formula>
    </cfRule>
  </conditionalFormatting>
  <conditionalFormatting sqref="FF14:FF45">
    <cfRule type="expression" dxfId="1343" priority="89">
      <formula>$FC14=0</formula>
    </cfRule>
  </conditionalFormatting>
  <conditionalFormatting sqref="AD14:AJ45">
    <cfRule type="expression" dxfId="1342" priority="80">
      <formula>AND(NOT($BZ14),NOT($FA14))</formula>
    </cfRule>
  </conditionalFormatting>
  <conditionalFormatting sqref="A87">
    <cfRule type="expression" dxfId="1341" priority="27" stopIfTrue="1">
      <formula>AND(NOT($BK$1),$B87=0,OR($BJ$1="",$BJ$1="M"))</formula>
    </cfRule>
  </conditionalFormatting>
  <conditionalFormatting sqref="C87">
    <cfRule type="expression" dxfId="1340" priority="24" stopIfTrue="1">
      <formula>AND(NOT($BK87),NOT(BR87))</formula>
    </cfRule>
  </conditionalFormatting>
  <conditionalFormatting sqref="U87">
    <cfRule type="expression" dxfId="1339" priority="25" stopIfTrue="1">
      <formula>AND(NOT($BK87),BV87="No")</formula>
    </cfRule>
  </conditionalFormatting>
  <conditionalFormatting sqref="V87">
    <cfRule type="expression" dxfId="1338" priority="26" stopIfTrue="1">
      <formula>AND(NOT($BK87),BV87="No")</formula>
    </cfRule>
  </conditionalFormatting>
  <conditionalFormatting sqref="S87">
    <cfRule type="expression" dxfId="1337" priority="22" stopIfTrue="1">
      <formula>AND(NOT($BK87),BT87="No")</formula>
    </cfRule>
  </conditionalFormatting>
  <conditionalFormatting sqref="T87">
    <cfRule type="expression" dxfId="1336" priority="23" stopIfTrue="1">
      <formula>AND(NOT($BK87),BT87="No")</formula>
    </cfRule>
  </conditionalFormatting>
  <conditionalFormatting sqref="W87">
    <cfRule type="expression" dxfId="1335" priority="16">
      <formula>$W87=0</formula>
    </cfRule>
  </conditionalFormatting>
  <conditionalFormatting sqref="AC87">
    <cfRule type="expression" dxfId="1334" priority="34">
      <formula>AND(NOT($BZ87),NOT($EY87))</formula>
    </cfRule>
  </conditionalFormatting>
  <conditionalFormatting sqref="AM87">
    <cfRule type="expression" dxfId="1333" priority="21">
      <formula>AND(NOT($BZ87),AM87&lt;&gt;EZ87)</formula>
    </cfRule>
  </conditionalFormatting>
  <conditionalFormatting sqref="AD87:AJ87">
    <cfRule type="expression" dxfId="1332" priority="20">
      <formula>AND(NOT($BZ87),NOT($FA87))</formula>
    </cfRule>
  </conditionalFormatting>
  <conditionalFormatting sqref="A87 CB28:DA45 C87:AA87">
    <cfRule type="expression" dxfId="1331" priority="17">
      <formula>$FN28</formula>
    </cfRule>
  </conditionalFormatting>
  <conditionalFormatting sqref="AB87:BG87">
    <cfRule type="expression" dxfId="1330" priority="19">
      <formula>$CA87</formula>
    </cfRule>
  </conditionalFormatting>
  <conditionalFormatting sqref="Z87">
    <cfRule type="expression" dxfId="1329" priority="18">
      <formula>AND(NOT($BK87),LEN($Z87)&gt;27)</formula>
    </cfRule>
  </conditionalFormatting>
  <conditionalFormatting sqref="DH14:EK45 AB14:BG45">
    <cfRule type="expression" dxfId="1328" priority="1208">
      <formula>$FP14</formula>
    </cfRule>
  </conditionalFormatting>
  <conditionalFormatting sqref="A28:Y45 AA28:AA45">
    <cfRule type="expression" dxfId="1327" priority="1215">
      <formula>$FN28</formula>
    </cfRule>
  </conditionalFormatting>
  <conditionalFormatting sqref="CB28:CB45">
    <cfRule type="expression" dxfId="1326" priority="5">
      <formula>NOT($FO28)</formula>
    </cfRule>
  </conditionalFormatting>
  <conditionalFormatting sqref="A28:A45">
    <cfRule type="expression" dxfId="1325" priority="13">
      <formula>NOT($FO28)</formula>
    </cfRule>
  </conditionalFormatting>
  <conditionalFormatting sqref="AB14:AB45">
    <cfRule type="expression" dxfId="1324" priority="12">
      <formula>NOT($FQ14)</formula>
    </cfRule>
  </conditionalFormatting>
  <conditionalFormatting sqref="Z28:Z45">
    <cfRule type="expression" dxfId="1323" priority="7">
      <formula>$FN28</formula>
    </cfRule>
  </conditionalFormatting>
  <conditionalFormatting sqref="Z28:Z45">
    <cfRule type="expression" dxfId="1322" priority="8">
      <formula>AND(NOT($BK28),LEN($Z28)&gt;27)</formula>
    </cfRule>
  </conditionalFormatting>
  <conditionalFormatting sqref="GA28:GB45">
    <cfRule type="expression" dxfId="1321" priority="6" stopIfTrue="1">
      <formula>$GM28&gt;=0.125</formula>
    </cfRule>
  </conditionalFormatting>
  <conditionalFormatting sqref="CB28:CC45">
    <cfRule type="expression" dxfId="1320" priority="14">
      <formula>AND(NOT($BK$1),$B28=0,OR($BJ$1="",$BJ$1="M"))</formula>
    </cfRule>
  </conditionalFormatting>
  <conditionalFormatting sqref="DB28:DE45">
    <cfRule type="expression" dxfId="1319" priority="1621">
      <formula>$FN28</formula>
    </cfRule>
  </conditionalFormatting>
  <conditionalFormatting sqref="CJ28:CJ45">
    <cfRule type="expression" dxfId="1318" priority="1641">
      <formula>AND(NOT($BK28),OR($CC68="M",$CC68="C",$CC68="G"))</formula>
    </cfRule>
    <cfRule type="expression" dxfId="1317" priority="1642">
      <formula>AND(NOT($BK28),AND(OR($CC68="B",$CC68="G"),CJ28="",CK28=""))</formula>
    </cfRule>
    <cfRule type="expression" dxfId="1316" priority="1643">
      <formula>AND(NOT($BK28),EG68="ERR")</formula>
    </cfRule>
  </conditionalFormatting>
  <conditionalFormatting sqref="CK28:CK45">
    <cfRule type="expression" dxfId="1315" priority="1644">
      <formula>AND(NOT($BK28),OR($CC68="M",$CC68="C",$CC68="G"))</formula>
    </cfRule>
    <cfRule type="expression" dxfId="1314" priority="1645">
      <formula>AND(NOT($BK28),AND(OR($CC68="B",$CC68="G"),CJ28="",CK28=""))</formula>
    </cfRule>
    <cfRule type="expression" dxfId="1313" priority="1646">
      <formula>AND(NOT($BK28),EG68="ERR")</formula>
    </cfRule>
  </conditionalFormatting>
  <conditionalFormatting sqref="CH28:CH45">
    <cfRule type="expression" dxfId="1312" priority="1655">
      <formula>AND(NOT($BK28),OR($CC68="M",$CC68="C"))</formula>
    </cfRule>
    <cfRule type="expression" dxfId="1311" priority="1656">
      <formula>AND(NOT($BK28),AND(CH28="",CI28="",OR($CC68="B",$CC68="G")))</formula>
    </cfRule>
    <cfRule type="expression" dxfId="1310" priority="1657">
      <formula>AND(NOT($BK28),(CH28/2)/COS(RADIANS(CL28))+CD68-DC68&lt;$FB$4)</formula>
    </cfRule>
  </conditionalFormatting>
  <conditionalFormatting sqref="CI28:CI45">
    <cfRule type="expression" dxfId="1309" priority="1658">
      <formula>AND(NOT($BK28),OR($CC68="M",$CC68="C"))</formula>
    </cfRule>
    <cfRule type="expression" dxfId="1308" priority="1659">
      <formula>AND(NOT($BK28),AND(CH28="",CI28="",OR($CC68="B",$CC68="G")))</formula>
    </cfRule>
    <cfRule type="expression" dxfId="1307" priority="1660">
      <formula>AND(NOT($BK28),(CI28/2)/COS(RADIANS(CL28))+CD68-DC68&lt;$FB$4)</formula>
    </cfRule>
  </conditionalFormatting>
  <conditionalFormatting sqref="CT28:CT45">
    <cfRule type="expression" dxfId="1306" priority="1679">
      <formula>AND(NOT($BK28),OR($CL68="M",$CL68="C",$CL68="G"))</formula>
    </cfRule>
    <cfRule type="expression" dxfId="1305" priority="1680">
      <formula>AND(NOT($BK28),AND(OR($CL68="B",$CL68="G"),CT28="",CU28=""))</formula>
    </cfRule>
    <cfRule type="expression" dxfId="1304" priority="1681">
      <formula>AND(NOT($BK28),EJ68="ERR")</formula>
    </cfRule>
  </conditionalFormatting>
  <conditionalFormatting sqref="CU28:CU45">
    <cfRule type="expression" dxfId="1303" priority="1682">
      <formula>AND(NOT($BK28),OR($CL68="M",$CL68="C",$CL68="G"))</formula>
    </cfRule>
    <cfRule type="expression" dxfId="1302" priority="1683">
      <formula>AND(NOT($BK28),AND(OR($CL68="B",$CL68="G"),CT28="",CU28=""))</formula>
    </cfRule>
    <cfRule type="expression" dxfId="1301" priority="1684">
      <formula>AND(NOT($BK28),EJ68="ERR")</formula>
    </cfRule>
  </conditionalFormatting>
  <conditionalFormatting sqref="CR28:CR45">
    <cfRule type="expression" dxfId="1300" priority="1687">
      <formula>AND(NOT($BK28),OR($CL68="M",$CL68="C"))</formula>
    </cfRule>
    <cfRule type="expression" dxfId="1299" priority="1688">
      <formula>AND(NOT($BK28),AND(CR28="",CS28="",OR($CL68="B",$CL68="G")))</formula>
    </cfRule>
    <cfRule type="expression" dxfId="1298" priority="1689">
      <formula>AND(NOT($BK28),(CR28/2)/COS(RADIANS(CV28))+CM68-DI68&lt;$FB$4)</formula>
    </cfRule>
  </conditionalFormatting>
  <conditionalFormatting sqref="CS28:CS45">
    <cfRule type="expression" dxfId="1297" priority="1690">
      <formula>AND(NOT($BK28),OR($CL68="M",$CL68="C"))</formula>
    </cfRule>
    <cfRule type="expression" dxfId="1296" priority="1691">
      <formula>AND(NOT($BK28),AND(CR28="",CS28="",OR($CL68="B",$CL68="G")))</formula>
    </cfRule>
    <cfRule type="expression" dxfId="1295" priority="1692">
      <formula>AND(NOT($BK28),(CS28/2)/COS(RADIANS(CV28))+CM68-DI68&lt;$FB$4)</formula>
    </cfRule>
  </conditionalFormatting>
  <conditionalFormatting sqref="CW28:CW45 CM28:CM45">
    <cfRule type="expression" dxfId="1294" priority="1716">
      <formula>AND(NOT($BK28),AND(ISBLANK(CM28),AND(NOT(ISBLANK(CL28)),$DA28&lt;&gt;0)))</formula>
    </cfRule>
  </conditionalFormatting>
  <conditionalFormatting sqref="CO28:CO45">
    <cfRule type="expression" dxfId="1293" priority="1896">
      <formula>ET28&lt;&gt;""</formula>
    </cfRule>
  </conditionalFormatting>
  <conditionalFormatting sqref="CY28:CY45">
    <cfRule type="expression" dxfId="1292" priority="1897">
      <formula>EU28&lt;&gt;""</formula>
    </cfRule>
  </conditionalFormatting>
  <conditionalFormatting sqref="DC28:DC45">
    <cfRule type="expression" dxfId="1291" priority="1898">
      <formula>OR(EN28&lt;&gt;"",EO28&lt;&gt;"",EP28&lt;&gt;"",EQ28&lt;&gt;"",ER28&lt;&gt;"",ES28&lt;&gt;"",ET28&lt;&gt;"",EU28&lt;&gt;"")</formula>
    </cfRule>
  </conditionalFormatting>
  <conditionalFormatting sqref="CG28:CG45">
    <cfRule type="expression" dxfId="1290" priority="1899">
      <formula>AND(NOT($BK28),ISERROR(CC68))</formula>
    </cfRule>
    <cfRule type="expression" dxfId="1289" priority="1900">
      <formula>AND(NOT($BK28),OR(ISERROR(CC68),CC68="", ET28&lt;&gt;""))</formula>
    </cfRule>
  </conditionalFormatting>
  <conditionalFormatting sqref="CQ28:CQ45">
    <cfRule type="expression" dxfId="1288" priority="1901">
      <formula>AND(NOT($BK28),ISERROR(CL68))</formula>
    </cfRule>
    <cfRule type="expression" dxfId="1287" priority="1902">
      <formula>AND(NOT($BK28),OR(CL68="", EU28&lt;&gt;""))</formula>
    </cfRule>
  </conditionalFormatting>
  <conditionalFormatting sqref="GA48:GB48">
    <cfRule type="expression" dxfId="1286" priority="3" stopIfTrue="1">
      <formula>$GM48&gt;=0.125</formula>
    </cfRule>
  </conditionalFormatting>
  <conditionalFormatting sqref="B87">
    <cfRule type="expression" dxfId="1285" priority="1">
      <formula>AND(NOT($BK$1),$B87=0,OR($BJ$1="",$BJ$1="M"))</formula>
    </cfRule>
  </conditionalFormatting>
  <conditionalFormatting sqref="B87">
    <cfRule type="expression" dxfId="1284" priority="2">
      <formula>$FN87</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555A0D9-3A36-41DD-9BCA-A2162BC5FFE2}">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CB2" zoomScaleNormal="100" zoomScaleSheetLayoutView="75" workbookViewId="0">
      <selection activeCell="CB14" sqref="CB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1802" t="str">
        <f>Q1</f>
        <v>Master</v>
      </c>
      <c r="AV1" s="1802"/>
      <c r="AW1" s="1802"/>
      <c r="AX1" s="1802"/>
      <c r="AY1" s="382"/>
      <c r="AZ1" s="382"/>
      <c r="BA1" s="2117" t="s">
        <v>95</v>
      </c>
      <c r="BB1" s="2117"/>
      <c r="BC1" s="2117"/>
      <c r="BD1" s="1805" t="str">
        <f ca="1">'Job Info.'!D12</f>
        <v>775-428-0600</v>
      </c>
      <c r="BE1" s="1805"/>
      <c r="BF1" s="180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66" t="s">
        <v>1107</v>
      </c>
      <c r="FH3" s="2167"/>
      <c r="FI3" s="2168"/>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13" t="str">
        <f>Q4</f>
        <v/>
      </c>
      <c r="AV4" s="2261"/>
      <c r="AW4" s="2261"/>
      <c r="AX4" s="2262"/>
      <c r="AY4" s="382"/>
      <c r="AZ4" s="382"/>
      <c r="BA4" s="2117" t="s">
        <v>97</v>
      </c>
      <c r="BB4" s="2117"/>
      <c r="BC4" s="2117"/>
      <c r="BD4" s="1805" t="str">
        <f ca="1">'Job Info.'!D15</f>
        <v>775-867-2060</v>
      </c>
      <c r="BE4" s="1805"/>
      <c r="BF4" s="180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13"/>
      <c r="DB4" s="221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260"/>
      <c r="AD5" s="2260"/>
      <c r="AE5" s="2260"/>
      <c r="AF5" s="2260"/>
      <c r="AG5" s="2260"/>
      <c r="AH5" s="2260"/>
      <c r="AI5" s="2260"/>
      <c r="AJ5" s="2260"/>
      <c r="AK5" s="2260"/>
      <c r="AL5" s="2260"/>
      <c r="AM5" s="2260"/>
      <c r="AN5" s="2260"/>
      <c r="AO5" s="2260"/>
      <c r="AP5" s="2260"/>
      <c r="AQ5" s="2260"/>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3" t="s">
        <v>639</v>
      </c>
      <c r="DI6" s="2157"/>
      <c r="DJ6" s="2157"/>
      <c r="DK6" s="2157"/>
      <c r="DL6" s="2157"/>
      <c r="DM6" s="2157"/>
      <c r="DN6" s="2157"/>
      <c r="DO6" s="2157"/>
      <c r="DP6" s="2157"/>
      <c r="DQ6" s="2157"/>
      <c r="DR6" s="2157"/>
      <c r="DS6" s="2157"/>
      <c r="DT6" s="2157"/>
      <c r="DU6" s="2157"/>
      <c r="DV6" s="2157"/>
      <c r="DW6" s="2157"/>
      <c r="DX6" s="2157"/>
      <c r="DY6" s="2157"/>
      <c r="DZ6" s="2157"/>
      <c r="EA6" s="2157"/>
      <c r="EB6" s="2157"/>
      <c r="EC6" s="2157"/>
      <c r="ED6" s="2157"/>
      <c r="EE6" s="2157"/>
      <c r="EF6" s="2157"/>
      <c r="EG6" s="2157"/>
      <c r="EH6" s="2157"/>
      <c r="EI6" s="2157"/>
      <c r="EJ6" s="2157"/>
      <c r="EK6" s="2158"/>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125" t="s">
        <v>26</v>
      </c>
      <c r="L7" s="2134"/>
      <c r="M7" s="2128" t="str">
        <f>IF(ISBLANK(DA4),"",DA4)</f>
        <v/>
      </c>
      <c r="N7" s="1971"/>
      <c r="O7" s="1971"/>
      <c r="P7" s="1971"/>
      <c r="Q7" s="1971"/>
      <c r="R7" s="1971"/>
      <c r="S7" s="1971"/>
      <c r="T7"/>
      <c r="U7" s="1092"/>
      <c r="V7" s="2125" t="s">
        <v>21</v>
      </c>
      <c r="W7" s="2125"/>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 xml:space="preserve"> of 28</v>
      </c>
      <c r="BC7" s="658"/>
      <c r="BD7" s="658"/>
      <c r="BE7" s="374"/>
      <c r="BF7" s="374"/>
      <c r="BG7" s="374"/>
      <c r="BH7" s="261"/>
      <c r="BI7" s="1083"/>
      <c r="CA7" s="246"/>
      <c r="CB7" s="2155" t="s">
        <v>638</v>
      </c>
      <c r="CC7" s="2191"/>
      <c r="CD7" s="2191"/>
      <c r="CE7" s="2191"/>
      <c r="CF7" s="2191"/>
      <c r="CG7" s="2191"/>
      <c r="CH7" s="2191"/>
      <c r="CI7" s="2191"/>
      <c r="CJ7" s="2191"/>
      <c r="CK7" s="2191"/>
      <c r="CL7" s="2191"/>
      <c r="CM7" s="2191"/>
      <c r="CN7" s="2191"/>
      <c r="CO7" s="2191"/>
      <c r="CP7" s="2191"/>
      <c r="CQ7" s="2191"/>
      <c r="CR7" s="2191"/>
      <c r="CS7" s="2191"/>
      <c r="CT7" s="2191"/>
      <c r="CU7" s="2191"/>
      <c r="CV7" s="2191"/>
      <c r="CW7" s="2191"/>
      <c r="CX7" s="2191"/>
      <c r="CY7" s="2191"/>
      <c r="CZ7" s="2157"/>
      <c r="DA7" s="2157"/>
      <c r="DB7" s="2157"/>
      <c r="DC7" s="2157"/>
      <c r="DD7" s="2157"/>
      <c r="DE7" s="2158"/>
      <c r="DF7" s="244"/>
      <c r="DG7" s="244"/>
      <c r="DH7" s="2234"/>
      <c r="DI7" s="1971"/>
      <c r="DJ7" s="1971"/>
      <c r="DK7" s="1971"/>
      <c r="DL7" s="1971"/>
      <c r="DM7" s="1971"/>
      <c r="DN7" s="1971"/>
      <c r="DO7" s="1971"/>
      <c r="DP7" s="1971"/>
      <c r="DQ7" s="1971"/>
      <c r="DR7" s="1971"/>
      <c r="DS7" s="1971"/>
      <c r="DT7" s="1971"/>
      <c r="DU7" s="1971"/>
      <c r="DV7" s="1971"/>
      <c r="DW7" s="1971"/>
      <c r="DX7" s="1971"/>
      <c r="DY7" s="1971"/>
      <c r="DZ7" s="1971"/>
      <c r="EA7" s="1971"/>
      <c r="EB7" s="1971"/>
      <c r="EC7" s="1971"/>
      <c r="ED7" s="1971"/>
      <c r="EE7" s="1971"/>
      <c r="EF7" s="1971"/>
      <c r="EG7" s="1971"/>
      <c r="EH7" s="1971"/>
      <c r="EI7" s="1971"/>
      <c r="EJ7" s="1971"/>
      <c r="EK7" s="2161"/>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57"/>
      <c r="B8" s="2257"/>
      <c r="C8" s="2257"/>
      <c r="D8" s="2257"/>
      <c r="E8" s="2257"/>
      <c r="F8" s="2257"/>
      <c r="G8" s="2257"/>
      <c r="H8" s="2257"/>
      <c r="I8" s="2257"/>
      <c r="J8" s="2257"/>
      <c r="K8" s="2257"/>
      <c r="L8" s="2257"/>
      <c r="M8" s="2257"/>
      <c r="N8" s="2257"/>
      <c r="O8" s="2257"/>
      <c r="P8" s="2257"/>
      <c r="Q8" s="2257"/>
      <c r="R8" s="2257"/>
      <c r="S8" s="2257"/>
      <c r="T8" s="2257"/>
      <c r="U8" s="2257"/>
      <c r="V8" s="2257"/>
      <c r="W8" s="2257"/>
      <c r="X8" s="2257"/>
      <c r="Y8" s="2257"/>
      <c r="Z8" s="2257"/>
      <c r="AA8" s="2257"/>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BI8" s="245"/>
      <c r="CA8" s="246"/>
      <c r="CB8" s="2193"/>
      <c r="CC8" s="2194"/>
      <c r="CD8" s="2194"/>
      <c r="CE8" s="2194"/>
      <c r="CF8" s="2194"/>
      <c r="CG8" s="2194"/>
      <c r="CH8" s="2194"/>
      <c r="CI8" s="2194"/>
      <c r="CJ8" s="2194"/>
      <c r="CK8" s="2194"/>
      <c r="CL8" s="2194"/>
      <c r="CM8" s="2194"/>
      <c r="CN8" s="2194"/>
      <c r="CO8" s="2194"/>
      <c r="CP8" s="2194"/>
      <c r="CQ8" s="2194"/>
      <c r="CR8" s="2194"/>
      <c r="CS8" s="2194"/>
      <c r="CT8" s="2194"/>
      <c r="CU8" s="2194"/>
      <c r="CV8" s="2194"/>
      <c r="CW8" s="2194"/>
      <c r="CX8" s="2194"/>
      <c r="CY8" s="2194"/>
      <c r="CZ8" s="1971"/>
      <c r="DA8" s="1971"/>
      <c r="DB8" s="1971"/>
      <c r="DC8" s="1971"/>
      <c r="DD8" s="1971"/>
      <c r="DE8" s="2161"/>
      <c r="DF8" s="141"/>
      <c r="DG8" s="141"/>
      <c r="DH8" s="2264"/>
      <c r="DI8" s="2231"/>
      <c r="DJ8" s="2231"/>
      <c r="DK8" s="2231"/>
      <c r="DL8" s="2231"/>
      <c r="DM8" s="2231"/>
      <c r="DN8" s="2231"/>
      <c r="DO8" s="2231"/>
      <c r="DP8" s="2231"/>
      <c r="DQ8" s="2231"/>
      <c r="DR8" s="2231"/>
      <c r="DS8" s="2231"/>
      <c r="DT8" s="2231"/>
      <c r="DU8" s="2231"/>
      <c r="DV8" s="2231"/>
      <c r="DW8" s="2231"/>
      <c r="DX8" s="2231"/>
      <c r="DY8" s="2231"/>
      <c r="DZ8" s="2231"/>
      <c r="EA8" s="2231"/>
      <c r="EB8" s="2231"/>
      <c r="EC8" s="2231"/>
      <c r="ED8" s="2231"/>
      <c r="EE8" s="2231"/>
      <c r="EF8" s="2231"/>
      <c r="EG8" s="2231"/>
      <c r="EH8" s="2231"/>
      <c r="EI8" s="2231"/>
      <c r="EJ8" s="2231"/>
      <c r="EK8" s="2232"/>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258"/>
      <c r="AD9" s="2259"/>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7" t="str">
        <f>T9</f>
        <v>9122-0050</v>
      </c>
      <c r="AY9" s="2119"/>
      <c r="AZ9" s="2119"/>
      <c r="BA9" s="2119"/>
      <c r="BB9" s="2119"/>
      <c r="BC9" s="2119"/>
      <c r="BD9" s="2119"/>
      <c r="BE9" s="2119"/>
      <c r="BF9" s="2119"/>
      <c r="BG9" s="2119"/>
      <c r="BH9" s="1417"/>
      <c r="BI9" s="245"/>
      <c r="CA9" s="246"/>
      <c r="CB9" s="2193"/>
      <c r="CC9" s="2194"/>
      <c r="CD9" s="2194"/>
      <c r="CE9" s="2194"/>
      <c r="CF9" s="2194"/>
      <c r="CG9" s="2194"/>
      <c r="CH9" s="2194"/>
      <c r="CI9" s="2194"/>
      <c r="CJ9" s="2194"/>
      <c r="CK9" s="2194"/>
      <c r="CL9" s="2194"/>
      <c r="CM9" s="2194"/>
      <c r="CN9" s="2194"/>
      <c r="CO9" s="2194"/>
      <c r="CP9" s="2194"/>
      <c r="CQ9" s="2194"/>
      <c r="CR9" s="2194"/>
      <c r="CS9" s="2194"/>
      <c r="CT9" s="2194"/>
      <c r="CU9" s="2194"/>
      <c r="CV9" s="2194"/>
      <c r="CW9" s="2194"/>
      <c r="CX9" s="2194"/>
      <c r="CY9" s="2194"/>
      <c r="CZ9" s="1971"/>
      <c r="DA9" s="1971"/>
      <c r="DB9" s="1971"/>
      <c r="DC9" s="1971"/>
      <c r="DD9" s="1971"/>
      <c r="DE9" s="2161"/>
      <c r="DF9" s="141"/>
      <c r="DG9" s="141"/>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924"/>
      <c r="EP9" s="927"/>
      <c r="EQ9" s="241"/>
      <c r="ER9" s="241"/>
      <c r="ES9" s="241"/>
      <c r="ET9" s="2098" t="s">
        <v>615</v>
      </c>
      <c r="EU9" s="2243"/>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258"/>
      <c r="AD10" s="2259"/>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7" t="str">
        <f>Z10</f>
        <v>NR</v>
      </c>
      <c r="BF10" s="2119"/>
      <c r="BG10" s="2119"/>
      <c r="BH10" s="1417"/>
      <c r="BI10" s="245"/>
      <c r="CA10" s="246"/>
      <c r="CB10" s="2219"/>
      <c r="CC10" s="1971"/>
      <c r="CD10" s="1971"/>
      <c r="CE10" s="1971"/>
      <c r="CF10" s="2161"/>
      <c r="CG10" s="2215" t="s">
        <v>469</v>
      </c>
      <c r="CH10" s="2216"/>
      <c r="CI10" s="2216"/>
      <c r="CJ10" s="2216"/>
      <c r="CK10" s="2216"/>
      <c r="CL10" s="2216"/>
      <c r="CM10" s="2216"/>
      <c r="CN10" s="2157"/>
      <c r="CO10" s="2157"/>
      <c r="CP10" s="2158"/>
      <c r="CQ10" s="2215" t="s">
        <v>470</v>
      </c>
      <c r="CR10" s="2216"/>
      <c r="CS10" s="2216"/>
      <c r="CT10" s="2216"/>
      <c r="CU10" s="2216"/>
      <c r="CV10" s="2216"/>
      <c r="CW10" s="2216"/>
      <c r="CX10" s="2157"/>
      <c r="CY10" s="2157"/>
      <c r="CZ10" s="2158"/>
      <c r="DA10" s="2283"/>
      <c r="DB10" s="2238"/>
      <c r="DC10" s="2238"/>
      <c r="DD10" s="2238"/>
      <c r="DE10" s="2239"/>
      <c r="DF10" s="141"/>
      <c r="DG10" s="1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241"/>
      <c r="EO10" s="241"/>
      <c r="EP10" s="241"/>
      <c r="EQ10" s="241"/>
      <c r="ER10" s="241"/>
      <c r="ES10" s="241"/>
      <c r="ET10" s="2244"/>
      <c r="EU10" s="2245"/>
      <c r="FW10" s="245"/>
      <c r="FX10" s="245"/>
      <c r="FY10" s="245"/>
      <c r="FZ10" s="245"/>
      <c r="GA10" s="1970" t="s">
        <v>1140</v>
      </c>
      <c r="GB10" s="2280"/>
      <c r="GC10" s="2280"/>
      <c r="GD10" s="2280"/>
      <c r="GE10" s="2280"/>
      <c r="GF10" s="2280"/>
      <c r="GG10" s="1971"/>
      <c r="GH10" s="1971"/>
      <c r="GI10" s="1971"/>
      <c r="GJ10" s="1971"/>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0"/>
      <c r="CC11" s="2221"/>
      <c r="CD11" s="2221"/>
      <c r="CE11" s="2221"/>
      <c r="CF11" s="2222"/>
      <c r="CG11" s="2217"/>
      <c r="CH11" s="2218"/>
      <c r="CI11" s="2218"/>
      <c r="CJ11" s="2218"/>
      <c r="CK11" s="2218"/>
      <c r="CL11" s="2218"/>
      <c r="CM11" s="2218"/>
      <c r="CN11" s="1971"/>
      <c r="CO11" s="1971"/>
      <c r="CP11" s="2161"/>
      <c r="CQ11" s="2229"/>
      <c r="CR11" s="2230"/>
      <c r="CS11" s="2230"/>
      <c r="CT11" s="2230"/>
      <c r="CU11" s="2230"/>
      <c r="CV11" s="2230"/>
      <c r="CW11" s="2230"/>
      <c r="CX11" s="2231"/>
      <c r="CY11" s="2231"/>
      <c r="CZ11" s="2232"/>
      <c r="DA11" s="1577"/>
      <c r="DB11" s="2233"/>
      <c r="DC11" s="2158"/>
      <c r="DD11" s="2235"/>
      <c r="DE11" s="2236"/>
      <c r="DF11" s="141"/>
      <c r="DG11" s="141"/>
      <c r="DH11" s="2173"/>
      <c r="DI11" s="2241"/>
      <c r="DJ11" s="1971"/>
      <c r="DK11" s="1971"/>
      <c r="DL11" s="1971"/>
      <c r="DM11" s="1971"/>
      <c r="DN11" s="2242"/>
      <c r="DO11" s="2170"/>
      <c r="DP11" s="2284"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241"/>
      <c r="ES11" s="241"/>
      <c r="ET11" s="2244"/>
      <c r="EU11" s="2245"/>
      <c r="FW11" s="2"/>
      <c r="FX11" s="2"/>
      <c r="FY11" s="2"/>
      <c r="FZ11" s="2"/>
      <c r="GA11" s="2281"/>
      <c r="GB11" s="2281"/>
      <c r="GC11" s="2281"/>
      <c r="GD11" s="2281"/>
      <c r="GE11" s="2281"/>
      <c r="GF11" s="2281"/>
      <c r="GG11" s="2221"/>
      <c r="GH11" s="2221"/>
      <c r="GI11" s="2221"/>
      <c r="GJ11" s="2221"/>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1934" t="s">
        <v>40</v>
      </c>
      <c r="B12" s="1935" t="s">
        <v>130</v>
      </c>
      <c r="C12" s="1935" t="s">
        <v>31</v>
      </c>
      <c r="D12" s="1935" t="s">
        <v>25</v>
      </c>
      <c r="E12" s="1936"/>
      <c r="F12" s="1937" t="s">
        <v>88</v>
      </c>
      <c r="G12" s="1910" t="s">
        <v>9</v>
      </c>
      <c r="H12" s="1908"/>
      <c r="I12" s="1908"/>
      <c r="J12" s="1908" t="s">
        <v>10</v>
      </c>
      <c r="K12" s="1908"/>
      <c r="L12" s="1911"/>
      <c r="M12" s="1938" t="s">
        <v>11</v>
      </c>
      <c r="N12" s="1939"/>
      <c r="O12" s="1940" t="s">
        <v>12</v>
      </c>
      <c r="P12" s="1905"/>
      <c r="Q12" s="1905" t="s">
        <v>13</v>
      </c>
      <c r="R12" s="1906"/>
      <c r="S12" s="1907" t="s">
        <v>14</v>
      </c>
      <c r="T12" s="1908"/>
      <c r="U12" s="1908"/>
      <c r="V12" s="1908"/>
      <c r="W12" s="1909"/>
      <c r="X12" s="1910" t="s">
        <v>111</v>
      </c>
      <c r="Y12" s="1911"/>
      <c r="Z12" s="1117" t="s">
        <v>15</v>
      </c>
      <c r="AA12" s="2255" t="s">
        <v>939</v>
      </c>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267" t="s">
        <v>82</v>
      </c>
      <c r="AS12" s="2268"/>
      <c r="AT12" s="2268"/>
      <c r="AU12" s="2268"/>
      <c r="AV12" s="2268"/>
      <c r="AW12" s="2268"/>
      <c r="AX12" s="2268"/>
      <c r="AY12" s="2268"/>
      <c r="AZ12" s="2268"/>
      <c r="BA12" s="2268"/>
      <c r="BB12" s="2268"/>
      <c r="BC12" s="2268"/>
      <c r="BD12" s="2268"/>
      <c r="BE12" s="2268"/>
      <c r="BF12" s="2268"/>
      <c r="BG12" s="2268"/>
      <c r="BH12" s="1417"/>
      <c r="BJ12" s="117"/>
      <c r="BK12" s="117"/>
      <c r="BL12" s="117"/>
      <c r="BM12" s="117"/>
      <c r="BN12" s="117"/>
      <c r="BO12" s="117"/>
      <c r="BW12" s="2252" t="s">
        <v>630</v>
      </c>
      <c r="BX12" s="2253"/>
      <c r="BY12" s="2253"/>
      <c r="BZ12" s="2254"/>
      <c r="CA12" s="105"/>
      <c r="CB12" s="2079" t="s">
        <v>613</v>
      </c>
      <c r="CC12" s="2153" t="s">
        <v>130</v>
      </c>
      <c r="CD12" s="2081" t="s">
        <v>478</v>
      </c>
      <c r="CE12" s="2147" t="s">
        <v>1291</v>
      </c>
      <c r="CF12" s="2148"/>
      <c r="CG12" s="1943" t="s">
        <v>1292</v>
      </c>
      <c r="CH12" s="1945" t="s">
        <v>595</v>
      </c>
      <c r="CI12" s="1946"/>
      <c r="CJ12" s="1945" t="s">
        <v>596</v>
      </c>
      <c r="CK12" s="1946"/>
      <c r="CL12" s="1962" t="s">
        <v>488</v>
      </c>
      <c r="CM12" s="1964" t="s">
        <v>790</v>
      </c>
      <c r="CN12" s="2223" t="s">
        <v>1276</v>
      </c>
      <c r="CO12" s="2224"/>
      <c r="CP12" s="2225"/>
      <c r="CQ12" s="1949" t="s">
        <v>1292</v>
      </c>
      <c r="CR12" s="1951" t="s">
        <v>595</v>
      </c>
      <c r="CS12" s="1952"/>
      <c r="CT12" s="1951" t="s">
        <v>596</v>
      </c>
      <c r="CU12" s="1952"/>
      <c r="CV12" s="2151" t="s">
        <v>488</v>
      </c>
      <c r="CW12" s="1960" t="s">
        <v>790</v>
      </c>
      <c r="CX12" s="2226" t="s">
        <v>1276</v>
      </c>
      <c r="CY12" s="2227"/>
      <c r="CZ12" s="2228"/>
      <c r="DA12" s="1941" t="s">
        <v>806</v>
      </c>
      <c r="DB12" s="2234"/>
      <c r="DC12" s="2161"/>
      <c r="DD12" s="1957" t="s">
        <v>1284</v>
      </c>
      <c r="DE12" s="1959" t="s">
        <v>1285</v>
      </c>
      <c r="DF12" s="141"/>
      <c r="DG12" s="141"/>
      <c r="DH12" s="2173"/>
      <c r="DI12" s="2180" t="s">
        <v>1289</v>
      </c>
      <c r="DJ12" s="2182" t="s">
        <v>32</v>
      </c>
      <c r="DK12" s="2183"/>
      <c r="DL12" s="2164" t="s">
        <v>34</v>
      </c>
      <c r="DM12" s="2163" t="s">
        <v>489</v>
      </c>
      <c r="DN12" s="2175"/>
      <c r="DO12" s="2170"/>
      <c r="DP12" s="2284"/>
      <c r="DQ12" s="2186" t="s">
        <v>602</v>
      </c>
      <c r="DR12" s="2211"/>
      <c r="DS12" s="2186" t="s">
        <v>604</v>
      </c>
      <c r="DT12" s="2188" t="s">
        <v>605</v>
      </c>
      <c r="DU12" s="2189"/>
      <c r="DV12" s="2265" t="s">
        <v>598</v>
      </c>
      <c r="DW12" s="2266"/>
      <c r="DX12" s="2021" t="s">
        <v>1287</v>
      </c>
      <c r="DY12" s="2178" t="s">
        <v>1288</v>
      </c>
      <c r="DZ12" s="2265" t="s">
        <v>598</v>
      </c>
      <c r="EA12" s="2266"/>
      <c r="EB12" s="2021" t="s">
        <v>1287</v>
      </c>
      <c r="EC12" s="2178" t="s">
        <v>1288</v>
      </c>
      <c r="ED12" s="2265" t="s">
        <v>598</v>
      </c>
      <c r="EE12" s="2266"/>
      <c r="EF12" s="2021" t="s">
        <v>1287</v>
      </c>
      <c r="EG12" s="2178" t="s">
        <v>1288</v>
      </c>
      <c r="EH12" s="2265" t="s">
        <v>598</v>
      </c>
      <c r="EI12" s="2266"/>
      <c r="EJ12" s="2021" t="s">
        <v>1287</v>
      </c>
      <c r="EK12" s="2023" t="s">
        <v>1288</v>
      </c>
      <c r="EL12" s="241"/>
      <c r="EM12" s="1966" t="s">
        <v>789</v>
      </c>
      <c r="EN12" s="1968" t="s">
        <v>588</v>
      </c>
      <c r="EO12" s="1969"/>
      <c r="EP12" s="1969"/>
      <c r="EQ12" s="1966" t="s">
        <v>589</v>
      </c>
      <c r="ER12" s="1955" t="s">
        <v>786</v>
      </c>
      <c r="ES12" s="1956"/>
      <c r="ET12" s="2246"/>
      <c r="EU12" s="2247"/>
      <c r="FW12" s="2"/>
      <c r="FX12" s="2"/>
      <c r="FY12" s="2"/>
      <c r="FZ12" s="2"/>
      <c r="GA12" s="2028" t="s">
        <v>708</v>
      </c>
      <c r="GB12" s="2029"/>
      <c r="GC12" s="2028" t="s">
        <v>558</v>
      </c>
      <c r="GD12" s="2029"/>
      <c r="GE12" s="2072" t="s">
        <v>711</v>
      </c>
      <c r="GF12" s="2074" t="s">
        <v>632</v>
      </c>
      <c r="GG12" s="2028" t="s">
        <v>1142</v>
      </c>
      <c r="GH12" s="2029"/>
      <c r="GI12" s="2028" t="s">
        <v>1141</v>
      </c>
      <c r="GJ12" s="2029"/>
      <c r="GK12" s="2032" t="s">
        <v>712</v>
      </c>
      <c r="GL12" s="2032" t="s">
        <v>713</v>
      </c>
      <c r="GM12" s="2032" t="s">
        <v>714</v>
      </c>
      <c r="HA12" s="2038" t="s">
        <v>632</v>
      </c>
      <c r="HB12" s="2014" t="s">
        <v>1134</v>
      </c>
      <c r="HC12" s="2014" t="s">
        <v>1159</v>
      </c>
      <c r="HD12" s="2014" t="str">
        <f>IF($HA$1,"Bay Length","Overall Length")</f>
        <v>Bay Length</v>
      </c>
      <c r="HE12" s="2015"/>
      <c r="HF12" s="2014" t="str">
        <f>IF($HA$1,"L Sect #","TC Width")</f>
        <v>L Sect #</v>
      </c>
      <c r="HG12" s="1972" t="str">
        <f>IF($HA$1,"L Min Sup Wid","TCXL Feet")</f>
        <v>L Min Sup Wid</v>
      </c>
      <c r="HH12" s="1972" t="str">
        <f>IF($HA$1,"L Max Sup Wid","TCXL Inch")</f>
        <v>L Max Sup Wid</v>
      </c>
      <c r="HI12" s="1972" t="str">
        <f>IF($HA$1,"L Min Flg Ga","TCXL Type")</f>
        <v>L Min Flg Ga</v>
      </c>
      <c r="HJ12" s="1972" t="str">
        <f>IF($HA$1,"L Max Flg Ga","TCXR Feet")</f>
        <v>L Max Flg Ga</v>
      </c>
      <c r="HK12" s="1972" t="str">
        <f>IF($HA$1,"L Skew","TCXR Inch")</f>
        <v>L Skew</v>
      </c>
      <c r="HL12" s="1972" t="str">
        <f>IF($HA$1,"L Brg Slp","TCXR Type")</f>
        <v>L Brg Slp</v>
      </c>
      <c r="HM12" s="2014" t="str">
        <f>IF($HA$1,"R Sect #","BDL")</f>
        <v>R Sect #</v>
      </c>
      <c r="HN12" s="1972" t="str">
        <f>IF($HA$1,"R Min Sup Wid","BDR")</f>
        <v>R Min Sup Wid</v>
      </c>
      <c r="HO12" s="1972" t="str">
        <f>IF($HA$1,"R Max Sup Wid","BCXL Feet")</f>
        <v>R Max Sup Wid</v>
      </c>
      <c r="HP12" s="1972" t="str">
        <f>IF($HA$1,"R Min Flg Ga","BCXL Inch")</f>
        <v>R Min Flg Ga</v>
      </c>
      <c r="HQ12" s="1972" t="str">
        <f>IF($HA$1,"R Max Flg Ga","BCXR Feet")</f>
        <v>R Max Flg Ga</v>
      </c>
      <c r="HR12" s="1972" t="str">
        <f>IF($HA$1,"R Skew","BCXR Inch")</f>
        <v>R Skew</v>
      </c>
      <c r="HS12" s="1972" t="str">
        <f>IF($HA$1,"R Brg Slp","HL Feet")</f>
        <v>R Brg Slp</v>
      </c>
      <c r="HT12" s="1972" t="str">
        <f>IF($HA$1,"TC Slope","HL Inch")</f>
        <v>TC Slope</v>
      </c>
      <c r="HU12" s="1972" t="str">
        <f>IF($HA$1,"Load Notes","HR Feet")</f>
        <v>Load Notes</v>
      </c>
      <c r="HV12" s="1972" t="str">
        <f>IF($HA$1,"Spcl Notes","HR Inch")</f>
        <v>Spcl Notes</v>
      </c>
      <c r="HW12" s="1972" t="str">
        <f>IF($HA$1,"# KB","Slot Ga")</f>
        <v># KB</v>
      </c>
      <c r="HX12" s="1972" t="str">
        <f>IF($HA$1,"TC Width","L Seat Slp")</f>
        <v>TC Width</v>
      </c>
      <c r="HY12" s="1972" t="str">
        <f>IF($HA$1,"TCL Override","R Seat Slp")</f>
        <v>TCL Override</v>
      </c>
      <c r="HZ12" s="1972" t="str">
        <f>IF($HA$1,"TCR Override","Load Notes")</f>
        <v>TCR Override</v>
      </c>
      <c r="IA12" s="1972" t="str">
        <f>IF($HA$1,"L-BL Override","Spcl Notes")</f>
        <v>L-BL Override</v>
      </c>
      <c r="IB12" s="1974" t="str">
        <f>IF($HA$1,"R-BL Override","# KB")</f>
        <v>R-BL Override</v>
      </c>
      <c r="IC12" s="1972" t="str">
        <f>IF($HA$1,"BDL Override","-")</f>
        <v>BDL Override</v>
      </c>
      <c r="ID12" s="2250" t="str">
        <f>IF($HA$1,"BDR Override","-")</f>
        <v>BDR Override</v>
      </c>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94"/>
      <c r="JN12" s="1194"/>
      <c r="JO12" s="1194"/>
    </row>
    <row r="13" spans="1:276" ht="21" customHeight="1" thickTop="1" thickBot="1" x14ac:dyDescent="0.3">
      <c r="A13" s="1934"/>
      <c r="B13" s="1935"/>
      <c r="C13" s="1935"/>
      <c r="D13" s="1935"/>
      <c r="E13" s="1936"/>
      <c r="F13" s="1937"/>
      <c r="G13" s="1914" t="s">
        <v>16</v>
      </c>
      <c r="H13" s="1915"/>
      <c r="I13" s="1103" t="s">
        <v>732</v>
      </c>
      <c r="J13" s="1915" t="s">
        <v>16</v>
      </c>
      <c r="K13" s="1915"/>
      <c r="L13" s="1065" t="s">
        <v>732</v>
      </c>
      <c r="M13" s="1107" t="s">
        <v>18</v>
      </c>
      <c r="N13" s="461" t="s">
        <v>19</v>
      </c>
      <c r="O13" s="1940"/>
      <c r="P13" s="1905"/>
      <c r="Q13" s="1905"/>
      <c r="R13" s="1906"/>
      <c r="S13" s="1916" t="s">
        <v>80</v>
      </c>
      <c r="T13" s="1915"/>
      <c r="U13" s="1915" t="s">
        <v>81</v>
      </c>
      <c r="V13" s="1915"/>
      <c r="W13" s="461" t="s">
        <v>27</v>
      </c>
      <c r="X13" s="1102" t="s">
        <v>112</v>
      </c>
      <c r="Y13" s="1065" t="s">
        <v>113</v>
      </c>
      <c r="Z13" s="1118" t="s">
        <v>57</v>
      </c>
      <c r="AA13" s="2256"/>
      <c r="AB13" s="1934"/>
      <c r="AC13" s="2091"/>
      <c r="AD13" s="2122"/>
      <c r="AE13" s="2123"/>
      <c r="AF13" s="1103" t="s">
        <v>33</v>
      </c>
      <c r="AG13" s="1915" t="s">
        <v>16</v>
      </c>
      <c r="AH13" s="1915"/>
      <c r="AI13" s="2122"/>
      <c r="AJ13" s="2123"/>
      <c r="AK13" s="2136"/>
      <c r="AL13" s="1119" t="s">
        <v>738</v>
      </c>
      <c r="AM13" s="1104" t="s">
        <v>735</v>
      </c>
      <c r="AN13" s="1104" t="s">
        <v>736</v>
      </c>
      <c r="AO13" s="1105"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80"/>
      <c r="CC13" s="2152"/>
      <c r="CD13" s="1953"/>
      <c r="CE13" s="2149"/>
      <c r="CF13" s="2150"/>
      <c r="CG13" s="1944"/>
      <c r="CH13" s="1947"/>
      <c r="CI13" s="1948"/>
      <c r="CJ13" s="1947"/>
      <c r="CK13" s="1948"/>
      <c r="CL13" s="1963"/>
      <c r="CM13" s="1965"/>
      <c r="CN13" s="1547" t="s">
        <v>1283</v>
      </c>
      <c r="CO13" s="1548" t="s">
        <v>1278</v>
      </c>
      <c r="CP13" s="1549" t="s">
        <v>501</v>
      </c>
      <c r="CQ13" s="1950"/>
      <c r="CR13" s="1953"/>
      <c r="CS13" s="1954"/>
      <c r="CT13" s="1953"/>
      <c r="CU13" s="1954"/>
      <c r="CV13" s="2152"/>
      <c r="CW13" s="1961"/>
      <c r="CX13" s="1547" t="s">
        <v>1283</v>
      </c>
      <c r="CY13" s="1548" t="s">
        <v>1278</v>
      </c>
      <c r="CZ13" s="1549" t="s">
        <v>501</v>
      </c>
      <c r="DA13" s="1942"/>
      <c r="DB13" s="431" t="s">
        <v>418</v>
      </c>
      <c r="DC13" s="432" t="s">
        <v>553</v>
      </c>
      <c r="DD13" s="1958"/>
      <c r="DE13" s="1958"/>
      <c r="DF13" s="141"/>
      <c r="DG13" s="141"/>
      <c r="DH13" s="2174"/>
      <c r="DI13" s="2181"/>
      <c r="DJ13" s="2184"/>
      <c r="DK13" s="2185"/>
      <c r="DL13" s="2165"/>
      <c r="DM13" s="2176"/>
      <c r="DN13" s="2177"/>
      <c r="DO13" s="2171"/>
      <c r="DP13" s="2285"/>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241"/>
      <c r="EM13" s="1967"/>
      <c r="EN13" s="522" t="s">
        <v>585</v>
      </c>
      <c r="EO13" s="433" t="s">
        <v>586</v>
      </c>
      <c r="EP13" s="434" t="s">
        <v>587</v>
      </c>
      <c r="EQ13" s="196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073"/>
      <c r="GF13" s="2073"/>
      <c r="GG13" s="542" t="s">
        <v>709</v>
      </c>
      <c r="GH13" s="543" t="s">
        <v>710</v>
      </c>
      <c r="GI13" s="542" t="s">
        <v>709</v>
      </c>
      <c r="GJ13" s="543" t="s">
        <v>710</v>
      </c>
      <c r="GK13" s="2033"/>
      <c r="GL13" s="2033"/>
      <c r="GM13" s="2033"/>
      <c r="HA13" s="2274"/>
      <c r="HB13" s="2248"/>
      <c r="HC13" s="2248"/>
      <c r="HD13" s="2248"/>
      <c r="HE13" s="2248"/>
      <c r="HF13" s="2248"/>
      <c r="HG13" s="2248"/>
      <c r="HH13" s="2248"/>
      <c r="HI13" s="2248"/>
      <c r="HJ13" s="2248"/>
      <c r="HK13" s="2248"/>
      <c r="HL13" s="2248"/>
      <c r="HM13" s="2248"/>
      <c r="HN13" s="2248"/>
      <c r="HO13" s="2248"/>
      <c r="HP13" s="2248"/>
      <c r="HQ13" s="2248"/>
      <c r="HR13" s="2248"/>
      <c r="HS13" s="2248"/>
      <c r="HT13" s="2248"/>
      <c r="HU13" s="2248"/>
      <c r="HV13" s="2248"/>
      <c r="HW13" s="2248"/>
      <c r="HX13" s="2248"/>
      <c r="HY13" s="2248"/>
      <c r="HZ13" s="2248"/>
      <c r="IA13" s="2248"/>
      <c r="IB13" s="2249"/>
      <c r="IC13" s="2248"/>
      <c r="ID13" s="2251"/>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94"/>
      <c r="JN13" s="1194"/>
      <c r="JO13" s="1194"/>
    </row>
    <row r="14" spans="1:276" ht="12.6" customHeight="1" thickTop="1" x14ac:dyDescent="0.25">
      <c r="A14" s="1728" t="str">
        <f t="shared" ref="A14:A45" si="0">IF(ISBLANK(CB14),"",CB14)</f>
        <v/>
      </c>
      <c r="B14" s="1756" t="str">
        <f t="shared" ref="B14:B45" si="1">IF(ISBLANK(CC14),"",CC14)</f>
        <v/>
      </c>
      <c r="C14" s="1757" t="str">
        <f t="shared" ref="C14:C45" si="2">IF(ISBLANK(CD14),"",CD14)</f>
        <v/>
      </c>
      <c r="D14" s="1730" t="str">
        <f t="shared" ref="D14:D45" si="3">IF(CV54="","",TRUNC(CV54/12))</f>
        <v/>
      </c>
      <c r="E14" s="1758" t="str">
        <f t="shared" ref="E14:E45" si="4">IF(CV54="","",CV54-(D14*12))</f>
        <v/>
      </c>
      <c r="F14" s="1759" t="str">
        <f t="shared" ref="F14:F45" si="5">IF(ISBLANK(DE14),"",DE14)</f>
        <v/>
      </c>
      <c r="G14" s="1738" t="str">
        <f t="shared" ref="G14:G45" si="6">IF(DD54=0,"",TRUNC(DD54/12))</f>
        <v/>
      </c>
      <c r="H14" s="1731" t="str">
        <f t="shared" ref="H14:H45" si="7">IF(DD54=0,"",DD54-(G14*12))</f>
        <v/>
      </c>
      <c r="I14" s="1729" t="str">
        <f t="shared" ref="I14:I45" si="8">IF(DD54=0,"",CE54)</f>
        <v/>
      </c>
      <c r="J14" s="1730" t="str">
        <f t="shared" ref="J14:J45" si="9">IF(DJ54=0,"",TRUNC(DJ54/12))</f>
        <v/>
      </c>
      <c r="K14" s="1731" t="str">
        <f t="shared" ref="K14:K45" si="10">IF(DJ54=0,"",DJ54-(J14*12))</f>
        <v/>
      </c>
      <c r="L14" s="1760" t="str">
        <f t="shared" ref="L14:L45" si="11">IF(DJ54=0,"",CN54)</f>
        <v/>
      </c>
      <c r="M14" s="1736" t="str">
        <f t="shared" ref="M14:N45" si="12">IF(CW54="","",CW54)</f>
        <v/>
      </c>
      <c r="N14" s="1761" t="str">
        <f t="shared" si="12"/>
        <v/>
      </c>
      <c r="O14" s="1738" t="str">
        <f t="shared" ref="O14:O45" si="13">IF(DZ54="","",IF(AND(DZ54&gt;-12,DZ54&lt;0),-0.000001,TRUNC(DZ54/12)))</f>
        <v/>
      </c>
      <c r="P14" s="1731" t="str">
        <f t="shared" ref="P14:P45" si="14">IF(DZ54="","",IF(AND(DZ54&lt;0,DZ54-(O14*12)=0),-0.00001,DZ54-(O14*12)))</f>
        <v/>
      </c>
      <c r="Q14" s="1730" t="str">
        <f t="shared" ref="Q14:Q45" si="15">IF(EA54="","",IF(AND(EA54&gt;-12,EA54&lt;0),-0.000001,TRUNC(EA54/12)))</f>
        <v/>
      </c>
      <c r="R14" s="1758" t="str">
        <f t="shared" ref="R14:R45" si="16">IF(EA54="","",IF(AND(EA54&lt;0,EA54-(Q14*12)=0),-0.00001,EA54-(Q14*12)))</f>
        <v/>
      </c>
      <c r="S14" s="1762" t="str">
        <f t="shared" ref="S14:S45" si="17">IF(DR54="","",IF(DR54="ERR",TRUNC(DQ54/12),TRUNC(DR54/12)))</f>
        <v/>
      </c>
      <c r="T14" s="1731" t="str">
        <f t="shared" ref="T14:T45" si="18">IF(DR54="","",IF(DR54="ERR",DQ54-(S14*12),DR54-(S14*12)))</f>
        <v/>
      </c>
      <c r="U14" s="1730" t="str">
        <f t="shared" ref="U14:U45" si="19">IF(DY54="","",IF(DY54="ERR",TRUNC(DX54/12),TRUNC(DY54/12)))</f>
        <v/>
      </c>
      <c r="V14" s="1731" t="str">
        <f t="shared" ref="V14:V45" si="20">IF(DY54="","",IF(DY54="ERR",DX54-(U14*12),DY54-(U14*12)))</f>
        <v/>
      </c>
      <c r="W14" s="1761">
        <f t="shared" ref="W14:W45" si="21">IF(EC54="",0,EC54)</f>
        <v>0</v>
      </c>
      <c r="X14" s="1763" t="str">
        <f t="shared" ref="X14:X45" si="22">IF(EN54="","",EN54)</f>
        <v/>
      </c>
      <c r="Y14" s="1764" t="str">
        <f t="shared" ref="Y14:Y45" si="23">IF(ES54="","",ES54)</f>
        <v/>
      </c>
      <c r="Z14" s="1710" t="str">
        <f t="shared" ref="Z14:Z45" si="24">CONCATENATE(IF(DC14="","",CONCATENATE("[",SUBSTITUTE(DC14," ",""),"] ")),IF(DB14="","",CONCATENATE("(",SUBSTITUTE(DB14," ",""),")")))</f>
        <v/>
      </c>
      <c r="AA14" s="1765" t="str">
        <f t="shared" ref="AA14:AA45" si="25">IF(ISBLANK(DD14),"",DD14)</f>
        <v/>
      </c>
      <c r="AB14" s="1728" t="str">
        <f t="shared" ref="AB14:AB45" si="26">IF(ISBLANK(DH14),"",DH14)</f>
        <v/>
      </c>
      <c r="AC14" s="1729" t="str">
        <f t="shared" ref="AC14:AC45" si="27">IF(ISBLANK(DI14),"",UPPER(DI14))</f>
        <v/>
      </c>
      <c r="AD14" s="1730" t="str">
        <f t="shared" ref="AD14:AD45" si="28">IF(ISERROR(FV54),"",IF(FV54="","",TRUNC(FV54/12)))</f>
        <v/>
      </c>
      <c r="AE14" s="1731" t="str">
        <f t="shared" ref="AE14:AE45" si="29">IF(ISERROR(FV54),"",IF(FV54="","",FV54-(AD14*12)))</f>
        <v/>
      </c>
      <c r="AF14" s="1729" t="str">
        <f t="shared" ref="AF14:AF45" si="30">IF(ISERROR(FO54),"",IF(FO54="","",FO54))</f>
        <v/>
      </c>
      <c r="AG14" s="1730" t="str">
        <f t="shared" ref="AG14:AG45" si="31">IF(ISERROR(FX54),"",IF(FX54="","",TRUNC(FX54/12)))</f>
        <v/>
      </c>
      <c r="AH14" s="1731" t="str">
        <f t="shared" ref="AH14:AH45" si="32">IF(ISERROR(FX54),"",IF(FX54="","",FX54-(AG14*12)))</f>
        <v/>
      </c>
      <c r="AI14" s="1730" t="str">
        <f t="shared" ref="AI14:AI45" si="33">IF(ISERROR(FZ54),"",IF(FZ54="","",TRUNC(FZ54/12)))</f>
        <v/>
      </c>
      <c r="AJ14" s="1731" t="str">
        <f t="shared" ref="AJ14:AJ45" si="34">IF(ISERROR(FZ54),"",IF(FZ54="","",FZ54-(AI14*12)))</f>
        <v/>
      </c>
      <c r="AK14" s="1732" t="str">
        <f t="shared" ref="AK14:AO45" si="35">IF(ISBLANK(DO14),"",DO14)</f>
        <v/>
      </c>
      <c r="AL14" s="1733" t="str">
        <f t="shared" ref="AL14:AL45" si="36">IF(ISBLANK(DP14),"",UPPER(DP14))</f>
        <v/>
      </c>
      <c r="AM14" s="1734" t="str">
        <f t="shared" si="35"/>
        <v/>
      </c>
      <c r="AN14" s="1729" t="str">
        <f t="shared" si="35"/>
        <v/>
      </c>
      <c r="AO14" s="1761" t="str">
        <f t="shared" si="35"/>
        <v/>
      </c>
      <c r="AP14" s="1736" t="str">
        <f t="shared" ref="AP14:AP45" si="37">IF(ISERROR(GD54),"ERR",IF(OR(GD54="",GD54=0),"",GD54))</f>
        <v/>
      </c>
      <c r="AQ14" s="1737" t="str">
        <f t="shared" ref="AQ14:AQ45" si="38">IF(ISERROR(GE54),"ERR",IF(OR(GE54="",GE54=0),"",GE54))</f>
        <v/>
      </c>
      <c r="AR14" s="1738" t="str">
        <f t="shared" ref="AR14:AR45" si="39">IF(ISERROR(GF54),"ERR",IF(GF54="","",IF(ISTEXT(GF54),"P",TRUNC(GF54/12))))</f>
        <v/>
      </c>
      <c r="AS14" s="1731" t="str">
        <f t="shared" ref="AS14:AS45" si="40">IF(ISERROR(GF54),"",IF(GF54="","",IF(AR14="P",GF54,GF54-(AR14*12))))</f>
        <v/>
      </c>
      <c r="AT14" s="1739" t="str">
        <f t="shared" ref="AT14:AT45" si="41">IF(ISBLANK(DX14),"",DX14)</f>
        <v/>
      </c>
      <c r="AU14" s="1741" t="str">
        <f t="shared" ref="AU14:AU45" si="42">IF(ISBLANK(DY14),"",UPPER(DY14))</f>
        <v/>
      </c>
      <c r="AV14" s="1762" t="str">
        <f t="shared" ref="AV14:AV45" si="43">IF(ISERROR(GG54),"ERR",IF(GG54="","",IF(ISTEXT(GG54),"P",TRUNC(GG54/12))))</f>
        <v/>
      </c>
      <c r="AW14" s="1731" t="str">
        <f t="shared" ref="AW14:AW45" si="44">IF(ISERROR(GG54),"",IF(GG54="","",IF(AV14="P",GG54,GG54-(AV14*12))))</f>
        <v/>
      </c>
      <c r="AX14" s="1739" t="str">
        <f t="shared" ref="AX14:AX45" si="45">IF(ISBLANK(EB14),"",EB14)</f>
        <v/>
      </c>
      <c r="AY14" s="1741" t="str">
        <f t="shared" ref="AY14:AY45" si="46">IF(ISBLANK(EC14),"",UPPER(EC14))</f>
        <v/>
      </c>
      <c r="AZ14" s="1762" t="str">
        <f t="shared" ref="AZ14:AZ45" si="47">IF(ISERROR(GH54),"ERR",IF(GH54="","",IF(ISTEXT(GH54),"P",TRUNC(GH54/12))))</f>
        <v/>
      </c>
      <c r="BA14" s="1731" t="str">
        <f t="shared" ref="BA14:BA45" si="48">IF(ISERROR(GH54),"",IF(GH54="","",IF(AZ14="P",GH54,GH54-(AZ14*12))))</f>
        <v/>
      </c>
      <c r="BB14" s="1739" t="str">
        <f t="shared" ref="BB14:BB45" si="49">IF(ISBLANK(EF14),"",EF14)</f>
        <v/>
      </c>
      <c r="BC14" s="1741" t="str">
        <f t="shared" ref="BC14:BC45" si="50">IF(ISBLANK(EG14),"",UPPER(EG14))</f>
        <v/>
      </c>
      <c r="BD14" s="1762" t="str">
        <f t="shared" ref="BD14:BD45" si="51">IF(ISERROR(GI54),"ERR",IF(GI54="","",IF(ISTEXT(GI54),"P",TRUNC(GI54/12))))</f>
        <v/>
      </c>
      <c r="BE14" s="1731" t="str">
        <f t="shared" ref="BE14:BE45" si="52">IF(ISERROR(GI54),"",IF(GI54="","",IF(BD14="P",GI54,GI54-(BD14*12))))</f>
        <v/>
      </c>
      <c r="BF14" s="1739" t="str">
        <f t="shared" ref="BF14:BF45" si="53">IF(ISBLANK(EJ14),"",EJ14)</f>
        <v/>
      </c>
      <c r="BG14" s="1741" t="str">
        <f t="shared" ref="BG14:BG45" si="54">IF(ISBLANK(EK14),"",UPPER(EK14))</f>
        <v/>
      </c>
      <c r="BH14" s="1417"/>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3">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3">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4"/>
      <c r="CD14" s="696"/>
      <c r="CE14" s="697"/>
      <c r="CF14" s="698"/>
      <c r="CG14" s="664"/>
      <c r="CH14" s="709"/>
      <c r="CI14" s="710"/>
      <c r="CJ14" s="709"/>
      <c r="CK14" s="710"/>
      <c r="CL14" s="711"/>
      <c r="CM14" s="742"/>
      <c r="CN14" s="1614"/>
      <c r="CO14" s="1615"/>
      <c r="CP14" s="1616"/>
      <c r="CQ14" s="664"/>
      <c r="CR14" s="709"/>
      <c r="CS14" s="710"/>
      <c r="CT14" s="709"/>
      <c r="CU14" s="710"/>
      <c r="CV14" s="711"/>
      <c r="CW14" s="742"/>
      <c r="CX14" s="1614"/>
      <c r="CY14" s="1615"/>
      <c r="CZ14" s="1616"/>
      <c r="DA14" s="712"/>
      <c r="DB14" s="702"/>
      <c r="DC14" s="703"/>
      <c r="DD14" s="723"/>
      <c r="DE14" s="724"/>
      <c r="DF14" s="141"/>
      <c r="DG14" s="141"/>
      <c r="DH14" s="672"/>
      <c r="DI14" s="665"/>
      <c r="DJ14" s="690"/>
      <c r="DK14" s="1331"/>
      <c r="DL14" s="666"/>
      <c r="DM14" s="691"/>
      <c r="DN14" s="1334"/>
      <c r="DO14" s="667"/>
      <c r="DP14" s="668"/>
      <c r="DQ14" s="1419"/>
      <c r="DR14" s="669"/>
      <c r="DS14" s="1419"/>
      <c r="DT14" s="1422"/>
      <c r="DU14" s="1423"/>
      <c r="DV14" s="678"/>
      <c r="DW14" s="1337"/>
      <c r="DX14" s="679"/>
      <c r="DY14" s="674"/>
      <c r="DZ14" s="678"/>
      <c r="EA14" s="1337"/>
      <c r="EB14" s="679"/>
      <c r="EC14" s="674"/>
      <c r="ED14" s="678"/>
      <c r="EE14" s="1337"/>
      <c r="EF14" s="679"/>
      <c r="EG14" s="674"/>
      <c r="EH14" s="678"/>
      <c r="EI14" s="1337"/>
      <c r="EJ14" s="679"/>
      <c r="EK14" s="680"/>
      <c r="EL14" s="241"/>
      <c r="EM14" s="1630" t="str">
        <f t="shared" ref="EM14:EM45" si="69">IF(ISBLANK(CB14),"",CB14)</f>
        <v/>
      </c>
      <c r="EN14" s="1426" t="str">
        <f t="shared" ref="EN14:EN45" si="70">IF(DQ54=DR54,"",CONCATENATE(IF(CL14&lt;0,"NS ","FS "),IF(DR54="ERR","Slot Only",CONCATENATE("Slot @ ",DQ54))))</f>
        <v/>
      </c>
      <c r="EO14" s="1427" t="str">
        <f t="shared" ref="EO14:EO45" si="71">IF(DX54=DY54,"",CONCATENATE(IF(CV14&lt;0,"FS ","NS "),IF(DY54="ERR","Slot Only",CONCATENATE("Slot @ ",DX54))))</f>
        <v/>
      </c>
      <c r="EP14" s="1428" t="str">
        <f t="shared" ref="EP14:EP45" si="72">IF(EC54="","",IF(CI54&lt;&gt;EC54,CONCATENATE("LE slots @ ",CI54," Ga."),IF(CR54&lt;&gt;EC54,CONCATENATE("RE slots @ ",CR54," Ga."),"")))</f>
        <v/>
      </c>
      <c r="EQ14" s="1434" t="str">
        <f t="shared" ref="EQ14:EQ45" si="73">IF(AND(ET14&lt;&gt;"",CL14&lt;&gt;"",EU14&lt;&gt;"",CV14&lt;&gt;""),"BE",IF(AND(ET14&lt;&gt;"",CL14&lt;&gt;""),"LE",IF(AND(EU14&lt;&gt;"",CV14&lt;&gt;""),"RE","")))</f>
        <v/>
      </c>
      <c r="ER14" s="1437" t="str">
        <f t="shared" ref="ER14:ER45" si="74">IF(ISBLANK(CO14),"",IF(CEILING(DB54,0.125)&lt;=DC54+$FA$4,"",CEILING(DB54,0.125)))</f>
        <v/>
      </c>
      <c r="ES14" s="1438" t="str">
        <f t="shared" ref="ES14:ES45" si="75">IF(ISBLANK(CY14),"",IF(CEILING(DH54,0.125)&lt;=DI54+$FA$4,"",CEILING(DH54,0.125)))</f>
        <v/>
      </c>
      <c r="ET14" s="1439" t="str">
        <f t="shared" ref="ET14:ET45" si="76">IF(CG14="","",IF($FB$4&gt;EV54,EV54,""))</f>
        <v/>
      </c>
      <c r="EU14" s="1440"/>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581" t="str">
        <f t="shared" ref="GA14:GA45" si="82">IF(GF14="","",CE14)</f>
        <v/>
      </c>
      <c r="GB14" s="623" t="str">
        <f t="shared" ref="GB14:GB45" si="83">IF(GF14="","",CF14)</f>
        <v/>
      </c>
      <c r="GC14" s="625" t="str">
        <f t="shared" ref="GC14:GC45" si="84">IF(GF14="","",IF(CD54="",0,CD54))</f>
        <v/>
      </c>
      <c r="GD14" s="626" t="str">
        <f t="shared" ref="GD14:GD45" si="85">IF(GF14="","",IF(CM54="",0,CM54))</f>
        <v/>
      </c>
      <c r="GE14" s="624" t="str">
        <f t="shared" ref="GE14:GE45" si="86">IF(GF14="","",IF(ISBLANK(DA14),IF(X14=Y14,0,MAX(ABS(X14),ABS(Y14))*IF(X14&lt;0,-1,1)),DA14))</f>
        <v/>
      </c>
      <c r="GF14" s="582" t="str">
        <f t="shared" ref="GF14:GF45" si="87">IF(A14=0,"",A14)</f>
        <v/>
      </c>
      <c r="GG14" s="692"/>
      <c r="GH14" s="1135"/>
      <c r="GI14" s="692"/>
      <c r="GJ14" s="1135"/>
      <c r="GK14" s="1641">
        <f t="shared" ref="GK14:GK45" si="88">IF(D14="",0,D14*12+E14)</f>
        <v>0</v>
      </c>
      <c r="GL14" s="1641" t="e">
        <f t="shared" ref="GL14:GL45" si="89">(GA14*12+GB14+GC14+GD14)/COS(ATAN(ABS(GE14/12)))</f>
        <v>#VALUE!</v>
      </c>
      <c r="GM14" s="1642" t="e">
        <f>IF(ABS(GK14-GL14)&gt;='Job Info.'!$L$22,ABS(GK14-GL14),0)</f>
        <v>#VALUE!</v>
      </c>
      <c r="HA14" s="1242"/>
      <c r="HB14" s="1243"/>
      <c r="HC14" s="1243"/>
      <c r="HD14" s="1244"/>
      <c r="HE14" s="1245"/>
      <c r="HF14" s="1243"/>
      <c r="HG14" s="1243"/>
      <c r="HH14" s="1243"/>
      <c r="HI14" s="1243"/>
      <c r="HJ14" s="1243"/>
      <c r="HK14" s="1243"/>
      <c r="HL14" s="1243"/>
      <c r="HM14" s="1243"/>
      <c r="HN14" s="1243"/>
      <c r="HO14" s="1243"/>
      <c r="HP14" s="1243"/>
      <c r="HQ14" s="1243"/>
      <c r="HR14" s="1243"/>
      <c r="HS14" s="1243"/>
      <c r="HT14" s="1243"/>
      <c r="HU14" s="1243"/>
      <c r="HV14" s="1243"/>
      <c r="HW14" s="1243"/>
      <c r="HX14" s="1243"/>
      <c r="HY14" s="1247"/>
      <c r="HZ14" s="1247"/>
      <c r="IA14" s="1247"/>
      <c r="IB14" s="1247"/>
      <c r="IC14" s="1247"/>
      <c r="ID14" s="1262"/>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94"/>
      <c r="JN14" s="1194"/>
      <c r="JO14" s="1194"/>
    </row>
    <row r="15" spans="1:276" ht="12.6" customHeight="1" x14ac:dyDescent="0.25">
      <c r="A15" s="1215" t="str">
        <f t="shared" si="0"/>
        <v/>
      </c>
      <c r="B15" s="1709" t="str">
        <f t="shared" si="1"/>
        <v/>
      </c>
      <c r="C15" s="1216" t="str">
        <f t="shared" si="2"/>
        <v/>
      </c>
      <c r="D15" s="1217" t="str">
        <f t="shared" si="3"/>
        <v/>
      </c>
      <c r="E15" s="1218" t="str">
        <f t="shared" si="4"/>
        <v/>
      </c>
      <c r="F15" s="1219" t="str">
        <f t="shared" si="5"/>
        <v/>
      </c>
      <c r="G15" s="1220" t="str">
        <f t="shared" si="6"/>
        <v/>
      </c>
      <c r="H15" s="1221" t="str">
        <f t="shared" si="7"/>
        <v/>
      </c>
      <c r="I15" s="1222" t="str">
        <f t="shared" si="8"/>
        <v/>
      </c>
      <c r="J15" s="1217" t="str">
        <f t="shared" si="9"/>
        <v/>
      </c>
      <c r="K15" s="1221" t="str">
        <f t="shared" si="10"/>
        <v/>
      </c>
      <c r="L15" s="1223" t="str">
        <f t="shared" si="11"/>
        <v/>
      </c>
      <c r="M15" s="1224" t="str">
        <f t="shared" si="12"/>
        <v/>
      </c>
      <c r="N15" s="1225" t="str">
        <f t="shared" si="12"/>
        <v/>
      </c>
      <c r="O15" s="1220" t="str">
        <f t="shared" si="13"/>
        <v/>
      </c>
      <c r="P15" s="1221" t="str">
        <f t="shared" si="14"/>
        <v/>
      </c>
      <c r="Q15" s="1217" t="str">
        <f t="shared" si="15"/>
        <v/>
      </c>
      <c r="R15" s="1218" t="str">
        <f t="shared" si="16"/>
        <v/>
      </c>
      <c r="S15" s="1226" t="str">
        <f t="shared" si="17"/>
        <v/>
      </c>
      <c r="T15" s="1221" t="str">
        <f t="shared" si="18"/>
        <v/>
      </c>
      <c r="U15" s="1217" t="str">
        <f t="shared" si="19"/>
        <v/>
      </c>
      <c r="V15" s="1221" t="str">
        <f t="shared" si="20"/>
        <v/>
      </c>
      <c r="W15" s="1225">
        <f t="shared" si="21"/>
        <v>0</v>
      </c>
      <c r="X15" s="1227" t="str">
        <f t="shared" si="22"/>
        <v/>
      </c>
      <c r="Y15" s="1228" t="str">
        <f t="shared" si="23"/>
        <v/>
      </c>
      <c r="Z15" s="1710" t="str">
        <f t="shared" si="24"/>
        <v/>
      </c>
      <c r="AA15" s="1235" t="str">
        <f t="shared" si="25"/>
        <v/>
      </c>
      <c r="AB15" s="1215" t="str">
        <f t="shared" si="26"/>
        <v/>
      </c>
      <c r="AC15" s="1222" t="str">
        <f t="shared" si="27"/>
        <v/>
      </c>
      <c r="AD15" s="1217" t="str">
        <f t="shared" ca="1" si="28"/>
        <v/>
      </c>
      <c r="AE15" s="1221" t="str">
        <f t="shared" ca="1" si="29"/>
        <v/>
      </c>
      <c r="AF15" s="1222" t="str">
        <f t="shared" ca="1" si="30"/>
        <v/>
      </c>
      <c r="AG15" s="1217" t="str">
        <f t="shared" ca="1" si="31"/>
        <v/>
      </c>
      <c r="AH15" s="1221" t="str">
        <f t="shared" ca="1" si="32"/>
        <v/>
      </c>
      <c r="AI15" s="1217" t="str">
        <f t="shared" ca="1" si="33"/>
        <v/>
      </c>
      <c r="AJ15" s="1221" t="str">
        <f t="shared" ca="1" si="34"/>
        <v/>
      </c>
      <c r="AK15" s="1742" t="str">
        <f t="shared" si="35"/>
        <v/>
      </c>
      <c r="AL15" s="1743" t="str">
        <f t="shared" si="36"/>
        <v/>
      </c>
      <c r="AM15" s="1744" t="str">
        <f t="shared" si="35"/>
        <v/>
      </c>
      <c r="AN15" s="1222" t="str">
        <f t="shared" si="35"/>
        <v/>
      </c>
      <c r="AO15" s="1225" t="str">
        <f t="shared" si="35"/>
        <v/>
      </c>
      <c r="AP15" s="1224" t="str">
        <f t="shared" si="37"/>
        <v/>
      </c>
      <c r="AQ15" s="1746" t="str">
        <f t="shared" si="38"/>
        <v/>
      </c>
      <c r="AR15" s="1220" t="str">
        <f t="shared" si="39"/>
        <v/>
      </c>
      <c r="AS15" s="1221" t="str">
        <f t="shared" si="40"/>
        <v/>
      </c>
      <c r="AT15" s="1747" t="str">
        <f t="shared" si="41"/>
        <v/>
      </c>
      <c r="AU15" s="1748" t="str">
        <f t="shared" si="42"/>
        <v/>
      </c>
      <c r="AV15" s="1226" t="str">
        <f t="shared" si="43"/>
        <v/>
      </c>
      <c r="AW15" s="1221" t="str">
        <f t="shared" si="44"/>
        <v/>
      </c>
      <c r="AX15" s="1747" t="str">
        <f t="shared" si="45"/>
        <v/>
      </c>
      <c r="AY15" s="1748" t="str">
        <f t="shared" si="46"/>
        <v/>
      </c>
      <c r="AZ15" s="1226" t="str">
        <f t="shared" si="47"/>
        <v/>
      </c>
      <c r="BA15" s="1221" t="str">
        <f t="shared" si="48"/>
        <v/>
      </c>
      <c r="BB15" s="1747" t="str">
        <f t="shared" si="49"/>
        <v/>
      </c>
      <c r="BC15" s="1748" t="str">
        <f t="shared" si="50"/>
        <v/>
      </c>
      <c r="BD15" s="1226" t="str">
        <f t="shared" si="51"/>
        <v/>
      </c>
      <c r="BE15" s="1221" t="str">
        <f t="shared" si="52"/>
        <v/>
      </c>
      <c r="BF15" s="1747" t="str">
        <f t="shared" si="53"/>
        <v/>
      </c>
      <c r="BG15" s="1748" t="str">
        <f t="shared" si="54"/>
        <v/>
      </c>
      <c r="BH15" s="1417"/>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3">
        <f t="shared" si="62"/>
        <v>6</v>
      </c>
      <c r="BT15" s="990" t="str">
        <f t="shared" si="63"/>
        <v>No</v>
      </c>
      <c r="BU15" s="1303">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5"/>
      <c r="CD15" s="699"/>
      <c r="CE15" s="700"/>
      <c r="CF15" s="701"/>
      <c r="CG15" s="672"/>
      <c r="CH15" s="713"/>
      <c r="CI15" s="714"/>
      <c r="CJ15" s="713"/>
      <c r="CK15" s="714"/>
      <c r="CL15" s="715"/>
      <c r="CM15" s="743"/>
      <c r="CN15" s="738"/>
      <c r="CO15" s="1552"/>
      <c r="CP15" s="910"/>
      <c r="CQ15" s="672"/>
      <c r="CR15" s="713"/>
      <c r="CS15" s="714"/>
      <c r="CT15" s="713"/>
      <c r="CU15" s="714"/>
      <c r="CV15" s="715"/>
      <c r="CW15" s="743"/>
      <c r="CX15" s="738"/>
      <c r="CY15" s="1552"/>
      <c r="CZ15" s="910"/>
      <c r="DA15" s="717"/>
      <c r="DB15" s="702"/>
      <c r="DC15" s="703"/>
      <c r="DD15" s="725"/>
      <c r="DE15" s="726"/>
      <c r="DF15" s="141"/>
      <c r="DG15" s="141"/>
      <c r="DH15" s="672"/>
      <c r="DI15" s="673"/>
      <c r="DJ15" s="692"/>
      <c r="DK15" s="1332"/>
      <c r="DL15" s="674"/>
      <c r="DM15" s="693"/>
      <c r="DN15" s="1335"/>
      <c r="DO15" s="675"/>
      <c r="DP15" s="676"/>
      <c r="DQ15" s="1420"/>
      <c r="DR15" s="677"/>
      <c r="DS15" s="1420"/>
      <c r="DT15" s="1422"/>
      <c r="DU15" s="1423"/>
      <c r="DV15" s="678"/>
      <c r="DW15" s="1337"/>
      <c r="DX15" s="679"/>
      <c r="DY15" s="674"/>
      <c r="DZ15" s="678"/>
      <c r="EA15" s="1337"/>
      <c r="EB15" s="679"/>
      <c r="EC15" s="674"/>
      <c r="ED15" s="678"/>
      <c r="EE15" s="1337"/>
      <c r="EF15" s="679"/>
      <c r="EG15" s="674"/>
      <c r="EH15" s="678"/>
      <c r="EI15" s="1337"/>
      <c r="EJ15" s="679"/>
      <c r="EK15" s="680"/>
      <c r="EL15" s="241"/>
      <c r="EM15" s="1632" t="str">
        <f t="shared" si="69"/>
        <v/>
      </c>
      <c r="EN15" s="1429" t="str">
        <f t="shared" si="70"/>
        <v/>
      </c>
      <c r="EO15" s="1430" t="str">
        <f t="shared" si="71"/>
        <v/>
      </c>
      <c r="EP15" s="1431" t="str">
        <f t="shared" si="72"/>
        <v/>
      </c>
      <c r="EQ15" s="1435" t="str">
        <f t="shared" si="73"/>
        <v/>
      </c>
      <c r="ER15" s="1441" t="str">
        <f t="shared" si="74"/>
        <v/>
      </c>
      <c r="ES15" s="1442" t="str">
        <f t="shared" si="75"/>
        <v/>
      </c>
      <c r="ET15" s="1443" t="str">
        <f t="shared" si="76"/>
        <v/>
      </c>
      <c r="EU15" s="1444"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581" t="str">
        <f t="shared" si="82"/>
        <v/>
      </c>
      <c r="GB15" s="623" t="str">
        <f t="shared" si="83"/>
        <v/>
      </c>
      <c r="GC15" s="625" t="str">
        <f t="shared" si="84"/>
        <v/>
      </c>
      <c r="GD15" s="626" t="str">
        <f t="shared" si="85"/>
        <v/>
      </c>
      <c r="GE15" s="624" t="str">
        <f t="shared" si="86"/>
        <v/>
      </c>
      <c r="GF15" s="582" t="str">
        <f t="shared" si="87"/>
        <v/>
      </c>
      <c r="GG15" s="692"/>
      <c r="GH15" s="1136"/>
      <c r="GI15" s="692"/>
      <c r="GJ15" s="1136"/>
      <c r="GK15" s="1641">
        <f t="shared" si="88"/>
        <v>0</v>
      </c>
      <c r="GL15" s="1641" t="e">
        <f t="shared" si="89"/>
        <v>#VALUE!</v>
      </c>
      <c r="GM15" s="1642" t="e">
        <f>IF(ABS(GK15-GL15)&gt;='Job Info.'!$L$22,ABS(GK15-GL15),0)</f>
        <v>#VALUE!</v>
      </c>
      <c r="HA15" s="1242"/>
      <c r="HB15" s="1243"/>
      <c r="HC15" s="1243"/>
      <c r="HD15" s="1244"/>
      <c r="HE15" s="1245"/>
      <c r="HF15" s="1243"/>
      <c r="HG15" s="1243"/>
      <c r="HH15" s="1243"/>
      <c r="HI15" s="1243"/>
      <c r="HJ15" s="1243"/>
      <c r="HK15" s="1243"/>
      <c r="HL15" s="1243"/>
      <c r="HM15" s="1243"/>
      <c r="HN15" s="1243"/>
      <c r="HO15" s="1243"/>
      <c r="HP15" s="1243"/>
      <c r="HQ15" s="1243"/>
      <c r="HR15" s="1243"/>
      <c r="HS15" s="1243"/>
      <c r="HT15" s="1243"/>
      <c r="HU15" s="1243"/>
      <c r="HV15" s="1243"/>
      <c r="HW15" s="1243"/>
      <c r="HX15" s="1243"/>
      <c r="HY15" s="1247"/>
      <c r="HZ15" s="1247"/>
      <c r="IA15" s="1247"/>
      <c r="IB15" s="1247"/>
      <c r="IC15" s="1247"/>
      <c r="ID15" s="1262"/>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row>
    <row r="16" spans="1:276" ht="12.6" customHeight="1" x14ac:dyDescent="0.25">
      <c r="A16" s="1215" t="str">
        <f t="shared" si="0"/>
        <v/>
      </c>
      <c r="B16" s="1709" t="str">
        <f t="shared" si="1"/>
        <v/>
      </c>
      <c r="C16" s="1216" t="str">
        <f t="shared" si="2"/>
        <v/>
      </c>
      <c r="D16" s="1217" t="str">
        <f t="shared" si="3"/>
        <v/>
      </c>
      <c r="E16" s="1218" t="str">
        <f t="shared" si="4"/>
        <v/>
      </c>
      <c r="F16" s="1219" t="str">
        <f t="shared" si="5"/>
        <v/>
      </c>
      <c r="G16" s="1220" t="str">
        <f t="shared" si="6"/>
        <v/>
      </c>
      <c r="H16" s="1221" t="str">
        <f t="shared" si="7"/>
        <v/>
      </c>
      <c r="I16" s="1222" t="str">
        <f t="shared" si="8"/>
        <v/>
      </c>
      <c r="J16" s="1217" t="str">
        <f t="shared" si="9"/>
        <v/>
      </c>
      <c r="K16" s="1221" t="str">
        <f t="shared" si="10"/>
        <v/>
      </c>
      <c r="L16" s="1223" t="str">
        <f t="shared" si="11"/>
        <v/>
      </c>
      <c r="M16" s="1224" t="str">
        <f t="shared" si="12"/>
        <v/>
      </c>
      <c r="N16" s="1225" t="str">
        <f t="shared" si="12"/>
        <v/>
      </c>
      <c r="O16" s="1220" t="str">
        <f t="shared" si="13"/>
        <v/>
      </c>
      <c r="P16" s="1221" t="str">
        <f t="shared" si="14"/>
        <v/>
      </c>
      <c r="Q16" s="1217" t="str">
        <f t="shared" si="15"/>
        <v/>
      </c>
      <c r="R16" s="1218" t="str">
        <f t="shared" si="16"/>
        <v/>
      </c>
      <c r="S16" s="1226" t="str">
        <f t="shared" si="17"/>
        <v/>
      </c>
      <c r="T16" s="1221" t="str">
        <f t="shared" si="18"/>
        <v/>
      </c>
      <c r="U16" s="1217" t="str">
        <f t="shared" si="19"/>
        <v/>
      </c>
      <c r="V16" s="1221" t="str">
        <f t="shared" si="20"/>
        <v/>
      </c>
      <c r="W16" s="1225">
        <f t="shared" si="21"/>
        <v>0</v>
      </c>
      <c r="X16" s="1227" t="str">
        <f t="shared" si="22"/>
        <v/>
      </c>
      <c r="Y16" s="1228" t="str">
        <f t="shared" si="23"/>
        <v/>
      </c>
      <c r="Z16" s="1710" t="str">
        <f t="shared" si="24"/>
        <v/>
      </c>
      <c r="AA16" s="1235" t="str">
        <f t="shared" si="25"/>
        <v/>
      </c>
      <c r="AB16" s="1215" t="str">
        <f t="shared" si="26"/>
        <v/>
      </c>
      <c r="AC16" s="1222" t="str">
        <f t="shared" si="27"/>
        <v/>
      </c>
      <c r="AD16" s="1217" t="str">
        <f t="shared" ca="1" si="28"/>
        <v/>
      </c>
      <c r="AE16" s="1221" t="str">
        <f t="shared" ca="1" si="29"/>
        <v/>
      </c>
      <c r="AF16" s="1222" t="str">
        <f t="shared" ca="1" si="30"/>
        <v/>
      </c>
      <c r="AG16" s="1217" t="str">
        <f t="shared" ca="1" si="31"/>
        <v/>
      </c>
      <c r="AH16" s="1221" t="str">
        <f t="shared" ca="1" si="32"/>
        <v/>
      </c>
      <c r="AI16" s="1217" t="str">
        <f t="shared" ca="1" si="33"/>
        <v/>
      </c>
      <c r="AJ16" s="1221" t="str">
        <f t="shared" ca="1" si="34"/>
        <v/>
      </c>
      <c r="AK16" s="1742" t="str">
        <f t="shared" si="35"/>
        <v/>
      </c>
      <c r="AL16" s="1743" t="str">
        <f t="shared" si="36"/>
        <v/>
      </c>
      <c r="AM16" s="1744" t="str">
        <f t="shared" si="35"/>
        <v/>
      </c>
      <c r="AN16" s="1222" t="str">
        <f t="shared" si="35"/>
        <v/>
      </c>
      <c r="AO16" s="1225" t="str">
        <f t="shared" si="35"/>
        <v/>
      </c>
      <c r="AP16" s="1224" t="str">
        <f t="shared" si="37"/>
        <v/>
      </c>
      <c r="AQ16" s="1746" t="str">
        <f t="shared" si="38"/>
        <v/>
      </c>
      <c r="AR16" s="1220" t="str">
        <f t="shared" si="39"/>
        <v/>
      </c>
      <c r="AS16" s="1221" t="str">
        <f t="shared" si="40"/>
        <v/>
      </c>
      <c r="AT16" s="1747" t="str">
        <f t="shared" si="41"/>
        <v/>
      </c>
      <c r="AU16" s="1748" t="str">
        <f t="shared" si="42"/>
        <v/>
      </c>
      <c r="AV16" s="1226" t="str">
        <f t="shared" si="43"/>
        <v/>
      </c>
      <c r="AW16" s="1221" t="str">
        <f t="shared" si="44"/>
        <v/>
      </c>
      <c r="AX16" s="1747" t="str">
        <f t="shared" si="45"/>
        <v/>
      </c>
      <c r="AY16" s="1748" t="str">
        <f t="shared" si="46"/>
        <v/>
      </c>
      <c r="AZ16" s="1226" t="str">
        <f t="shared" si="47"/>
        <v/>
      </c>
      <c r="BA16" s="1221" t="str">
        <f t="shared" si="48"/>
        <v/>
      </c>
      <c r="BB16" s="1747" t="str">
        <f t="shared" si="49"/>
        <v/>
      </c>
      <c r="BC16" s="1748" t="str">
        <f t="shared" si="50"/>
        <v/>
      </c>
      <c r="BD16" s="1226" t="str">
        <f t="shared" si="51"/>
        <v/>
      </c>
      <c r="BE16" s="1221" t="str">
        <f t="shared" si="52"/>
        <v/>
      </c>
      <c r="BF16" s="1747" t="str">
        <f t="shared" si="53"/>
        <v/>
      </c>
      <c r="BG16" s="1748" t="str">
        <f t="shared" si="54"/>
        <v/>
      </c>
      <c r="BH16" s="1417"/>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3">
        <f t="shared" si="62"/>
        <v>6</v>
      </c>
      <c r="BT16" s="990" t="str">
        <f t="shared" si="63"/>
        <v>No</v>
      </c>
      <c r="BU16" s="1303">
        <f t="shared" si="64"/>
        <v>6</v>
      </c>
      <c r="BV16" s="990" t="str">
        <f t="shared" si="65"/>
        <v>No</v>
      </c>
      <c r="BW16" s="991">
        <f t="shared" ca="1" si="66"/>
        <v>0</v>
      </c>
      <c r="BX16" s="991" t="str">
        <f t="shared" ca="1" si="67"/>
        <v/>
      </c>
      <c r="BY16" s="991" t="b">
        <f t="shared" ca="1" si="68"/>
        <v>0</v>
      </c>
      <c r="BZ16" s="991" t="b">
        <f t="shared" si="90"/>
        <v>0</v>
      </c>
      <c r="CB16" s="672"/>
      <c r="CC16" s="1685"/>
      <c r="CD16" s="699"/>
      <c r="CE16" s="700"/>
      <c r="CF16" s="701"/>
      <c r="CG16" s="672"/>
      <c r="CH16" s="713"/>
      <c r="CI16" s="714"/>
      <c r="CJ16" s="713"/>
      <c r="CK16" s="714"/>
      <c r="CL16" s="715"/>
      <c r="CM16" s="743"/>
      <c r="CN16" s="738"/>
      <c r="CO16" s="1552"/>
      <c r="CP16" s="910"/>
      <c r="CQ16" s="672"/>
      <c r="CR16" s="713"/>
      <c r="CS16" s="714"/>
      <c r="CT16" s="713"/>
      <c r="CU16" s="714"/>
      <c r="CV16" s="715"/>
      <c r="CW16" s="743"/>
      <c r="CX16" s="738"/>
      <c r="CY16" s="1552"/>
      <c r="CZ16" s="910"/>
      <c r="DA16" s="717"/>
      <c r="DB16" s="702"/>
      <c r="DC16" s="703"/>
      <c r="DD16" s="725"/>
      <c r="DE16" s="726"/>
      <c r="DF16" s="141"/>
      <c r="DG16" s="141"/>
      <c r="DH16" s="672"/>
      <c r="DI16" s="673"/>
      <c r="DJ16" s="692"/>
      <c r="DK16" s="1332"/>
      <c r="DL16" s="674"/>
      <c r="DM16" s="693"/>
      <c r="DN16" s="1335"/>
      <c r="DO16" s="675"/>
      <c r="DP16" s="676"/>
      <c r="DQ16" s="1420"/>
      <c r="DR16" s="677"/>
      <c r="DS16" s="1420"/>
      <c r="DT16" s="1422"/>
      <c r="DU16" s="1423"/>
      <c r="DV16" s="678"/>
      <c r="DW16" s="1337"/>
      <c r="DX16" s="679"/>
      <c r="DY16" s="674"/>
      <c r="DZ16" s="678"/>
      <c r="EA16" s="1337"/>
      <c r="EB16" s="679"/>
      <c r="EC16" s="674"/>
      <c r="ED16" s="678"/>
      <c r="EE16" s="1337"/>
      <c r="EF16" s="679"/>
      <c r="EG16" s="674"/>
      <c r="EH16" s="678"/>
      <c r="EI16" s="1337"/>
      <c r="EJ16" s="679"/>
      <c r="EK16" s="680"/>
      <c r="EL16" s="241"/>
      <c r="EM16" s="1632" t="str">
        <f t="shared" si="69"/>
        <v/>
      </c>
      <c r="EN16" s="1429" t="str">
        <f t="shared" si="70"/>
        <v/>
      </c>
      <c r="EO16" s="1430" t="str">
        <f t="shared" si="71"/>
        <v/>
      </c>
      <c r="EP16" s="1431" t="str">
        <f t="shared" si="72"/>
        <v/>
      </c>
      <c r="EQ16" s="1435" t="str">
        <f t="shared" si="73"/>
        <v/>
      </c>
      <c r="ER16" s="1441" t="str">
        <f t="shared" si="74"/>
        <v/>
      </c>
      <c r="ES16" s="1442" t="str">
        <f t="shared" si="75"/>
        <v/>
      </c>
      <c r="ET16" s="1443" t="str">
        <f t="shared" si="76"/>
        <v/>
      </c>
      <c r="EU16" s="1444"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581" t="str">
        <f t="shared" si="82"/>
        <v/>
      </c>
      <c r="GB16" s="623" t="str">
        <f t="shared" si="83"/>
        <v/>
      </c>
      <c r="GC16" s="625" t="str">
        <f t="shared" si="84"/>
        <v/>
      </c>
      <c r="GD16" s="626" t="str">
        <f t="shared" si="85"/>
        <v/>
      </c>
      <c r="GE16" s="624" t="str">
        <f t="shared" si="86"/>
        <v/>
      </c>
      <c r="GF16" s="582" t="str">
        <f t="shared" si="87"/>
        <v/>
      </c>
      <c r="GG16" s="692"/>
      <c r="GH16" s="1136"/>
      <c r="GI16" s="692"/>
      <c r="GJ16" s="1136"/>
      <c r="GK16" s="1641">
        <f t="shared" si="88"/>
        <v>0</v>
      </c>
      <c r="GL16" s="1641" t="e">
        <f t="shared" si="89"/>
        <v>#VALUE!</v>
      </c>
      <c r="GM16" s="1642" t="e">
        <f>IF(ABS(GK16-GL16)&gt;='Job Info.'!$L$22,ABS(GK16-GL16),0)</f>
        <v>#VALUE!</v>
      </c>
      <c r="GO16" s="140"/>
      <c r="GP16" s="140"/>
      <c r="GZ16" s="140"/>
      <c r="HA16" s="1242"/>
      <c r="HB16" s="1243"/>
      <c r="HC16" s="1243"/>
      <c r="HD16" s="1244"/>
      <c r="HE16" s="1245"/>
      <c r="HF16" s="1243"/>
      <c r="HG16" s="1243"/>
      <c r="HH16" s="1243"/>
      <c r="HI16" s="1243"/>
      <c r="HJ16" s="1243"/>
      <c r="HK16" s="1243"/>
      <c r="HL16" s="1243"/>
      <c r="HM16" s="1243"/>
      <c r="HN16" s="1243"/>
      <c r="HO16" s="1243"/>
      <c r="HP16" s="1243"/>
      <c r="HQ16" s="1243"/>
      <c r="HR16" s="1243"/>
      <c r="HS16" s="1243"/>
      <c r="HT16" s="1243"/>
      <c r="HU16" s="1243"/>
      <c r="HV16" s="1243"/>
      <c r="HW16" s="1243"/>
      <c r="HX16" s="1243"/>
      <c r="HY16" s="1247"/>
      <c r="HZ16" s="1247"/>
      <c r="IA16" s="1247"/>
      <c r="IB16" s="1247"/>
      <c r="IC16" s="1247"/>
      <c r="ID16" s="1262"/>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99">IF(ISBLANK(JK16),IF(JL15=0,0,IF(VALUE(OFFSET(JK16,JL15*-1,0))&lt;JL15+1,0,JL15+1)),1)</f>
        <v>0</v>
      </c>
    </row>
    <row r="17" spans="1:272" ht="12.6" customHeight="1" x14ac:dyDescent="0.25">
      <c r="A17" s="1215" t="str">
        <f t="shared" si="0"/>
        <v/>
      </c>
      <c r="B17" s="1709" t="str">
        <f t="shared" si="1"/>
        <v/>
      </c>
      <c r="C17" s="1216" t="str">
        <f t="shared" si="2"/>
        <v/>
      </c>
      <c r="D17" s="1217" t="str">
        <f t="shared" si="3"/>
        <v/>
      </c>
      <c r="E17" s="1218" t="str">
        <f t="shared" si="4"/>
        <v/>
      </c>
      <c r="F17" s="1219" t="str">
        <f t="shared" si="5"/>
        <v/>
      </c>
      <c r="G17" s="1220" t="str">
        <f t="shared" si="6"/>
        <v/>
      </c>
      <c r="H17" s="1221" t="str">
        <f t="shared" si="7"/>
        <v/>
      </c>
      <c r="I17" s="1222" t="str">
        <f t="shared" si="8"/>
        <v/>
      </c>
      <c r="J17" s="1217" t="str">
        <f t="shared" si="9"/>
        <v/>
      </c>
      <c r="K17" s="1221" t="str">
        <f t="shared" si="10"/>
        <v/>
      </c>
      <c r="L17" s="1223" t="str">
        <f t="shared" si="11"/>
        <v/>
      </c>
      <c r="M17" s="1224" t="str">
        <f t="shared" si="12"/>
        <v/>
      </c>
      <c r="N17" s="1225" t="str">
        <f t="shared" si="12"/>
        <v/>
      </c>
      <c r="O17" s="1220" t="str">
        <f t="shared" si="13"/>
        <v/>
      </c>
      <c r="P17" s="1221" t="str">
        <f t="shared" si="14"/>
        <v/>
      </c>
      <c r="Q17" s="1217" t="str">
        <f t="shared" si="15"/>
        <v/>
      </c>
      <c r="R17" s="1218" t="str">
        <f t="shared" si="16"/>
        <v/>
      </c>
      <c r="S17" s="1226" t="str">
        <f t="shared" si="17"/>
        <v/>
      </c>
      <c r="T17" s="1221" t="str">
        <f t="shared" si="18"/>
        <v/>
      </c>
      <c r="U17" s="1217" t="str">
        <f t="shared" si="19"/>
        <v/>
      </c>
      <c r="V17" s="1221" t="str">
        <f t="shared" si="20"/>
        <v/>
      </c>
      <c r="W17" s="1225">
        <f t="shared" si="21"/>
        <v>0</v>
      </c>
      <c r="X17" s="1227" t="str">
        <f t="shared" si="22"/>
        <v/>
      </c>
      <c r="Y17" s="1228" t="str">
        <f t="shared" si="23"/>
        <v/>
      </c>
      <c r="Z17" s="1710" t="str">
        <f t="shared" si="24"/>
        <v/>
      </c>
      <c r="AA17" s="1235" t="str">
        <f t="shared" si="25"/>
        <v/>
      </c>
      <c r="AB17" s="1215" t="str">
        <f t="shared" si="26"/>
        <v/>
      </c>
      <c r="AC17" s="1222" t="str">
        <f t="shared" si="27"/>
        <v/>
      </c>
      <c r="AD17" s="1217" t="str">
        <f t="shared" ca="1" si="28"/>
        <v/>
      </c>
      <c r="AE17" s="1221" t="str">
        <f t="shared" ca="1" si="29"/>
        <v/>
      </c>
      <c r="AF17" s="1222" t="str">
        <f t="shared" ca="1" si="30"/>
        <v/>
      </c>
      <c r="AG17" s="1217" t="str">
        <f t="shared" ca="1" si="31"/>
        <v/>
      </c>
      <c r="AH17" s="1221" t="str">
        <f t="shared" ca="1" si="32"/>
        <v/>
      </c>
      <c r="AI17" s="1217" t="str">
        <f t="shared" ca="1" si="33"/>
        <v/>
      </c>
      <c r="AJ17" s="1221" t="str">
        <f t="shared" ca="1" si="34"/>
        <v/>
      </c>
      <c r="AK17" s="1742" t="str">
        <f t="shared" si="35"/>
        <v/>
      </c>
      <c r="AL17" s="1743" t="str">
        <f t="shared" si="36"/>
        <v/>
      </c>
      <c r="AM17" s="1744" t="str">
        <f t="shared" si="35"/>
        <v/>
      </c>
      <c r="AN17" s="1222" t="str">
        <f t="shared" si="35"/>
        <v/>
      </c>
      <c r="AO17" s="1225" t="str">
        <f t="shared" si="35"/>
        <v/>
      </c>
      <c r="AP17" s="1224" t="str">
        <f t="shared" si="37"/>
        <v/>
      </c>
      <c r="AQ17" s="1746" t="str">
        <f t="shared" si="38"/>
        <v/>
      </c>
      <c r="AR17" s="1220" t="str">
        <f t="shared" si="39"/>
        <v/>
      </c>
      <c r="AS17" s="1221" t="str">
        <f t="shared" si="40"/>
        <v/>
      </c>
      <c r="AT17" s="1747" t="str">
        <f t="shared" si="41"/>
        <v/>
      </c>
      <c r="AU17" s="1748" t="str">
        <f t="shared" si="42"/>
        <v/>
      </c>
      <c r="AV17" s="1226" t="str">
        <f t="shared" si="43"/>
        <v/>
      </c>
      <c r="AW17" s="1221" t="str">
        <f t="shared" si="44"/>
        <v/>
      </c>
      <c r="AX17" s="1747" t="str">
        <f t="shared" si="45"/>
        <v/>
      </c>
      <c r="AY17" s="1748" t="str">
        <f t="shared" si="46"/>
        <v/>
      </c>
      <c r="AZ17" s="1226" t="str">
        <f t="shared" si="47"/>
        <v/>
      </c>
      <c r="BA17" s="1221" t="str">
        <f t="shared" si="48"/>
        <v/>
      </c>
      <c r="BB17" s="1747" t="str">
        <f t="shared" si="49"/>
        <v/>
      </c>
      <c r="BC17" s="1748" t="str">
        <f t="shared" si="50"/>
        <v/>
      </c>
      <c r="BD17" s="1226" t="str">
        <f t="shared" si="51"/>
        <v/>
      </c>
      <c r="BE17" s="1221" t="str">
        <f t="shared" si="52"/>
        <v/>
      </c>
      <c r="BF17" s="1747" t="str">
        <f t="shared" si="53"/>
        <v/>
      </c>
      <c r="BG17" s="1748" t="str">
        <f t="shared" si="54"/>
        <v/>
      </c>
      <c r="BH17" s="1417"/>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3">
        <f t="shared" si="62"/>
        <v>6</v>
      </c>
      <c r="BT17" s="990" t="str">
        <f t="shared" si="63"/>
        <v>No</v>
      </c>
      <c r="BU17" s="1303">
        <f t="shared" si="64"/>
        <v>6</v>
      </c>
      <c r="BV17" s="990" t="str">
        <f t="shared" si="65"/>
        <v>No</v>
      </c>
      <c r="BW17" s="991">
        <f t="shared" ca="1" si="66"/>
        <v>0</v>
      </c>
      <c r="BX17" s="991" t="str">
        <f t="shared" ca="1" si="67"/>
        <v/>
      </c>
      <c r="BY17" s="991" t="b">
        <f t="shared" ca="1" si="68"/>
        <v>0</v>
      </c>
      <c r="BZ17" s="991" t="b">
        <f t="shared" si="90"/>
        <v>0</v>
      </c>
      <c r="CB17" s="672"/>
      <c r="CC17" s="1685"/>
      <c r="CD17" s="699"/>
      <c r="CE17" s="700"/>
      <c r="CF17" s="701"/>
      <c r="CG17" s="672"/>
      <c r="CH17" s="713"/>
      <c r="CI17" s="714"/>
      <c r="CJ17" s="713"/>
      <c r="CK17" s="714"/>
      <c r="CL17" s="715"/>
      <c r="CM17" s="743"/>
      <c r="CN17" s="738"/>
      <c r="CO17" s="1552"/>
      <c r="CP17" s="910"/>
      <c r="CQ17" s="672"/>
      <c r="CR17" s="713"/>
      <c r="CS17" s="714"/>
      <c r="CT17" s="713"/>
      <c r="CU17" s="714"/>
      <c r="CV17" s="715"/>
      <c r="CW17" s="743"/>
      <c r="CX17" s="738"/>
      <c r="CY17" s="1552"/>
      <c r="CZ17" s="910"/>
      <c r="DA17" s="717"/>
      <c r="DB17" s="702"/>
      <c r="DC17" s="703"/>
      <c r="DD17" s="725"/>
      <c r="DE17" s="726"/>
      <c r="DF17" s="141"/>
      <c r="DG17" s="141"/>
      <c r="DH17" s="672"/>
      <c r="DI17" s="673"/>
      <c r="DJ17" s="692"/>
      <c r="DK17" s="1332"/>
      <c r="DL17" s="674"/>
      <c r="DM17" s="693"/>
      <c r="DN17" s="1335"/>
      <c r="DO17" s="675"/>
      <c r="DP17" s="676"/>
      <c r="DQ17" s="1420"/>
      <c r="DR17" s="677"/>
      <c r="DS17" s="1420"/>
      <c r="DT17" s="1422"/>
      <c r="DU17" s="1423"/>
      <c r="DV17" s="678"/>
      <c r="DW17" s="1337"/>
      <c r="DX17" s="679"/>
      <c r="DY17" s="674"/>
      <c r="DZ17" s="678"/>
      <c r="EA17" s="1337"/>
      <c r="EB17" s="679"/>
      <c r="EC17" s="674"/>
      <c r="ED17" s="678"/>
      <c r="EE17" s="1337"/>
      <c r="EF17" s="679"/>
      <c r="EG17" s="674"/>
      <c r="EH17" s="678"/>
      <c r="EI17" s="1337"/>
      <c r="EJ17" s="679"/>
      <c r="EK17" s="680"/>
      <c r="EL17" s="241"/>
      <c r="EM17" s="1632" t="str">
        <f t="shared" si="69"/>
        <v/>
      </c>
      <c r="EN17" s="1429" t="str">
        <f t="shared" si="70"/>
        <v/>
      </c>
      <c r="EO17" s="1430" t="str">
        <f t="shared" si="71"/>
        <v/>
      </c>
      <c r="EP17" s="1431" t="str">
        <f t="shared" si="72"/>
        <v/>
      </c>
      <c r="EQ17" s="1435" t="str">
        <f t="shared" si="73"/>
        <v/>
      </c>
      <c r="ER17" s="1441" t="str">
        <f t="shared" si="74"/>
        <v/>
      </c>
      <c r="ES17" s="1442" t="str">
        <f t="shared" si="75"/>
        <v/>
      </c>
      <c r="ET17" s="1443" t="str">
        <f t="shared" si="76"/>
        <v/>
      </c>
      <c r="EU17" s="1444"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581" t="str">
        <f t="shared" si="82"/>
        <v/>
      </c>
      <c r="GB17" s="623" t="str">
        <f t="shared" si="83"/>
        <v/>
      </c>
      <c r="GC17" s="625" t="str">
        <f t="shared" si="84"/>
        <v/>
      </c>
      <c r="GD17" s="626" t="str">
        <f t="shared" si="85"/>
        <v/>
      </c>
      <c r="GE17" s="624" t="str">
        <f t="shared" si="86"/>
        <v/>
      </c>
      <c r="GF17" s="582" t="str">
        <f t="shared" si="87"/>
        <v/>
      </c>
      <c r="GG17" s="692"/>
      <c r="GH17" s="1136"/>
      <c r="GI17" s="692"/>
      <c r="GJ17" s="1136"/>
      <c r="GK17" s="1641">
        <f t="shared" si="88"/>
        <v>0</v>
      </c>
      <c r="GL17" s="1641" t="e">
        <f t="shared" si="89"/>
        <v>#VALUE!</v>
      </c>
      <c r="GM17" s="1642" t="e">
        <f>IF(ABS(GK17-GL17)&gt;='Job Info.'!$L$22,ABS(GK17-GL17),0)</f>
        <v>#VALUE!</v>
      </c>
      <c r="HA17" s="1242"/>
      <c r="HB17" s="1243"/>
      <c r="HC17" s="1243"/>
      <c r="HD17" s="1244"/>
      <c r="HE17" s="1245"/>
      <c r="HF17" s="1243"/>
      <c r="HG17" s="1243"/>
      <c r="HH17" s="1243"/>
      <c r="HI17" s="1243"/>
      <c r="HJ17" s="1243"/>
      <c r="HK17" s="1243"/>
      <c r="HL17" s="1243"/>
      <c r="HM17" s="1243"/>
      <c r="HN17" s="1243"/>
      <c r="HO17" s="1243"/>
      <c r="HP17" s="1243"/>
      <c r="HQ17" s="1243"/>
      <c r="HR17" s="1243"/>
      <c r="HS17" s="1243"/>
      <c r="HT17" s="1243"/>
      <c r="HU17" s="1243"/>
      <c r="HV17" s="1243"/>
      <c r="HW17" s="1243"/>
      <c r="HX17" s="1243"/>
      <c r="HY17" s="1247"/>
      <c r="HZ17" s="1247"/>
      <c r="IA17" s="1247"/>
      <c r="IB17" s="1247"/>
      <c r="IC17" s="1247"/>
      <c r="ID17" s="1262"/>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99"/>
        <v>0</v>
      </c>
    </row>
    <row r="18" spans="1:272" ht="12.6" customHeight="1" x14ac:dyDescent="0.25">
      <c r="A18" s="1215" t="str">
        <f t="shared" si="0"/>
        <v/>
      </c>
      <c r="B18" s="1709" t="str">
        <f t="shared" si="1"/>
        <v/>
      </c>
      <c r="C18" s="1216" t="str">
        <f t="shared" si="2"/>
        <v/>
      </c>
      <c r="D18" s="1217" t="str">
        <f t="shared" si="3"/>
        <v/>
      </c>
      <c r="E18" s="1218" t="str">
        <f t="shared" si="4"/>
        <v/>
      </c>
      <c r="F18" s="1219" t="str">
        <f t="shared" si="5"/>
        <v/>
      </c>
      <c r="G18" s="1220" t="str">
        <f t="shared" si="6"/>
        <v/>
      </c>
      <c r="H18" s="1221" t="str">
        <f t="shared" si="7"/>
        <v/>
      </c>
      <c r="I18" s="1222" t="str">
        <f t="shared" si="8"/>
        <v/>
      </c>
      <c r="J18" s="1217" t="str">
        <f t="shared" si="9"/>
        <v/>
      </c>
      <c r="K18" s="1221" t="str">
        <f t="shared" si="10"/>
        <v/>
      </c>
      <c r="L18" s="1223" t="str">
        <f t="shared" si="11"/>
        <v/>
      </c>
      <c r="M18" s="1224" t="str">
        <f t="shared" si="12"/>
        <v/>
      </c>
      <c r="N18" s="1225" t="str">
        <f t="shared" si="12"/>
        <v/>
      </c>
      <c r="O18" s="1220" t="str">
        <f t="shared" si="13"/>
        <v/>
      </c>
      <c r="P18" s="1221" t="str">
        <f t="shared" si="14"/>
        <v/>
      </c>
      <c r="Q18" s="1217" t="str">
        <f t="shared" si="15"/>
        <v/>
      </c>
      <c r="R18" s="1218" t="str">
        <f t="shared" si="16"/>
        <v/>
      </c>
      <c r="S18" s="1226" t="str">
        <f t="shared" si="17"/>
        <v/>
      </c>
      <c r="T18" s="1221" t="str">
        <f t="shared" si="18"/>
        <v/>
      </c>
      <c r="U18" s="1217" t="str">
        <f t="shared" si="19"/>
        <v/>
      </c>
      <c r="V18" s="1221" t="str">
        <f t="shared" si="20"/>
        <v/>
      </c>
      <c r="W18" s="1225">
        <f t="shared" si="21"/>
        <v>0</v>
      </c>
      <c r="X18" s="1227" t="str">
        <f t="shared" si="22"/>
        <v/>
      </c>
      <c r="Y18" s="1228" t="str">
        <f t="shared" si="23"/>
        <v/>
      </c>
      <c r="Z18" s="1710" t="str">
        <f t="shared" si="24"/>
        <v/>
      </c>
      <c r="AA18" s="1235" t="str">
        <f t="shared" si="25"/>
        <v/>
      </c>
      <c r="AB18" s="1215" t="str">
        <f t="shared" si="26"/>
        <v/>
      </c>
      <c r="AC18" s="1222" t="str">
        <f t="shared" si="27"/>
        <v/>
      </c>
      <c r="AD18" s="1217" t="str">
        <f t="shared" ca="1" si="28"/>
        <v/>
      </c>
      <c r="AE18" s="1221" t="str">
        <f t="shared" ca="1" si="29"/>
        <v/>
      </c>
      <c r="AF18" s="1222" t="str">
        <f t="shared" ca="1" si="30"/>
        <v/>
      </c>
      <c r="AG18" s="1217" t="str">
        <f t="shared" ca="1" si="31"/>
        <v/>
      </c>
      <c r="AH18" s="1221" t="str">
        <f t="shared" ca="1" si="32"/>
        <v/>
      </c>
      <c r="AI18" s="1217" t="str">
        <f t="shared" ca="1" si="33"/>
        <v/>
      </c>
      <c r="AJ18" s="1221" t="str">
        <f t="shared" ca="1" si="34"/>
        <v/>
      </c>
      <c r="AK18" s="1742" t="str">
        <f t="shared" si="35"/>
        <v/>
      </c>
      <c r="AL18" s="1743" t="str">
        <f t="shared" si="36"/>
        <v/>
      </c>
      <c r="AM18" s="1744" t="str">
        <f t="shared" si="35"/>
        <v/>
      </c>
      <c r="AN18" s="1222" t="str">
        <f t="shared" si="35"/>
        <v/>
      </c>
      <c r="AO18" s="1225" t="str">
        <f t="shared" si="35"/>
        <v/>
      </c>
      <c r="AP18" s="1224" t="str">
        <f t="shared" si="37"/>
        <v/>
      </c>
      <c r="AQ18" s="1746" t="str">
        <f t="shared" si="38"/>
        <v/>
      </c>
      <c r="AR18" s="1220" t="str">
        <f t="shared" si="39"/>
        <v/>
      </c>
      <c r="AS18" s="1221" t="str">
        <f t="shared" si="40"/>
        <v/>
      </c>
      <c r="AT18" s="1747" t="str">
        <f t="shared" si="41"/>
        <v/>
      </c>
      <c r="AU18" s="1748" t="str">
        <f t="shared" si="42"/>
        <v/>
      </c>
      <c r="AV18" s="1226" t="str">
        <f t="shared" si="43"/>
        <v/>
      </c>
      <c r="AW18" s="1221" t="str">
        <f t="shared" si="44"/>
        <v/>
      </c>
      <c r="AX18" s="1747" t="str">
        <f t="shared" si="45"/>
        <v/>
      </c>
      <c r="AY18" s="1748" t="str">
        <f t="shared" si="46"/>
        <v/>
      </c>
      <c r="AZ18" s="1226" t="str">
        <f t="shared" si="47"/>
        <v/>
      </c>
      <c r="BA18" s="1221" t="str">
        <f t="shared" si="48"/>
        <v/>
      </c>
      <c r="BB18" s="1747" t="str">
        <f t="shared" si="49"/>
        <v/>
      </c>
      <c r="BC18" s="1748" t="str">
        <f t="shared" si="50"/>
        <v/>
      </c>
      <c r="BD18" s="1226" t="str">
        <f t="shared" si="51"/>
        <v/>
      </c>
      <c r="BE18" s="1221" t="str">
        <f t="shared" si="52"/>
        <v/>
      </c>
      <c r="BF18" s="1747" t="str">
        <f t="shared" si="53"/>
        <v/>
      </c>
      <c r="BG18" s="1748" t="str">
        <f t="shared" si="54"/>
        <v/>
      </c>
      <c r="BH18" s="1417"/>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3">
        <f t="shared" si="62"/>
        <v>6</v>
      </c>
      <c r="BT18" s="990" t="str">
        <f t="shared" si="63"/>
        <v>No</v>
      </c>
      <c r="BU18" s="1303">
        <f t="shared" si="64"/>
        <v>6</v>
      </c>
      <c r="BV18" s="990" t="str">
        <f t="shared" si="65"/>
        <v>No</v>
      </c>
      <c r="BW18" s="991">
        <f t="shared" ca="1" si="66"/>
        <v>0</v>
      </c>
      <c r="BX18" s="991" t="str">
        <f t="shared" ca="1" si="67"/>
        <v/>
      </c>
      <c r="BY18" s="991" t="b">
        <f t="shared" ca="1" si="68"/>
        <v>0</v>
      </c>
      <c r="BZ18" s="991" t="b">
        <f t="shared" si="90"/>
        <v>0</v>
      </c>
      <c r="CB18" s="672"/>
      <c r="CC18" s="1685"/>
      <c r="CD18" s="699"/>
      <c r="CE18" s="700"/>
      <c r="CF18" s="701"/>
      <c r="CG18" s="672"/>
      <c r="CH18" s="713"/>
      <c r="CI18" s="714"/>
      <c r="CJ18" s="713"/>
      <c r="CK18" s="714"/>
      <c r="CL18" s="715"/>
      <c r="CM18" s="743"/>
      <c r="CN18" s="738"/>
      <c r="CO18" s="1552"/>
      <c r="CP18" s="910"/>
      <c r="CQ18" s="672"/>
      <c r="CR18" s="713"/>
      <c r="CS18" s="714"/>
      <c r="CT18" s="713"/>
      <c r="CU18" s="714"/>
      <c r="CV18" s="715"/>
      <c r="CW18" s="743"/>
      <c r="CX18" s="738"/>
      <c r="CY18" s="1552"/>
      <c r="CZ18" s="910"/>
      <c r="DA18" s="717"/>
      <c r="DB18" s="702"/>
      <c r="DC18" s="703"/>
      <c r="DD18" s="725"/>
      <c r="DE18" s="726"/>
      <c r="DF18" s="141"/>
      <c r="DG18" s="141"/>
      <c r="DH18" s="672"/>
      <c r="DI18" s="673"/>
      <c r="DJ18" s="692"/>
      <c r="DK18" s="1332"/>
      <c r="DL18" s="674"/>
      <c r="DM18" s="693"/>
      <c r="DN18" s="1335"/>
      <c r="DO18" s="675"/>
      <c r="DP18" s="676"/>
      <c r="DQ18" s="1420"/>
      <c r="DR18" s="677"/>
      <c r="DS18" s="1420"/>
      <c r="DT18" s="1422"/>
      <c r="DU18" s="1423"/>
      <c r="DV18" s="678"/>
      <c r="DW18" s="1337"/>
      <c r="DX18" s="679"/>
      <c r="DY18" s="674"/>
      <c r="DZ18" s="678"/>
      <c r="EA18" s="1337"/>
      <c r="EB18" s="679"/>
      <c r="EC18" s="674"/>
      <c r="ED18" s="678"/>
      <c r="EE18" s="1337"/>
      <c r="EF18" s="679"/>
      <c r="EG18" s="674"/>
      <c r="EH18" s="678"/>
      <c r="EI18" s="1337"/>
      <c r="EJ18" s="679"/>
      <c r="EK18" s="680"/>
      <c r="EL18" s="241"/>
      <c r="EM18" s="1632" t="str">
        <f t="shared" si="69"/>
        <v/>
      </c>
      <c r="EN18" s="1429" t="str">
        <f t="shared" si="70"/>
        <v/>
      </c>
      <c r="EO18" s="1430" t="str">
        <f t="shared" si="71"/>
        <v/>
      </c>
      <c r="EP18" s="1431" t="str">
        <f t="shared" si="72"/>
        <v/>
      </c>
      <c r="EQ18" s="1435" t="str">
        <f t="shared" si="73"/>
        <v/>
      </c>
      <c r="ER18" s="1441" t="str">
        <f t="shared" si="74"/>
        <v/>
      </c>
      <c r="ES18" s="1442" t="str">
        <f t="shared" si="75"/>
        <v/>
      </c>
      <c r="ET18" s="1443" t="str">
        <f t="shared" si="76"/>
        <v/>
      </c>
      <c r="EU18" s="1444"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581" t="str">
        <f t="shared" si="82"/>
        <v/>
      </c>
      <c r="GB18" s="623" t="str">
        <f t="shared" si="83"/>
        <v/>
      </c>
      <c r="GC18" s="625" t="str">
        <f t="shared" si="84"/>
        <v/>
      </c>
      <c r="GD18" s="626" t="str">
        <f t="shared" si="85"/>
        <v/>
      </c>
      <c r="GE18" s="624" t="str">
        <f t="shared" si="86"/>
        <v/>
      </c>
      <c r="GF18" s="582" t="str">
        <f t="shared" si="87"/>
        <v/>
      </c>
      <c r="GG18" s="692"/>
      <c r="GH18" s="1136"/>
      <c r="GI18" s="692"/>
      <c r="GJ18" s="1136"/>
      <c r="GK18" s="1641">
        <f t="shared" si="88"/>
        <v>0</v>
      </c>
      <c r="GL18" s="1641" t="e">
        <f t="shared" si="89"/>
        <v>#VALUE!</v>
      </c>
      <c r="GM18" s="1642" t="e">
        <f>IF(ABS(GK18-GL18)&gt;='Job Info.'!$L$22,ABS(GK18-GL18),0)</f>
        <v>#VALUE!</v>
      </c>
      <c r="HA18" s="1242"/>
      <c r="HB18" s="1243"/>
      <c r="HC18" s="1243"/>
      <c r="HD18" s="1244"/>
      <c r="HE18" s="1245"/>
      <c r="HF18" s="1243"/>
      <c r="HG18" s="1243"/>
      <c r="HH18" s="1243"/>
      <c r="HI18" s="1243"/>
      <c r="HJ18" s="1243"/>
      <c r="HK18" s="1243"/>
      <c r="HL18" s="1243"/>
      <c r="HM18" s="1243"/>
      <c r="HN18" s="1243"/>
      <c r="HO18" s="1243"/>
      <c r="HP18" s="1243"/>
      <c r="HQ18" s="1243"/>
      <c r="HR18" s="1243"/>
      <c r="HS18" s="1243"/>
      <c r="HT18" s="1243"/>
      <c r="HU18" s="1243"/>
      <c r="HV18" s="1243"/>
      <c r="HW18" s="1243"/>
      <c r="HX18" s="1243"/>
      <c r="HY18" s="1247"/>
      <c r="HZ18" s="1247"/>
      <c r="IA18" s="1247"/>
      <c r="IB18" s="1247"/>
      <c r="IC18" s="1247"/>
      <c r="ID18" s="1262"/>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99"/>
        <v>0</v>
      </c>
    </row>
    <row r="19" spans="1:272" ht="12.6" customHeight="1" x14ac:dyDescent="0.25">
      <c r="A19" s="1215" t="str">
        <f t="shared" si="0"/>
        <v/>
      </c>
      <c r="B19" s="1709" t="str">
        <f t="shared" si="1"/>
        <v/>
      </c>
      <c r="C19" s="1216" t="str">
        <f t="shared" si="2"/>
        <v/>
      </c>
      <c r="D19" s="1217" t="str">
        <f t="shared" si="3"/>
        <v/>
      </c>
      <c r="E19" s="1218" t="str">
        <f t="shared" si="4"/>
        <v/>
      </c>
      <c r="F19" s="1219" t="str">
        <f t="shared" si="5"/>
        <v/>
      </c>
      <c r="G19" s="1220" t="str">
        <f t="shared" si="6"/>
        <v/>
      </c>
      <c r="H19" s="1221" t="str">
        <f t="shared" si="7"/>
        <v/>
      </c>
      <c r="I19" s="1222" t="str">
        <f t="shared" si="8"/>
        <v/>
      </c>
      <c r="J19" s="1217" t="str">
        <f t="shared" si="9"/>
        <v/>
      </c>
      <c r="K19" s="1221" t="str">
        <f t="shared" si="10"/>
        <v/>
      </c>
      <c r="L19" s="1223" t="str">
        <f t="shared" si="11"/>
        <v/>
      </c>
      <c r="M19" s="1224" t="str">
        <f t="shared" si="12"/>
        <v/>
      </c>
      <c r="N19" s="1225" t="str">
        <f t="shared" si="12"/>
        <v/>
      </c>
      <c r="O19" s="1220" t="str">
        <f t="shared" si="13"/>
        <v/>
      </c>
      <c r="P19" s="1221" t="str">
        <f t="shared" si="14"/>
        <v/>
      </c>
      <c r="Q19" s="1217" t="str">
        <f t="shared" si="15"/>
        <v/>
      </c>
      <c r="R19" s="1218" t="str">
        <f t="shared" si="16"/>
        <v/>
      </c>
      <c r="S19" s="1226" t="str">
        <f t="shared" si="17"/>
        <v/>
      </c>
      <c r="T19" s="1221" t="str">
        <f t="shared" si="18"/>
        <v/>
      </c>
      <c r="U19" s="1217" t="str">
        <f t="shared" si="19"/>
        <v/>
      </c>
      <c r="V19" s="1221" t="str">
        <f t="shared" si="20"/>
        <v/>
      </c>
      <c r="W19" s="1225">
        <f t="shared" si="21"/>
        <v>0</v>
      </c>
      <c r="X19" s="1227" t="str">
        <f t="shared" si="22"/>
        <v/>
      </c>
      <c r="Y19" s="1228" t="str">
        <f t="shared" si="23"/>
        <v/>
      </c>
      <c r="Z19" s="1710" t="str">
        <f t="shared" si="24"/>
        <v/>
      </c>
      <c r="AA19" s="1235" t="str">
        <f t="shared" si="25"/>
        <v/>
      </c>
      <c r="AB19" s="1215" t="str">
        <f t="shared" si="26"/>
        <v/>
      </c>
      <c r="AC19" s="1222" t="str">
        <f t="shared" si="27"/>
        <v/>
      </c>
      <c r="AD19" s="1217" t="str">
        <f t="shared" ca="1" si="28"/>
        <v/>
      </c>
      <c r="AE19" s="1221" t="str">
        <f t="shared" ca="1" si="29"/>
        <v/>
      </c>
      <c r="AF19" s="1222" t="str">
        <f t="shared" ca="1" si="30"/>
        <v/>
      </c>
      <c r="AG19" s="1217" t="str">
        <f t="shared" ca="1" si="31"/>
        <v/>
      </c>
      <c r="AH19" s="1221" t="str">
        <f t="shared" ca="1" si="32"/>
        <v/>
      </c>
      <c r="AI19" s="1217" t="str">
        <f t="shared" ca="1" si="33"/>
        <v/>
      </c>
      <c r="AJ19" s="1221" t="str">
        <f t="shared" ca="1" si="34"/>
        <v/>
      </c>
      <c r="AK19" s="1742" t="str">
        <f t="shared" si="35"/>
        <v/>
      </c>
      <c r="AL19" s="1743" t="str">
        <f t="shared" si="36"/>
        <v/>
      </c>
      <c r="AM19" s="1744" t="str">
        <f t="shared" si="35"/>
        <v/>
      </c>
      <c r="AN19" s="1222" t="str">
        <f t="shared" si="35"/>
        <v/>
      </c>
      <c r="AO19" s="1225" t="str">
        <f t="shared" si="35"/>
        <v/>
      </c>
      <c r="AP19" s="1224" t="str">
        <f t="shared" si="37"/>
        <v/>
      </c>
      <c r="AQ19" s="1746" t="str">
        <f t="shared" si="38"/>
        <v/>
      </c>
      <c r="AR19" s="1220" t="str">
        <f t="shared" si="39"/>
        <v/>
      </c>
      <c r="AS19" s="1221" t="str">
        <f t="shared" si="40"/>
        <v/>
      </c>
      <c r="AT19" s="1747" t="str">
        <f t="shared" si="41"/>
        <v/>
      </c>
      <c r="AU19" s="1748" t="str">
        <f t="shared" si="42"/>
        <v/>
      </c>
      <c r="AV19" s="1226" t="str">
        <f t="shared" si="43"/>
        <v/>
      </c>
      <c r="AW19" s="1221" t="str">
        <f t="shared" si="44"/>
        <v/>
      </c>
      <c r="AX19" s="1747" t="str">
        <f t="shared" si="45"/>
        <v/>
      </c>
      <c r="AY19" s="1748" t="str">
        <f t="shared" si="46"/>
        <v/>
      </c>
      <c r="AZ19" s="1226" t="str">
        <f t="shared" si="47"/>
        <v/>
      </c>
      <c r="BA19" s="1221" t="str">
        <f t="shared" si="48"/>
        <v/>
      </c>
      <c r="BB19" s="1747" t="str">
        <f t="shared" si="49"/>
        <v/>
      </c>
      <c r="BC19" s="1748" t="str">
        <f t="shared" si="50"/>
        <v/>
      </c>
      <c r="BD19" s="1226" t="str">
        <f t="shared" si="51"/>
        <v/>
      </c>
      <c r="BE19" s="1221" t="str">
        <f t="shared" si="52"/>
        <v/>
      </c>
      <c r="BF19" s="1747" t="str">
        <f t="shared" si="53"/>
        <v/>
      </c>
      <c r="BG19" s="1748" t="str">
        <f t="shared" si="54"/>
        <v/>
      </c>
      <c r="BH19" s="1417"/>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3">
        <f t="shared" si="62"/>
        <v>6</v>
      </c>
      <c r="BT19" s="990" t="str">
        <f t="shared" si="63"/>
        <v>No</v>
      </c>
      <c r="BU19" s="1303">
        <f t="shared" si="64"/>
        <v>6</v>
      </c>
      <c r="BV19" s="990" t="str">
        <f t="shared" si="65"/>
        <v>No</v>
      </c>
      <c r="BW19" s="991">
        <f t="shared" ca="1" si="66"/>
        <v>0</v>
      </c>
      <c r="BX19" s="991" t="str">
        <f t="shared" ca="1" si="67"/>
        <v/>
      </c>
      <c r="BY19" s="991" t="b">
        <f t="shared" ca="1" si="68"/>
        <v>0</v>
      </c>
      <c r="BZ19" s="991" t="b">
        <f t="shared" si="90"/>
        <v>0</v>
      </c>
      <c r="CB19" s="672"/>
      <c r="CC19" s="1685"/>
      <c r="CD19" s="699"/>
      <c r="CE19" s="700"/>
      <c r="CF19" s="701"/>
      <c r="CG19" s="672"/>
      <c r="CH19" s="713"/>
      <c r="CI19" s="714"/>
      <c r="CJ19" s="713"/>
      <c r="CK19" s="714"/>
      <c r="CL19" s="715"/>
      <c r="CM19" s="743"/>
      <c r="CN19" s="738"/>
      <c r="CO19" s="1552"/>
      <c r="CP19" s="910"/>
      <c r="CQ19" s="672"/>
      <c r="CR19" s="713"/>
      <c r="CS19" s="714"/>
      <c r="CT19" s="713"/>
      <c r="CU19" s="714"/>
      <c r="CV19" s="715"/>
      <c r="CW19" s="743"/>
      <c r="CX19" s="738"/>
      <c r="CY19" s="1552"/>
      <c r="CZ19" s="910"/>
      <c r="DA19" s="717"/>
      <c r="DB19" s="702"/>
      <c r="DC19" s="703"/>
      <c r="DD19" s="725"/>
      <c r="DE19" s="726"/>
      <c r="DF19" s="141"/>
      <c r="DG19" s="141"/>
      <c r="DH19" s="672"/>
      <c r="DI19" s="673"/>
      <c r="DJ19" s="692"/>
      <c r="DK19" s="1332"/>
      <c r="DL19" s="674"/>
      <c r="DM19" s="693"/>
      <c r="DN19" s="1335"/>
      <c r="DO19" s="675"/>
      <c r="DP19" s="676"/>
      <c r="DQ19" s="1420"/>
      <c r="DR19" s="677"/>
      <c r="DS19" s="1420"/>
      <c r="DT19" s="1422"/>
      <c r="DU19" s="1423"/>
      <c r="DV19" s="678"/>
      <c r="DW19" s="1337"/>
      <c r="DX19" s="679"/>
      <c r="DY19" s="674"/>
      <c r="DZ19" s="678"/>
      <c r="EA19" s="1337"/>
      <c r="EB19" s="679"/>
      <c r="EC19" s="674"/>
      <c r="ED19" s="678"/>
      <c r="EE19" s="1337"/>
      <c r="EF19" s="679"/>
      <c r="EG19" s="674"/>
      <c r="EH19" s="678"/>
      <c r="EI19" s="1337"/>
      <c r="EJ19" s="679"/>
      <c r="EK19" s="680"/>
      <c r="EL19" s="241"/>
      <c r="EM19" s="1632" t="str">
        <f t="shared" si="69"/>
        <v/>
      </c>
      <c r="EN19" s="1429" t="str">
        <f t="shared" si="70"/>
        <v/>
      </c>
      <c r="EO19" s="1430" t="str">
        <f t="shared" si="71"/>
        <v/>
      </c>
      <c r="EP19" s="1431" t="str">
        <f t="shared" si="72"/>
        <v/>
      </c>
      <c r="EQ19" s="1435" t="str">
        <f t="shared" si="73"/>
        <v/>
      </c>
      <c r="ER19" s="1441" t="str">
        <f t="shared" si="74"/>
        <v/>
      </c>
      <c r="ES19" s="1442" t="str">
        <f t="shared" si="75"/>
        <v/>
      </c>
      <c r="ET19" s="1443" t="str">
        <f t="shared" si="76"/>
        <v/>
      </c>
      <c r="EU19" s="1444"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581" t="str">
        <f t="shared" si="82"/>
        <v/>
      </c>
      <c r="GB19" s="623" t="str">
        <f t="shared" si="83"/>
        <v/>
      </c>
      <c r="GC19" s="625" t="str">
        <f t="shared" si="84"/>
        <v/>
      </c>
      <c r="GD19" s="626" t="str">
        <f t="shared" si="85"/>
        <v/>
      </c>
      <c r="GE19" s="624" t="str">
        <f t="shared" si="86"/>
        <v/>
      </c>
      <c r="GF19" s="582" t="str">
        <f t="shared" si="87"/>
        <v/>
      </c>
      <c r="GG19" s="692"/>
      <c r="GH19" s="1136"/>
      <c r="GI19" s="692"/>
      <c r="GJ19" s="1136"/>
      <c r="GK19" s="1641">
        <f t="shared" si="88"/>
        <v>0</v>
      </c>
      <c r="GL19" s="1641" t="e">
        <f t="shared" si="89"/>
        <v>#VALUE!</v>
      </c>
      <c r="GM19" s="1642" t="e">
        <f>IF(ABS(GK19-GL19)&gt;='Job Info.'!$L$22,ABS(GK19-GL19),0)</f>
        <v>#VALUE!</v>
      </c>
      <c r="HA19" s="1242"/>
      <c r="HB19" s="1243"/>
      <c r="HC19" s="1243"/>
      <c r="HD19" s="1244"/>
      <c r="HE19" s="1245"/>
      <c r="HF19" s="1243"/>
      <c r="HG19" s="1243"/>
      <c r="HH19" s="1243"/>
      <c r="HI19" s="1243"/>
      <c r="HJ19" s="1243"/>
      <c r="HK19" s="1243"/>
      <c r="HL19" s="1243"/>
      <c r="HM19" s="1243"/>
      <c r="HN19" s="1243"/>
      <c r="HO19" s="1243"/>
      <c r="HP19" s="1243"/>
      <c r="HQ19" s="1243"/>
      <c r="HR19" s="1243"/>
      <c r="HS19" s="1243"/>
      <c r="HT19" s="1243"/>
      <c r="HU19" s="1243"/>
      <c r="HV19" s="1243"/>
      <c r="HW19" s="1243"/>
      <c r="HX19" s="1243"/>
      <c r="HY19" s="1247"/>
      <c r="HZ19" s="1247"/>
      <c r="IA19" s="1247"/>
      <c r="IB19" s="1247"/>
      <c r="IC19" s="1247"/>
      <c r="ID19" s="1262"/>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99"/>
        <v>0</v>
      </c>
    </row>
    <row r="20" spans="1:272" ht="12.6" customHeight="1" x14ac:dyDescent="0.25">
      <c r="A20" s="1215" t="str">
        <f t="shared" si="0"/>
        <v/>
      </c>
      <c r="B20" s="1709" t="str">
        <f t="shared" si="1"/>
        <v/>
      </c>
      <c r="C20" s="1216" t="str">
        <f t="shared" si="2"/>
        <v/>
      </c>
      <c r="D20" s="1217" t="str">
        <f t="shared" si="3"/>
        <v/>
      </c>
      <c r="E20" s="1218" t="str">
        <f t="shared" si="4"/>
        <v/>
      </c>
      <c r="F20" s="1219" t="str">
        <f t="shared" si="5"/>
        <v/>
      </c>
      <c r="G20" s="1220" t="str">
        <f t="shared" si="6"/>
        <v/>
      </c>
      <c r="H20" s="1221" t="str">
        <f t="shared" si="7"/>
        <v/>
      </c>
      <c r="I20" s="1222" t="str">
        <f t="shared" si="8"/>
        <v/>
      </c>
      <c r="J20" s="1217" t="str">
        <f t="shared" si="9"/>
        <v/>
      </c>
      <c r="K20" s="1221" t="str">
        <f t="shared" si="10"/>
        <v/>
      </c>
      <c r="L20" s="1223" t="str">
        <f t="shared" si="11"/>
        <v/>
      </c>
      <c r="M20" s="1224" t="str">
        <f t="shared" si="12"/>
        <v/>
      </c>
      <c r="N20" s="1225" t="str">
        <f t="shared" si="12"/>
        <v/>
      </c>
      <c r="O20" s="1220" t="str">
        <f t="shared" si="13"/>
        <v/>
      </c>
      <c r="P20" s="1221" t="str">
        <f t="shared" si="14"/>
        <v/>
      </c>
      <c r="Q20" s="1217" t="str">
        <f t="shared" si="15"/>
        <v/>
      </c>
      <c r="R20" s="1218" t="str">
        <f t="shared" si="16"/>
        <v/>
      </c>
      <c r="S20" s="1226" t="str">
        <f t="shared" si="17"/>
        <v/>
      </c>
      <c r="T20" s="1221" t="str">
        <f t="shared" si="18"/>
        <v/>
      </c>
      <c r="U20" s="1217" t="str">
        <f t="shared" si="19"/>
        <v/>
      </c>
      <c r="V20" s="1221" t="str">
        <f t="shared" si="20"/>
        <v/>
      </c>
      <c r="W20" s="1225">
        <f t="shared" si="21"/>
        <v>0</v>
      </c>
      <c r="X20" s="1227" t="str">
        <f t="shared" si="22"/>
        <v/>
      </c>
      <c r="Y20" s="1228" t="str">
        <f t="shared" si="23"/>
        <v/>
      </c>
      <c r="Z20" s="1710" t="str">
        <f t="shared" si="24"/>
        <v/>
      </c>
      <c r="AA20" s="1235" t="str">
        <f t="shared" si="25"/>
        <v/>
      </c>
      <c r="AB20" s="1215" t="str">
        <f t="shared" si="26"/>
        <v/>
      </c>
      <c r="AC20" s="1222" t="str">
        <f t="shared" si="27"/>
        <v/>
      </c>
      <c r="AD20" s="1217" t="str">
        <f t="shared" ca="1" si="28"/>
        <v/>
      </c>
      <c r="AE20" s="1221" t="str">
        <f t="shared" ca="1" si="29"/>
        <v/>
      </c>
      <c r="AF20" s="1222" t="str">
        <f t="shared" ca="1" si="30"/>
        <v/>
      </c>
      <c r="AG20" s="1217" t="str">
        <f t="shared" ca="1" si="31"/>
        <v/>
      </c>
      <c r="AH20" s="1221" t="str">
        <f t="shared" ca="1" si="32"/>
        <v/>
      </c>
      <c r="AI20" s="1217" t="str">
        <f t="shared" ca="1" si="33"/>
        <v/>
      </c>
      <c r="AJ20" s="1221" t="str">
        <f t="shared" ca="1" si="34"/>
        <v/>
      </c>
      <c r="AK20" s="1742" t="str">
        <f t="shared" si="35"/>
        <v/>
      </c>
      <c r="AL20" s="1743" t="str">
        <f t="shared" si="36"/>
        <v/>
      </c>
      <c r="AM20" s="1744" t="str">
        <f t="shared" si="35"/>
        <v/>
      </c>
      <c r="AN20" s="1222" t="str">
        <f t="shared" si="35"/>
        <v/>
      </c>
      <c r="AO20" s="1225" t="str">
        <f t="shared" si="35"/>
        <v/>
      </c>
      <c r="AP20" s="1224" t="str">
        <f t="shared" si="37"/>
        <v/>
      </c>
      <c r="AQ20" s="1746" t="str">
        <f t="shared" si="38"/>
        <v/>
      </c>
      <c r="AR20" s="1220" t="str">
        <f t="shared" si="39"/>
        <v/>
      </c>
      <c r="AS20" s="1221" t="str">
        <f t="shared" si="40"/>
        <v/>
      </c>
      <c r="AT20" s="1747" t="str">
        <f t="shared" si="41"/>
        <v/>
      </c>
      <c r="AU20" s="1748" t="str">
        <f t="shared" si="42"/>
        <v/>
      </c>
      <c r="AV20" s="1226" t="str">
        <f t="shared" si="43"/>
        <v/>
      </c>
      <c r="AW20" s="1221" t="str">
        <f t="shared" si="44"/>
        <v/>
      </c>
      <c r="AX20" s="1747" t="str">
        <f t="shared" si="45"/>
        <v/>
      </c>
      <c r="AY20" s="1748" t="str">
        <f t="shared" si="46"/>
        <v/>
      </c>
      <c r="AZ20" s="1226" t="str">
        <f t="shared" si="47"/>
        <v/>
      </c>
      <c r="BA20" s="1221" t="str">
        <f t="shared" si="48"/>
        <v/>
      </c>
      <c r="BB20" s="1747" t="str">
        <f t="shared" si="49"/>
        <v/>
      </c>
      <c r="BC20" s="1748" t="str">
        <f t="shared" si="50"/>
        <v/>
      </c>
      <c r="BD20" s="1226" t="str">
        <f t="shared" si="51"/>
        <v/>
      </c>
      <c r="BE20" s="1221" t="str">
        <f t="shared" si="52"/>
        <v/>
      </c>
      <c r="BF20" s="1747" t="str">
        <f t="shared" si="53"/>
        <v/>
      </c>
      <c r="BG20" s="1748" t="str">
        <f t="shared" si="54"/>
        <v/>
      </c>
      <c r="BH20" s="1417"/>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3">
        <f t="shared" si="62"/>
        <v>6</v>
      </c>
      <c r="BT20" s="990" t="str">
        <f t="shared" si="63"/>
        <v>No</v>
      </c>
      <c r="BU20" s="1303">
        <f t="shared" si="64"/>
        <v>6</v>
      </c>
      <c r="BV20" s="990" t="str">
        <f t="shared" si="65"/>
        <v>No</v>
      </c>
      <c r="BW20" s="991">
        <f t="shared" ca="1" si="66"/>
        <v>0</v>
      </c>
      <c r="BX20" s="991" t="str">
        <f t="shared" ca="1" si="67"/>
        <v/>
      </c>
      <c r="BY20" s="991" t="b">
        <f t="shared" ca="1" si="68"/>
        <v>0</v>
      </c>
      <c r="BZ20" s="991" t="b">
        <f t="shared" si="90"/>
        <v>0</v>
      </c>
      <c r="CB20" s="672"/>
      <c r="CC20" s="1685"/>
      <c r="CD20" s="699"/>
      <c r="CE20" s="700"/>
      <c r="CF20" s="701"/>
      <c r="CG20" s="672"/>
      <c r="CH20" s="713"/>
      <c r="CI20" s="714"/>
      <c r="CJ20" s="713"/>
      <c r="CK20" s="714"/>
      <c r="CL20" s="715"/>
      <c r="CM20" s="743"/>
      <c r="CN20" s="738"/>
      <c r="CO20" s="1552"/>
      <c r="CP20" s="910"/>
      <c r="CQ20" s="672"/>
      <c r="CR20" s="713"/>
      <c r="CS20" s="714"/>
      <c r="CT20" s="713"/>
      <c r="CU20" s="714"/>
      <c r="CV20" s="715"/>
      <c r="CW20" s="743"/>
      <c r="CX20" s="738"/>
      <c r="CY20" s="1552"/>
      <c r="CZ20" s="910"/>
      <c r="DA20" s="717"/>
      <c r="DB20" s="702"/>
      <c r="DC20" s="703"/>
      <c r="DD20" s="725"/>
      <c r="DE20" s="726"/>
      <c r="DF20" s="141"/>
      <c r="DG20" s="141"/>
      <c r="DH20" s="672"/>
      <c r="DI20" s="673"/>
      <c r="DJ20" s="692"/>
      <c r="DK20" s="1332"/>
      <c r="DL20" s="674"/>
      <c r="DM20" s="693"/>
      <c r="DN20" s="1335"/>
      <c r="DO20" s="675"/>
      <c r="DP20" s="676"/>
      <c r="DQ20" s="1420"/>
      <c r="DR20" s="677"/>
      <c r="DS20" s="1420"/>
      <c r="DT20" s="1422"/>
      <c r="DU20" s="1423"/>
      <c r="DV20" s="678"/>
      <c r="DW20" s="1337"/>
      <c r="DX20" s="679"/>
      <c r="DY20" s="674"/>
      <c r="DZ20" s="678"/>
      <c r="EA20" s="1337"/>
      <c r="EB20" s="679"/>
      <c r="EC20" s="674"/>
      <c r="ED20" s="678"/>
      <c r="EE20" s="1337"/>
      <c r="EF20" s="679"/>
      <c r="EG20" s="674"/>
      <c r="EH20" s="678"/>
      <c r="EI20" s="1337"/>
      <c r="EJ20" s="679"/>
      <c r="EK20" s="680"/>
      <c r="EL20" s="241"/>
      <c r="EM20" s="1632" t="str">
        <f t="shared" si="69"/>
        <v/>
      </c>
      <c r="EN20" s="1429" t="str">
        <f t="shared" si="70"/>
        <v/>
      </c>
      <c r="EO20" s="1430" t="str">
        <f t="shared" si="71"/>
        <v/>
      </c>
      <c r="EP20" s="1431" t="str">
        <f t="shared" si="72"/>
        <v/>
      </c>
      <c r="EQ20" s="1435" t="str">
        <f t="shared" si="73"/>
        <v/>
      </c>
      <c r="ER20" s="1441" t="str">
        <f t="shared" si="74"/>
        <v/>
      </c>
      <c r="ES20" s="1442" t="str">
        <f t="shared" si="75"/>
        <v/>
      </c>
      <c r="ET20" s="1443" t="str">
        <f t="shared" si="76"/>
        <v/>
      </c>
      <c r="EU20" s="1444"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581" t="str">
        <f t="shared" si="82"/>
        <v/>
      </c>
      <c r="GB20" s="623" t="str">
        <f t="shared" si="83"/>
        <v/>
      </c>
      <c r="GC20" s="625" t="str">
        <f t="shared" si="84"/>
        <v/>
      </c>
      <c r="GD20" s="626" t="str">
        <f t="shared" si="85"/>
        <v/>
      </c>
      <c r="GE20" s="624" t="str">
        <f t="shared" si="86"/>
        <v/>
      </c>
      <c r="GF20" s="582" t="str">
        <f t="shared" si="87"/>
        <v/>
      </c>
      <c r="GG20" s="692"/>
      <c r="GH20" s="1136"/>
      <c r="GI20" s="692"/>
      <c r="GJ20" s="1136"/>
      <c r="GK20" s="1641">
        <f t="shared" si="88"/>
        <v>0</v>
      </c>
      <c r="GL20" s="1641" t="e">
        <f t="shared" si="89"/>
        <v>#VALUE!</v>
      </c>
      <c r="GM20" s="1642" t="e">
        <f>IF(ABS(GK20-GL20)&gt;='Job Info.'!$L$22,ABS(GK20-GL20),0)</f>
        <v>#VALUE!</v>
      </c>
      <c r="HA20" s="1242"/>
      <c r="HB20" s="1243"/>
      <c r="HC20" s="1243"/>
      <c r="HD20" s="1244"/>
      <c r="HE20" s="1245"/>
      <c r="HF20" s="1243"/>
      <c r="HG20" s="1243"/>
      <c r="HH20" s="1243"/>
      <c r="HI20" s="1243"/>
      <c r="HJ20" s="1243"/>
      <c r="HK20" s="1243"/>
      <c r="HL20" s="1243"/>
      <c r="HM20" s="1243"/>
      <c r="HN20" s="1243"/>
      <c r="HO20" s="1243"/>
      <c r="HP20" s="1243"/>
      <c r="HQ20" s="1243"/>
      <c r="HR20" s="1243"/>
      <c r="HS20" s="1243"/>
      <c r="HT20" s="1243"/>
      <c r="HU20" s="1243"/>
      <c r="HV20" s="1243"/>
      <c r="HW20" s="1243"/>
      <c r="HX20" s="1243"/>
      <c r="HY20" s="1247"/>
      <c r="HZ20" s="1247"/>
      <c r="IA20" s="1247"/>
      <c r="IB20" s="1247"/>
      <c r="IC20" s="1247"/>
      <c r="ID20" s="1262"/>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99"/>
        <v>0</v>
      </c>
    </row>
    <row r="21" spans="1:272" ht="12.6" customHeight="1" x14ac:dyDescent="0.25">
      <c r="A21" s="1215" t="str">
        <f t="shared" si="0"/>
        <v/>
      </c>
      <c r="B21" s="1709" t="str">
        <f t="shared" si="1"/>
        <v/>
      </c>
      <c r="C21" s="1216" t="str">
        <f t="shared" si="2"/>
        <v/>
      </c>
      <c r="D21" s="1217" t="str">
        <f t="shared" si="3"/>
        <v/>
      </c>
      <c r="E21" s="1218" t="str">
        <f t="shared" si="4"/>
        <v/>
      </c>
      <c r="F21" s="1219" t="str">
        <f t="shared" si="5"/>
        <v/>
      </c>
      <c r="G21" s="1220" t="str">
        <f t="shared" si="6"/>
        <v/>
      </c>
      <c r="H21" s="1221" t="str">
        <f t="shared" si="7"/>
        <v/>
      </c>
      <c r="I21" s="1222" t="str">
        <f t="shared" si="8"/>
        <v/>
      </c>
      <c r="J21" s="1217" t="str">
        <f t="shared" si="9"/>
        <v/>
      </c>
      <c r="K21" s="1221" t="str">
        <f t="shared" si="10"/>
        <v/>
      </c>
      <c r="L21" s="1223" t="str">
        <f t="shared" si="11"/>
        <v/>
      </c>
      <c r="M21" s="1224" t="str">
        <f t="shared" si="12"/>
        <v/>
      </c>
      <c r="N21" s="1225" t="str">
        <f t="shared" si="12"/>
        <v/>
      </c>
      <c r="O21" s="1220" t="str">
        <f t="shared" si="13"/>
        <v/>
      </c>
      <c r="P21" s="1221" t="str">
        <f t="shared" si="14"/>
        <v/>
      </c>
      <c r="Q21" s="1217" t="str">
        <f t="shared" si="15"/>
        <v/>
      </c>
      <c r="R21" s="1218" t="str">
        <f t="shared" si="16"/>
        <v/>
      </c>
      <c r="S21" s="1226" t="str">
        <f t="shared" si="17"/>
        <v/>
      </c>
      <c r="T21" s="1221" t="str">
        <f t="shared" si="18"/>
        <v/>
      </c>
      <c r="U21" s="1217" t="str">
        <f t="shared" si="19"/>
        <v/>
      </c>
      <c r="V21" s="1221" t="str">
        <f t="shared" si="20"/>
        <v/>
      </c>
      <c r="W21" s="1225">
        <f t="shared" si="21"/>
        <v>0</v>
      </c>
      <c r="X21" s="1227" t="str">
        <f t="shared" si="22"/>
        <v/>
      </c>
      <c r="Y21" s="1228" t="str">
        <f t="shared" si="23"/>
        <v/>
      </c>
      <c r="Z21" s="1710" t="str">
        <f t="shared" si="24"/>
        <v/>
      </c>
      <c r="AA21" s="1235" t="str">
        <f t="shared" si="25"/>
        <v/>
      </c>
      <c r="AB21" s="1215" t="str">
        <f t="shared" si="26"/>
        <v/>
      </c>
      <c r="AC21" s="1222" t="str">
        <f t="shared" si="27"/>
        <v/>
      </c>
      <c r="AD21" s="1217" t="str">
        <f t="shared" ca="1" si="28"/>
        <v/>
      </c>
      <c r="AE21" s="1221" t="str">
        <f t="shared" ca="1" si="29"/>
        <v/>
      </c>
      <c r="AF21" s="1222" t="str">
        <f t="shared" ca="1" si="30"/>
        <v/>
      </c>
      <c r="AG21" s="1217" t="str">
        <f t="shared" ca="1" si="31"/>
        <v/>
      </c>
      <c r="AH21" s="1221" t="str">
        <f t="shared" ca="1" si="32"/>
        <v/>
      </c>
      <c r="AI21" s="1217" t="str">
        <f t="shared" ca="1" si="33"/>
        <v/>
      </c>
      <c r="AJ21" s="1221" t="str">
        <f t="shared" ca="1" si="34"/>
        <v/>
      </c>
      <c r="AK21" s="1742" t="str">
        <f t="shared" si="35"/>
        <v/>
      </c>
      <c r="AL21" s="1743" t="str">
        <f t="shared" si="36"/>
        <v/>
      </c>
      <c r="AM21" s="1744" t="str">
        <f t="shared" si="35"/>
        <v/>
      </c>
      <c r="AN21" s="1222" t="str">
        <f t="shared" si="35"/>
        <v/>
      </c>
      <c r="AO21" s="1225" t="str">
        <f t="shared" si="35"/>
        <v/>
      </c>
      <c r="AP21" s="1224" t="str">
        <f t="shared" si="37"/>
        <v/>
      </c>
      <c r="AQ21" s="1746" t="str">
        <f t="shared" si="38"/>
        <v/>
      </c>
      <c r="AR21" s="1220" t="str">
        <f t="shared" si="39"/>
        <v/>
      </c>
      <c r="AS21" s="1221" t="str">
        <f t="shared" si="40"/>
        <v/>
      </c>
      <c r="AT21" s="1747" t="str">
        <f t="shared" si="41"/>
        <v/>
      </c>
      <c r="AU21" s="1748" t="str">
        <f t="shared" si="42"/>
        <v/>
      </c>
      <c r="AV21" s="1226" t="str">
        <f t="shared" si="43"/>
        <v/>
      </c>
      <c r="AW21" s="1221" t="str">
        <f t="shared" si="44"/>
        <v/>
      </c>
      <c r="AX21" s="1747" t="str">
        <f t="shared" si="45"/>
        <v/>
      </c>
      <c r="AY21" s="1748" t="str">
        <f t="shared" si="46"/>
        <v/>
      </c>
      <c r="AZ21" s="1226" t="str">
        <f t="shared" si="47"/>
        <v/>
      </c>
      <c r="BA21" s="1221" t="str">
        <f t="shared" si="48"/>
        <v/>
      </c>
      <c r="BB21" s="1747" t="str">
        <f t="shared" si="49"/>
        <v/>
      </c>
      <c r="BC21" s="1748" t="str">
        <f t="shared" si="50"/>
        <v/>
      </c>
      <c r="BD21" s="1226" t="str">
        <f t="shared" si="51"/>
        <v/>
      </c>
      <c r="BE21" s="1221" t="str">
        <f t="shared" si="52"/>
        <v/>
      </c>
      <c r="BF21" s="1747" t="str">
        <f t="shared" si="53"/>
        <v/>
      </c>
      <c r="BG21" s="1748" t="str">
        <f t="shared" si="54"/>
        <v/>
      </c>
      <c r="BH21" s="1417"/>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3">
        <f t="shared" si="62"/>
        <v>6</v>
      </c>
      <c r="BT21" s="990" t="str">
        <f t="shared" si="63"/>
        <v>No</v>
      </c>
      <c r="BU21" s="1303">
        <f t="shared" si="64"/>
        <v>6</v>
      </c>
      <c r="BV21" s="990" t="str">
        <f t="shared" si="65"/>
        <v>No</v>
      </c>
      <c r="BW21" s="991">
        <f t="shared" ca="1" si="66"/>
        <v>0</v>
      </c>
      <c r="BX21" s="991" t="str">
        <f t="shared" ca="1" si="67"/>
        <v/>
      </c>
      <c r="BY21" s="991" t="b">
        <f t="shared" ca="1" si="68"/>
        <v>0</v>
      </c>
      <c r="BZ21" s="991" t="b">
        <f t="shared" si="90"/>
        <v>0</v>
      </c>
      <c r="CB21" s="672"/>
      <c r="CC21" s="1685"/>
      <c r="CD21" s="699"/>
      <c r="CE21" s="700"/>
      <c r="CF21" s="701"/>
      <c r="CG21" s="672"/>
      <c r="CH21" s="713"/>
      <c r="CI21" s="714"/>
      <c r="CJ21" s="713"/>
      <c r="CK21" s="714"/>
      <c r="CL21" s="715"/>
      <c r="CM21" s="743"/>
      <c r="CN21" s="738"/>
      <c r="CO21" s="1552"/>
      <c r="CP21" s="910"/>
      <c r="CQ21" s="672"/>
      <c r="CR21" s="713"/>
      <c r="CS21" s="714"/>
      <c r="CT21" s="713"/>
      <c r="CU21" s="714"/>
      <c r="CV21" s="715"/>
      <c r="CW21" s="743"/>
      <c r="CX21" s="738"/>
      <c r="CY21" s="1552"/>
      <c r="CZ21" s="910"/>
      <c r="DA21" s="717"/>
      <c r="DB21" s="702"/>
      <c r="DC21" s="703"/>
      <c r="DD21" s="725"/>
      <c r="DE21" s="726"/>
      <c r="DF21" s="141"/>
      <c r="DG21" s="141"/>
      <c r="DH21" s="672"/>
      <c r="DI21" s="673"/>
      <c r="DJ21" s="692"/>
      <c r="DK21" s="1332"/>
      <c r="DL21" s="674"/>
      <c r="DM21" s="693"/>
      <c r="DN21" s="1335"/>
      <c r="DO21" s="675"/>
      <c r="DP21" s="676"/>
      <c r="DQ21" s="1420"/>
      <c r="DR21" s="677"/>
      <c r="DS21" s="1420"/>
      <c r="DT21" s="1422"/>
      <c r="DU21" s="1423"/>
      <c r="DV21" s="678"/>
      <c r="DW21" s="1337"/>
      <c r="DX21" s="679"/>
      <c r="DY21" s="674"/>
      <c r="DZ21" s="678"/>
      <c r="EA21" s="1337"/>
      <c r="EB21" s="679"/>
      <c r="EC21" s="674"/>
      <c r="ED21" s="678"/>
      <c r="EE21" s="1337"/>
      <c r="EF21" s="679"/>
      <c r="EG21" s="674"/>
      <c r="EH21" s="678"/>
      <c r="EI21" s="1337"/>
      <c r="EJ21" s="679"/>
      <c r="EK21" s="680"/>
      <c r="EL21" s="241"/>
      <c r="EM21" s="1632" t="str">
        <f t="shared" si="69"/>
        <v/>
      </c>
      <c r="EN21" s="1429" t="str">
        <f t="shared" si="70"/>
        <v/>
      </c>
      <c r="EO21" s="1430" t="str">
        <f t="shared" si="71"/>
        <v/>
      </c>
      <c r="EP21" s="1431" t="str">
        <f t="shared" si="72"/>
        <v/>
      </c>
      <c r="EQ21" s="1435" t="str">
        <f t="shared" si="73"/>
        <v/>
      </c>
      <c r="ER21" s="1441" t="str">
        <f t="shared" si="74"/>
        <v/>
      </c>
      <c r="ES21" s="1442" t="str">
        <f t="shared" si="75"/>
        <v/>
      </c>
      <c r="ET21" s="1443" t="str">
        <f t="shared" si="76"/>
        <v/>
      </c>
      <c r="EU21" s="1444"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581" t="str">
        <f t="shared" si="82"/>
        <v/>
      </c>
      <c r="GB21" s="623" t="str">
        <f t="shared" si="83"/>
        <v/>
      </c>
      <c r="GC21" s="625" t="str">
        <f t="shared" si="84"/>
        <v/>
      </c>
      <c r="GD21" s="626" t="str">
        <f t="shared" si="85"/>
        <v/>
      </c>
      <c r="GE21" s="624" t="str">
        <f t="shared" si="86"/>
        <v/>
      </c>
      <c r="GF21" s="582" t="str">
        <f t="shared" si="87"/>
        <v/>
      </c>
      <c r="GG21" s="692"/>
      <c r="GH21" s="1136"/>
      <c r="GI21" s="692"/>
      <c r="GJ21" s="1136"/>
      <c r="GK21" s="1641">
        <f t="shared" si="88"/>
        <v>0</v>
      </c>
      <c r="GL21" s="1641" t="e">
        <f t="shared" si="89"/>
        <v>#VALUE!</v>
      </c>
      <c r="GM21" s="1642" t="e">
        <f>IF(ABS(GK21-GL21)&gt;='Job Info.'!$L$22,ABS(GK21-GL21),0)</f>
        <v>#VALUE!</v>
      </c>
      <c r="HA21" s="1242"/>
      <c r="HB21" s="1243"/>
      <c r="HC21" s="1243"/>
      <c r="HD21" s="1244"/>
      <c r="HE21" s="1245"/>
      <c r="HF21" s="1243"/>
      <c r="HG21" s="1243"/>
      <c r="HH21" s="1243"/>
      <c r="HI21" s="1243"/>
      <c r="HJ21" s="1243"/>
      <c r="HK21" s="1243"/>
      <c r="HL21" s="1243"/>
      <c r="HM21" s="1243"/>
      <c r="HN21" s="1243"/>
      <c r="HO21" s="1243"/>
      <c r="HP21" s="1243"/>
      <c r="HQ21" s="1243"/>
      <c r="HR21" s="1243"/>
      <c r="HS21" s="1243"/>
      <c r="HT21" s="1243"/>
      <c r="HU21" s="1243"/>
      <c r="HV21" s="1243"/>
      <c r="HW21" s="1243"/>
      <c r="HX21" s="1243"/>
      <c r="HY21" s="1247"/>
      <c r="HZ21" s="1247"/>
      <c r="IA21" s="1247"/>
      <c r="IB21" s="1247"/>
      <c r="IC21" s="1247"/>
      <c r="ID21" s="1262"/>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99"/>
        <v>0</v>
      </c>
    </row>
    <row r="22" spans="1:272" ht="12.6" customHeight="1" x14ac:dyDescent="0.25">
      <c r="A22" s="1215" t="str">
        <f t="shared" si="0"/>
        <v/>
      </c>
      <c r="B22" s="1709" t="str">
        <f t="shared" si="1"/>
        <v/>
      </c>
      <c r="C22" s="1216" t="str">
        <f t="shared" si="2"/>
        <v/>
      </c>
      <c r="D22" s="1217" t="str">
        <f t="shared" si="3"/>
        <v/>
      </c>
      <c r="E22" s="1218" t="str">
        <f t="shared" si="4"/>
        <v/>
      </c>
      <c r="F22" s="1219" t="str">
        <f t="shared" si="5"/>
        <v/>
      </c>
      <c r="G22" s="1220" t="str">
        <f t="shared" si="6"/>
        <v/>
      </c>
      <c r="H22" s="1221" t="str">
        <f t="shared" si="7"/>
        <v/>
      </c>
      <c r="I22" s="1222" t="str">
        <f t="shared" si="8"/>
        <v/>
      </c>
      <c r="J22" s="1217" t="str">
        <f t="shared" si="9"/>
        <v/>
      </c>
      <c r="K22" s="1221" t="str">
        <f t="shared" si="10"/>
        <v/>
      </c>
      <c r="L22" s="1223" t="str">
        <f t="shared" si="11"/>
        <v/>
      </c>
      <c r="M22" s="1224" t="str">
        <f t="shared" si="12"/>
        <v/>
      </c>
      <c r="N22" s="1225" t="str">
        <f t="shared" si="12"/>
        <v/>
      </c>
      <c r="O22" s="1220" t="str">
        <f t="shared" si="13"/>
        <v/>
      </c>
      <c r="P22" s="1221" t="str">
        <f t="shared" si="14"/>
        <v/>
      </c>
      <c r="Q22" s="1217" t="str">
        <f t="shared" si="15"/>
        <v/>
      </c>
      <c r="R22" s="1218" t="str">
        <f t="shared" si="16"/>
        <v/>
      </c>
      <c r="S22" s="1226" t="str">
        <f t="shared" si="17"/>
        <v/>
      </c>
      <c r="T22" s="1221" t="str">
        <f t="shared" si="18"/>
        <v/>
      </c>
      <c r="U22" s="1217" t="str">
        <f t="shared" si="19"/>
        <v/>
      </c>
      <c r="V22" s="1221" t="str">
        <f t="shared" si="20"/>
        <v/>
      </c>
      <c r="W22" s="1225">
        <f t="shared" si="21"/>
        <v>0</v>
      </c>
      <c r="X22" s="1227" t="str">
        <f t="shared" si="22"/>
        <v/>
      </c>
      <c r="Y22" s="1228" t="str">
        <f t="shared" si="23"/>
        <v/>
      </c>
      <c r="Z22" s="1710" t="str">
        <f t="shared" si="24"/>
        <v/>
      </c>
      <c r="AA22" s="1235" t="str">
        <f t="shared" si="25"/>
        <v/>
      </c>
      <c r="AB22" s="1215" t="str">
        <f t="shared" si="26"/>
        <v/>
      </c>
      <c r="AC22" s="1222" t="str">
        <f t="shared" si="27"/>
        <v/>
      </c>
      <c r="AD22" s="1217" t="str">
        <f t="shared" ca="1" si="28"/>
        <v/>
      </c>
      <c r="AE22" s="1221" t="str">
        <f t="shared" ca="1" si="29"/>
        <v/>
      </c>
      <c r="AF22" s="1222" t="str">
        <f t="shared" ca="1" si="30"/>
        <v/>
      </c>
      <c r="AG22" s="1217" t="str">
        <f t="shared" ca="1" si="31"/>
        <v/>
      </c>
      <c r="AH22" s="1221" t="str">
        <f t="shared" ca="1" si="32"/>
        <v/>
      </c>
      <c r="AI22" s="1217" t="str">
        <f t="shared" ca="1" si="33"/>
        <v/>
      </c>
      <c r="AJ22" s="1221" t="str">
        <f t="shared" ca="1" si="34"/>
        <v/>
      </c>
      <c r="AK22" s="1742" t="str">
        <f t="shared" si="35"/>
        <v/>
      </c>
      <c r="AL22" s="1743" t="str">
        <f t="shared" si="36"/>
        <v/>
      </c>
      <c r="AM22" s="1744" t="str">
        <f t="shared" si="35"/>
        <v/>
      </c>
      <c r="AN22" s="1222" t="str">
        <f t="shared" si="35"/>
        <v/>
      </c>
      <c r="AO22" s="1225" t="str">
        <f t="shared" si="35"/>
        <v/>
      </c>
      <c r="AP22" s="1224" t="str">
        <f t="shared" si="37"/>
        <v/>
      </c>
      <c r="AQ22" s="1746" t="str">
        <f t="shared" si="38"/>
        <v/>
      </c>
      <c r="AR22" s="1220" t="str">
        <f t="shared" si="39"/>
        <v/>
      </c>
      <c r="AS22" s="1221" t="str">
        <f t="shared" si="40"/>
        <v/>
      </c>
      <c r="AT22" s="1747" t="str">
        <f t="shared" si="41"/>
        <v/>
      </c>
      <c r="AU22" s="1748" t="str">
        <f t="shared" si="42"/>
        <v/>
      </c>
      <c r="AV22" s="1226" t="str">
        <f t="shared" si="43"/>
        <v/>
      </c>
      <c r="AW22" s="1221" t="str">
        <f t="shared" si="44"/>
        <v/>
      </c>
      <c r="AX22" s="1747" t="str">
        <f t="shared" si="45"/>
        <v/>
      </c>
      <c r="AY22" s="1748" t="str">
        <f t="shared" si="46"/>
        <v/>
      </c>
      <c r="AZ22" s="1226" t="str">
        <f t="shared" si="47"/>
        <v/>
      </c>
      <c r="BA22" s="1221" t="str">
        <f t="shared" si="48"/>
        <v/>
      </c>
      <c r="BB22" s="1747" t="str">
        <f t="shared" si="49"/>
        <v/>
      </c>
      <c r="BC22" s="1748" t="str">
        <f t="shared" si="50"/>
        <v/>
      </c>
      <c r="BD22" s="1226" t="str">
        <f t="shared" si="51"/>
        <v/>
      </c>
      <c r="BE22" s="1221" t="str">
        <f t="shared" si="52"/>
        <v/>
      </c>
      <c r="BF22" s="1747" t="str">
        <f t="shared" si="53"/>
        <v/>
      </c>
      <c r="BG22" s="1748" t="str">
        <f t="shared" si="54"/>
        <v/>
      </c>
      <c r="BH22" s="1417"/>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3">
        <f t="shared" si="62"/>
        <v>6</v>
      </c>
      <c r="BT22" s="990" t="str">
        <f t="shared" si="63"/>
        <v>No</v>
      </c>
      <c r="BU22" s="1303">
        <f t="shared" si="64"/>
        <v>6</v>
      </c>
      <c r="BV22" s="990" t="str">
        <f t="shared" si="65"/>
        <v>No</v>
      </c>
      <c r="BW22" s="991">
        <f t="shared" ca="1" si="66"/>
        <v>0</v>
      </c>
      <c r="BX22" s="991" t="str">
        <f t="shared" ca="1" si="67"/>
        <v/>
      </c>
      <c r="BY22" s="991" t="b">
        <f t="shared" ca="1" si="68"/>
        <v>0</v>
      </c>
      <c r="BZ22" s="991" t="b">
        <f t="shared" si="90"/>
        <v>0</v>
      </c>
      <c r="CB22" s="672"/>
      <c r="CC22" s="1685"/>
      <c r="CD22" s="699"/>
      <c r="CE22" s="700"/>
      <c r="CF22" s="701"/>
      <c r="CG22" s="672"/>
      <c r="CH22" s="713"/>
      <c r="CI22" s="714"/>
      <c r="CJ22" s="713"/>
      <c r="CK22" s="714"/>
      <c r="CL22" s="715"/>
      <c r="CM22" s="743"/>
      <c r="CN22" s="738"/>
      <c r="CO22" s="1552"/>
      <c r="CP22" s="910"/>
      <c r="CQ22" s="672"/>
      <c r="CR22" s="713"/>
      <c r="CS22" s="714"/>
      <c r="CT22" s="713"/>
      <c r="CU22" s="714"/>
      <c r="CV22" s="715"/>
      <c r="CW22" s="743"/>
      <c r="CX22" s="738"/>
      <c r="CY22" s="1552"/>
      <c r="CZ22" s="910"/>
      <c r="DA22" s="717"/>
      <c r="DB22" s="702"/>
      <c r="DC22" s="703"/>
      <c r="DD22" s="725"/>
      <c r="DE22" s="726"/>
      <c r="DF22" s="141"/>
      <c r="DG22" s="141"/>
      <c r="DH22" s="672"/>
      <c r="DI22" s="673"/>
      <c r="DJ22" s="692"/>
      <c r="DK22" s="1332"/>
      <c r="DL22" s="674"/>
      <c r="DM22" s="693"/>
      <c r="DN22" s="1335"/>
      <c r="DO22" s="675"/>
      <c r="DP22" s="676"/>
      <c r="DQ22" s="1420"/>
      <c r="DR22" s="677"/>
      <c r="DS22" s="1420"/>
      <c r="DT22" s="1422"/>
      <c r="DU22" s="1423"/>
      <c r="DV22" s="678"/>
      <c r="DW22" s="1337"/>
      <c r="DX22" s="679"/>
      <c r="DY22" s="674"/>
      <c r="DZ22" s="678"/>
      <c r="EA22" s="1337"/>
      <c r="EB22" s="679"/>
      <c r="EC22" s="674"/>
      <c r="ED22" s="678"/>
      <c r="EE22" s="1337"/>
      <c r="EF22" s="679"/>
      <c r="EG22" s="674"/>
      <c r="EH22" s="678"/>
      <c r="EI22" s="1337"/>
      <c r="EJ22" s="679"/>
      <c r="EK22" s="680"/>
      <c r="EL22" s="241"/>
      <c r="EM22" s="1632" t="str">
        <f t="shared" si="69"/>
        <v/>
      </c>
      <c r="EN22" s="1429" t="str">
        <f t="shared" si="70"/>
        <v/>
      </c>
      <c r="EO22" s="1430" t="str">
        <f t="shared" si="71"/>
        <v/>
      </c>
      <c r="EP22" s="1431" t="str">
        <f t="shared" si="72"/>
        <v/>
      </c>
      <c r="EQ22" s="1435" t="str">
        <f t="shared" si="73"/>
        <v/>
      </c>
      <c r="ER22" s="1441" t="str">
        <f t="shared" si="74"/>
        <v/>
      </c>
      <c r="ES22" s="1442" t="str">
        <f t="shared" si="75"/>
        <v/>
      </c>
      <c r="ET22" s="1443" t="str">
        <f t="shared" si="76"/>
        <v/>
      </c>
      <c r="EU22" s="1444"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581" t="str">
        <f t="shared" si="82"/>
        <v/>
      </c>
      <c r="GB22" s="623" t="str">
        <f t="shared" si="83"/>
        <v/>
      </c>
      <c r="GC22" s="625" t="str">
        <f t="shared" si="84"/>
        <v/>
      </c>
      <c r="GD22" s="626" t="str">
        <f t="shared" si="85"/>
        <v/>
      </c>
      <c r="GE22" s="624" t="str">
        <f t="shared" si="86"/>
        <v/>
      </c>
      <c r="GF22" s="582" t="str">
        <f t="shared" si="87"/>
        <v/>
      </c>
      <c r="GG22" s="692"/>
      <c r="GH22" s="1136"/>
      <c r="GI22" s="692"/>
      <c r="GJ22" s="1136"/>
      <c r="GK22" s="1641">
        <f t="shared" si="88"/>
        <v>0</v>
      </c>
      <c r="GL22" s="1641" t="e">
        <f t="shared" si="89"/>
        <v>#VALUE!</v>
      </c>
      <c r="GM22" s="1642" t="e">
        <f>IF(ABS(GK22-GL22)&gt;='Job Info.'!$L$22,ABS(GK22-GL22),0)</f>
        <v>#VALUE!</v>
      </c>
      <c r="HA22" s="1242"/>
      <c r="HB22" s="1243"/>
      <c r="HC22" s="1243"/>
      <c r="HD22" s="1244"/>
      <c r="HE22" s="1245"/>
      <c r="HF22" s="1243"/>
      <c r="HG22" s="1243"/>
      <c r="HH22" s="1243"/>
      <c r="HI22" s="1243"/>
      <c r="HJ22" s="1243"/>
      <c r="HK22" s="1243"/>
      <c r="HL22" s="1243"/>
      <c r="HM22" s="1243"/>
      <c r="HN22" s="1243"/>
      <c r="HO22" s="1243"/>
      <c r="HP22" s="1243"/>
      <c r="HQ22" s="1243"/>
      <c r="HR22" s="1243"/>
      <c r="HS22" s="1243"/>
      <c r="HT22" s="1243"/>
      <c r="HU22" s="1243"/>
      <c r="HV22" s="1243"/>
      <c r="HW22" s="1243"/>
      <c r="HX22" s="1243"/>
      <c r="HY22" s="1247"/>
      <c r="HZ22" s="1247"/>
      <c r="IA22" s="1247"/>
      <c r="IB22" s="1247"/>
      <c r="IC22" s="1247"/>
      <c r="ID22" s="1262"/>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99"/>
        <v>0</v>
      </c>
    </row>
    <row r="23" spans="1:272" ht="12.6" customHeight="1" x14ac:dyDescent="0.25">
      <c r="A23" s="1215" t="str">
        <f t="shared" si="0"/>
        <v/>
      </c>
      <c r="B23" s="1709" t="str">
        <f t="shared" si="1"/>
        <v/>
      </c>
      <c r="C23" s="1216" t="str">
        <f t="shared" si="2"/>
        <v/>
      </c>
      <c r="D23" s="1217" t="str">
        <f t="shared" si="3"/>
        <v/>
      </c>
      <c r="E23" s="1218" t="str">
        <f t="shared" si="4"/>
        <v/>
      </c>
      <c r="F23" s="1219" t="str">
        <f t="shared" si="5"/>
        <v/>
      </c>
      <c r="G23" s="1220" t="str">
        <f t="shared" si="6"/>
        <v/>
      </c>
      <c r="H23" s="1221" t="str">
        <f t="shared" si="7"/>
        <v/>
      </c>
      <c r="I23" s="1222" t="str">
        <f t="shared" si="8"/>
        <v/>
      </c>
      <c r="J23" s="1217" t="str">
        <f t="shared" si="9"/>
        <v/>
      </c>
      <c r="K23" s="1221" t="str">
        <f t="shared" si="10"/>
        <v/>
      </c>
      <c r="L23" s="1223" t="str">
        <f t="shared" si="11"/>
        <v/>
      </c>
      <c r="M23" s="1224" t="str">
        <f t="shared" si="12"/>
        <v/>
      </c>
      <c r="N23" s="1225" t="str">
        <f t="shared" si="12"/>
        <v/>
      </c>
      <c r="O23" s="1220" t="str">
        <f t="shared" si="13"/>
        <v/>
      </c>
      <c r="P23" s="1221" t="str">
        <f t="shared" si="14"/>
        <v/>
      </c>
      <c r="Q23" s="1217" t="str">
        <f t="shared" si="15"/>
        <v/>
      </c>
      <c r="R23" s="1218" t="str">
        <f t="shared" si="16"/>
        <v/>
      </c>
      <c r="S23" s="1226" t="str">
        <f t="shared" si="17"/>
        <v/>
      </c>
      <c r="T23" s="1221" t="str">
        <f t="shared" si="18"/>
        <v/>
      </c>
      <c r="U23" s="1217" t="str">
        <f t="shared" si="19"/>
        <v/>
      </c>
      <c r="V23" s="1221" t="str">
        <f t="shared" si="20"/>
        <v/>
      </c>
      <c r="W23" s="1225">
        <f t="shared" si="21"/>
        <v>0</v>
      </c>
      <c r="X23" s="1227" t="str">
        <f t="shared" si="22"/>
        <v/>
      </c>
      <c r="Y23" s="1228" t="str">
        <f t="shared" si="23"/>
        <v/>
      </c>
      <c r="Z23" s="1710" t="str">
        <f t="shared" si="24"/>
        <v/>
      </c>
      <c r="AA23" s="1235" t="str">
        <f t="shared" si="25"/>
        <v/>
      </c>
      <c r="AB23" s="1215" t="str">
        <f t="shared" si="26"/>
        <v/>
      </c>
      <c r="AC23" s="1222" t="str">
        <f t="shared" si="27"/>
        <v/>
      </c>
      <c r="AD23" s="1217" t="str">
        <f t="shared" ca="1" si="28"/>
        <v/>
      </c>
      <c r="AE23" s="1221" t="str">
        <f t="shared" ca="1" si="29"/>
        <v/>
      </c>
      <c r="AF23" s="1222" t="str">
        <f t="shared" ca="1" si="30"/>
        <v/>
      </c>
      <c r="AG23" s="1217" t="str">
        <f t="shared" ca="1" si="31"/>
        <v/>
      </c>
      <c r="AH23" s="1221" t="str">
        <f t="shared" ca="1" si="32"/>
        <v/>
      </c>
      <c r="AI23" s="1217" t="str">
        <f t="shared" ca="1" si="33"/>
        <v/>
      </c>
      <c r="AJ23" s="1221" t="str">
        <f t="shared" ca="1" si="34"/>
        <v/>
      </c>
      <c r="AK23" s="1742" t="str">
        <f t="shared" si="35"/>
        <v/>
      </c>
      <c r="AL23" s="1743" t="str">
        <f t="shared" si="36"/>
        <v/>
      </c>
      <c r="AM23" s="1744" t="str">
        <f t="shared" si="35"/>
        <v/>
      </c>
      <c r="AN23" s="1222" t="str">
        <f t="shared" si="35"/>
        <v/>
      </c>
      <c r="AO23" s="1225" t="str">
        <f t="shared" si="35"/>
        <v/>
      </c>
      <c r="AP23" s="1224" t="str">
        <f t="shared" si="37"/>
        <v/>
      </c>
      <c r="AQ23" s="1746" t="str">
        <f t="shared" si="38"/>
        <v/>
      </c>
      <c r="AR23" s="1220" t="str">
        <f t="shared" si="39"/>
        <v/>
      </c>
      <c r="AS23" s="1221" t="str">
        <f t="shared" si="40"/>
        <v/>
      </c>
      <c r="AT23" s="1747" t="str">
        <f t="shared" si="41"/>
        <v/>
      </c>
      <c r="AU23" s="1748" t="str">
        <f t="shared" si="42"/>
        <v/>
      </c>
      <c r="AV23" s="1226" t="str">
        <f t="shared" si="43"/>
        <v/>
      </c>
      <c r="AW23" s="1221" t="str">
        <f t="shared" si="44"/>
        <v/>
      </c>
      <c r="AX23" s="1747" t="str">
        <f t="shared" si="45"/>
        <v/>
      </c>
      <c r="AY23" s="1748" t="str">
        <f t="shared" si="46"/>
        <v/>
      </c>
      <c r="AZ23" s="1226" t="str">
        <f t="shared" si="47"/>
        <v/>
      </c>
      <c r="BA23" s="1221" t="str">
        <f t="shared" si="48"/>
        <v/>
      </c>
      <c r="BB23" s="1747" t="str">
        <f t="shared" si="49"/>
        <v/>
      </c>
      <c r="BC23" s="1748" t="str">
        <f t="shared" si="50"/>
        <v/>
      </c>
      <c r="BD23" s="1226" t="str">
        <f t="shared" si="51"/>
        <v/>
      </c>
      <c r="BE23" s="1221" t="str">
        <f t="shared" si="52"/>
        <v/>
      </c>
      <c r="BF23" s="1747" t="str">
        <f t="shared" si="53"/>
        <v/>
      </c>
      <c r="BG23" s="1748" t="str">
        <f t="shared" si="54"/>
        <v/>
      </c>
      <c r="BH23" s="1417"/>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3">
        <f t="shared" si="62"/>
        <v>6</v>
      </c>
      <c r="BT23" s="990" t="str">
        <f t="shared" si="63"/>
        <v>No</v>
      </c>
      <c r="BU23" s="1303">
        <f t="shared" si="64"/>
        <v>6</v>
      </c>
      <c r="BV23" s="990" t="str">
        <f t="shared" si="65"/>
        <v>No</v>
      </c>
      <c r="BW23" s="991">
        <f t="shared" ca="1" si="66"/>
        <v>0</v>
      </c>
      <c r="BX23" s="991" t="str">
        <f t="shared" ca="1" si="67"/>
        <v/>
      </c>
      <c r="BY23" s="991" t="b">
        <f t="shared" ca="1" si="68"/>
        <v>0</v>
      </c>
      <c r="BZ23" s="991" t="b">
        <f t="shared" si="90"/>
        <v>0</v>
      </c>
      <c r="CB23" s="672"/>
      <c r="CC23" s="1685"/>
      <c r="CD23" s="699"/>
      <c r="CE23" s="700"/>
      <c r="CF23" s="701"/>
      <c r="CG23" s="672"/>
      <c r="CH23" s="713"/>
      <c r="CI23" s="714"/>
      <c r="CJ23" s="713"/>
      <c r="CK23" s="714"/>
      <c r="CL23" s="715"/>
      <c r="CM23" s="743"/>
      <c r="CN23" s="738"/>
      <c r="CO23" s="1552"/>
      <c r="CP23" s="910"/>
      <c r="CQ23" s="672"/>
      <c r="CR23" s="713"/>
      <c r="CS23" s="714"/>
      <c r="CT23" s="713"/>
      <c r="CU23" s="714"/>
      <c r="CV23" s="715"/>
      <c r="CW23" s="743"/>
      <c r="CX23" s="738"/>
      <c r="CY23" s="1552"/>
      <c r="CZ23" s="910"/>
      <c r="DA23" s="717"/>
      <c r="DB23" s="702"/>
      <c r="DC23" s="703"/>
      <c r="DD23" s="725"/>
      <c r="DE23" s="726"/>
      <c r="DF23" s="141"/>
      <c r="DG23" s="141"/>
      <c r="DH23" s="672"/>
      <c r="DI23" s="673"/>
      <c r="DJ23" s="692"/>
      <c r="DK23" s="1332"/>
      <c r="DL23" s="674"/>
      <c r="DM23" s="693"/>
      <c r="DN23" s="1335"/>
      <c r="DO23" s="675"/>
      <c r="DP23" s="676"/>
      <c r="DQ23" s="1420"/>
      <c r="DR23" s="677"/>
      <c r="DS23" s="1420"/>
      <c r="DT23" s="1422"/>
      <c r="DU23" s="1423"/>
      <c r="DV23" s="678"/>
      <c r="DW23" s="1337"/>
      <c r="DX23" s="679"/>
      <c r="DY23" s="674"/>
      <c r="DZ23" s="678"/>
      <c r="EA23" s="1337"/>
      <c r="EB23" s="679"/>
      <c r="EC23" s="674"/>
      <c r="ED23" s="678"/>
      <c r="EE23" s="1337"/>
      <c r="EF23" s="679"/>
      <c r="EG23" s="674"/>
      <c r="EH23" s="678"/>
      <c r="EI23" s="1337"/>
      <c r="EJ23" s="679"/>
      <c r="EK23" s="680"/>
      <c r="EL23" s="241"/>
      <c r="EM23" s="1632" t="str">
        <f t="shared" si="69"/>
        <v/>
      </c>
      <c r="EN23" s="1429" t="str">
        <f t="shared" si="70"/>
        <v/>
      </c>
      <c r="EO23" s="1430" t="str">
        <f t="shared" si="71"/>
        <v/>
      </c>
      <c r="EP23" s="1431" t="str">
        <f t="shared" si="72"/>
        <v/>
      </c>
      <c r="EQ23" s="1435" t="str">
        <f t="shared" si="73"/>
        <v/>
      </c>
      <c r="ER23" s="1441" t="str">
        <f t="shared" si="74"/>
        <v/>
      </c>
      <c r="ES23" s="1442" t="str">
        <f t="shared" si="75"/>
        <v/>
      </c>
      <c r="ET23" s="1443" t="str">
        <f t="shared" si="76"/>
        <v/>
      </c>
      <c r="EU23" s="1444"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581" t="str">
        <f t="shared" si="82"/>
        <v/>
      </c>
      <c r="GB23" s="623" t="str">
        <f t="shared" si="83"/>
        <v/>
      </c>
      <c r="GC23" s="625" t="str">
        <f t="shared" si="84"/>
        <v/>
      </c>
      <c r="GD23" s="626" t="str">
        <f t="shared" si="85"/>
        <v/>
      </c>
      <c r="GE23" s="624" t="str">
        <f t="shared" si="86"/>
        <v/>
      </c>
      <c r="GF23" s="582" t="str">
        <f t="shared" si="87"/>
        <v/>
      </c>
      <c r="GG23" s="692"/>
      <c r="GH23" s="1136"/>
      <c r="GI23" s="692"/>
      <c r="GJ23" s="1136"/>
      <c r="GK23" s="1641">
        <f t="shared" si="88"/>
        <v>0</v>
      </c>
      <c r="GL23" s="1641" t="e">
        <f t="shared" si="89"/>
        <v>#VALUE!</v>
      </c>
      <c r="GM23" s="1642" t="e">
        <f>IF(ABS(GK23-GL23)&gt;='Job Info.'!$L$22,ABS(GK23-GL23),0)</f>
        <v>#VALUE!</v>
      </c>
      <c r="HA23" s="1242"/>
      <c r="HB23" s="1243"/>
      <c r="HC23" s="1243"/>
      <c r="HD23" s="1244"/>
      <c r="HE23" s="1245"/>
      <c r="HF23" s="1243"/>
      <c r="HG23" s="1243"/>
      <c r="HH23" s="1243"/>
      <c r="HI23" s="1243"/>
      <c r="HJ23" s="1243"/>
      <c r="HK23" s="1243"/>
      <c r="HL23" s="1243"/>
      <c r="HM23" s="1243"/>
      <c r="HN23" s="1243"/>
      <c r="HO23" s="1243"/>
      <c r="HP23" s="1243"/>
      <c r="HQ23" s="1243"/>
      <c r="HR23" s="1243"/>
      <c r="HS23" s="1243"/>
      <c r="HT23" s="1243"/>
      <c r="HU23" s="1243"/>
      <c r="HV23" s="1243"/>
      <c r="HW23" s="1243"/>
      <c r="HX23" s="1243"/>
      <c r="HY23" s="1247"/>
      <c r="HZ23" s="1247"/>
      <c r="IA23" s="1247"/>
      <c r="IB23" s="1247"/>
      <c r="IC23" s="1247"/>
      <c r="ID23" s="1262"/>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99"/>
        <v>0</v>
      </c>
    </row>
    <row r="24" spans="1:272" ht="12.6" customHeight="1" x14ac:dyDescent="0.25">
      <c r="A24" s="1215" t="str">
        <f t="shared" si="0"/>
        <v/>
      </c>
      <c r="B24" s="1709" t="str">
        <f t="shared" si="1"/>
        <v/>
      </c>
      <c r="C24" s="1216" t="str">
        <f t="shared" si="2"/>
        <v/>
      </c>
      <c r="D24" s="1217" t="str">
        <f t="shared" si="3"/>
        <v/>
      </c>
      <c r="E24" s="1218" t="str">
        <f t="shared" si="4"/>
        <v/>
      </c>
      <c r="F24" s="1219" t="str">
        <f t="shared" si="5"/>
        <v/>
      </c>
      <c r="G24" s="1220" t="str">
        <f t="shared" si="6"/>
        <v/>
      </c>
      <c r="H24" s="1221" t="str">
        <f t="shared" si="7"/>
        <v/>
      </c>
      <c r="I24" s="1222" t="str">
        <f t="shared" si="8"/>
        <v/>
      </c>
      <c r="J24" s="1217" t="str">
        <f t="shared" si="9"/>
        <v/>
      </c>
      <c r="K24" s="1221" t="str">
        <f t="shared" si="10"/>
        <v/>
      </c>
      <c r="L24" s="1223" t="str">
        <f t="shared" si="11"/>
        <v/>
      </c>
      <c r="M24" s="1224" t="str">
        <f t="shared" si="12"/>
        <v/>
      </c>
      <c r="N24" s="1225" t="str">
        <f t="shared" si="12"/>
        <v/>
      </c>
      <c r="O24" s="1220" t="str">
        <f t="shared" si="13"/>
        <v/>
      </c>
      <c r="P24" s="1221" t="str">
        <f t="shared" si="14"/>
        <v/>
      </c>
      <c r="Q24" s="1217" t="str">
        <f t="shared" si="15"/>
        <v/>
      </c>
      <c r="R24" s="1218" t="str">
        <f t="shared" si="16"/>
        <v/>
      </c>
      <c r="S24" s="1226" t="str">
        <f t="shared" si="17"/>
        <v/>
      </c>
      <c r="T24" s="1221" t="str">
        <f t="shared" si="18"/>
        <v/>
      </c>
      <c r="U24" s="1217" t="str">
        <f t="shared" si="19"/>
        <v/>
      </c>
      <c r="V24" s="1221" t="str">
        <f t="shared" si="20"/>
        <v/>
      </c>
      <c r="W24" s="1225">
        <f t="shared" si="21"/>
        <v>0</v>
      </c>
      <c r="X24" s="1227" t="str">
        <f t="shared" si="22"/>
        <v/>
      </c>
      <c r="Y24" s="1228" t="str">
        <f t="shared" si="23"/>
        <v/>
      </c>
      <c r="Z24" s="1710" t="str">
        <f t="shared" si="24"/>
        <v/>
      </c>
      <c r="AA24" s="1235" t="str">
        <f t="shared" si="25"/>
        <v/>
      </c>
      <c r="AB24" s="1215" t="str">
        <f t="shared" si="26"/>
        <v/>
      </c>
      <c r="AC24" s="1222" t="str">
        <f t="shared" si="27"/>
        <v/>
      </c>
      <c r="AD24" s="1217" t="str">
        <f t="shared" ca="1" si="28"/>
        <v/>
      </c>
      <c r="AE24" s="1221" t="str">
        <f t="shared" ca="1" si="29"/>
        <v/>
      </c>
      <c r="AF24" s="1222" t="str">
        <f t="shared" ca="1" si="30"/>
        <v/>
      </c>
      <c r="AG24" s="1217" t="str">
        <f t="shared" ca="1" si="31"/>
        <v/>
      </c>
      <c r="AH24" s="1221" t="str">
        <f t="shared" ca="1" si="32"/>
        <v/>
      </c>
      <c r="AI24" s="1217" t="str">
        <f t="shared" ca="1" si="33"/>
        <v/>
      </c>
      <c r="AJ24" s="1221" t="str">
        <f t="shared" ca="1" si="34"/>
        <v/>
      </c>
      <c r="AK24" s="1742" t="str">
        <f t="shared" si="35"/>
        <v/>
      </c>
      <c r="AL24" s="1743" t="str">
        <f t="shared" si="36"/>
        <v/>
      </c>
      <c r="AM24" s="1744" t="str">
        <f t="shared" si="35"/>
        <v/>
      </c>
      <c r="AN24" s="1222" t="str">
        <f t="shared" si="35"/>
        <v/>
      </c>
      <c r="AO24" s="1225" t="str">
        <f t="shared" si="35"/>
        <v/>
      </c>
      <c r="AP24" s="1224" t="str">
        <f t="shared" si="37"/>
        <v/>
      </c>
      <c r="AQ24" s="1746" t="str">
        <f t="shared" si="38"/>
        <v/>
      </c>
      <c r="AR24" s="1220" t="str">
        <f t="shared" si="39"/>
        <v/>
      </c>
      <c r="AS24" s="1221" t="str">
        <f t="shared" si="40"/>
        <v/>
      </c>
      <c r="AT24" s="1747" t="str">
        <f t="shared" si="41"/>
        <v/>
      </c>
      <c r="AU24" s="1748" t="str">
        <f t="shared" si="42"/>
        <v/>
      </c>
      <c r="AV24" s="1226" t="str">
        <f t="shared" si="43"/>
        <v/>
      </c>
      <c r="AW24" s="1221" t="str">
        <f t="shared" si="44"/>
        <v/>
      </c>
      <c r="AX24" s="1747" t="str">
        <f t="shared" si="45"/>
        <v/>
      </c>
      <c r="AY24" s="1748" t="str">
        <f t="shared" si="46"/>
        <v/>
      </c>
      <c r="AZ24" s="1226" t="str">
        <f t="shared" si="47"/>
        <v/>
      </c>
      <c r="BA24" s="1221" t="str">
        <f t="shared" si="48"/>
        <v/>
      </c>
      <c r="BB24" s="1747" t="str">
        <f t="shared" si="49"/>
        <v/>
      </c>
      <c r="BC24" s="1748" t="str">
        <f t="shared" si="50"/>
        <v/>
      </c>
      <c r="BD24" s="1226" t="str">
        <f t="shared" si="51"/>
        <v/>
      </c>
      <c r="BE24" s="1221" t="str">
        <f t="shared" si="52"/>
        <v/>
      </c>
      <c r="BF24" s="1747" t="str">
        <f t="shared" si="53"/>
        <v/>
      </c>
      <c r="BG24" s="1748" t="str">
        <f t="shared" si="54"/>
        <v/>
      </c>
      <c r="BH24" s="1417"/>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3">
        <f t="shared" si="62"/>
        <v>6</v>
      </c>
      <c r="BT24" s="990" t="str">
        <f t="shared" si="63"/>
        <v>No</v>
      </c>
      <c r="BU24" s="1303">
        <f t="shared" si="64"/>
        <v>6</v>
      </c>
      <c r="BV24" s="990" t="str">
        <f t="shared" si="65"/>
        <v>No</v>
      </c>
      <c r="BW24" s="991">
        <f t="shared" ca="1" si="66"/>
        <v>0</v>
      </c>
      <c r="BX24" s="991" t="str">
        <f t="shared" ca="1" si="67"/>
        <v/>
      </c>
      <c r="BY24" s="991" t="b">
        <f t="shared" ca="1" si="68"/>
        <v>0</v>
      </c>
      <c r="BZ24" s="991" t="b">
        <f t="shared" si="90"/>
        <v>0</v>
      </c>
      <c r="CB24" s="672"/>
      <c r="CC24" s="1685"/>
      <c r="CD24" s="699"/>
      <c r="CE24" s="700"/>
      <c r="CF24" s="701"/>
      <c r="CG24" s="672"/>
      <c r="CH24" s="713"/>
      <c r="CI24" s="714"/>
      <c r="CJ24" s="713"/>
      <c r="CK24" s="714"/>
      <c r="CL24" s="715"/>
      <c r="CM24" s="743"/>
      <c r="CN24" s="738"/>
      <c r="CO24" s="1552"/>
      <c r="CP24" s="910"/>
      <c r="CQ24" s="672"/>
      <c r="CR24" s="713"/>
      <c r="CS24" s="714"/>
      <c r="CT24" s="713"/>
      <c r="CU24" s="714"/>
      <c r="CV24" s="715"/>
      <c r="CW24" s="743"/>
      <c r="CX24" s="738"/>
      <c r="CY24" s="1552"/>
      <c r="CZ24" s="910"/>
      <c r="DA24" s="717"/>
      <c r="DB24" s="702"/>
      <c r="DC24" s="703"/>
      <c r="DD24" s="725"/>
      <c r="DE24" s="726"/>
      <c r="DF24" s="141"/>
      <c r="DG24" s="141"/>
      <c r="DH24" s="672"/>
      <c r="DI24" s="673"/>
      <c r="DJ24" s="692"/>
      <c r="DK24" s="1332"/>
      <c r="DL24" s="674"/>
      <c r="DM24" s="693"/>
      <c r="DN24" s="1335"/>
      <c r="DO24" s="675"/>
      <c r="DP24" s="676"/>
      <c r="DQ24" s="1420"/>
      <c r="DR24" s="677"/>
      <c r="DS24" s="1420"/>
      <c r="DT24" s="1422"/>
      <c r="DU24" s="1423"/>
      <c r="DV24" s="678"/>
      <c r="DW24" s="1337"/>
      <c r="DX24" s="679"/>
      <c r="DY24" s="674"/>
      <c r="DZ24" s="678"/>
      <c r="EA24" s="1337"/>
      <c r="EB24" s="679"/>
      <c r="EC24" s="674"/>
      <c r="ED24" s="678"/>
      <c r="EE24" s="1337"/>
      <c r="EF24" s="679"/>
      <c r="EG24" s="674"/>
      <c r="EH24" s="678"/>
      <c r="EI24" s="1337"/>
      <c r="EJ24" s="679"/>
      <c r="EK24" s="680"/>
      <c r="EL24" s="241"/>
      <c r="EM24" s="1632" t="str">
        <f t="shared" si="69"/>
        <v/>
      </c>
      <c r="EN24" s="1429" t="str">
        <f t="shared" si="70"/>
        <v/>
      </c>
      <c r="EO24" s="1430" t="str">
        <f t="shared" si="71"/>
        <v/>
      </c>
      <c r="EP24" s="1431" t="str">
        <f t="shared" si="72"/>
        <v/>
      </c>
      <c r="EQ24" s="1435" t="str">
        <f t="shared" si="73"/>
        <v/>
      </c>
      <c r="ER24" s="1441" t="str">
        <f t="shared" si="74"/>
        <v/>
      </c>
      <c r="ES24" s="1442" t="str">
        <f t="shared" si="75"/>
        <v/>
      </c>
      <c r="ET24" s="1443" t="str">
        <f t="shared" si="76"/>
        <v/>
      </c>
      <c r="EU24" s="1444"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581" t="str">
        <f t="shared" si="82"/>
        <v/>
      </c>
      <c r="GB24" s="623" t="str">
        <f t="shared" si="83"/>
        <v/>
      </c>
      <c r="GC24" s="625" t="str">
        <f t="shared" si="84"/>
        <v/>
      </c>
      <c r="GD24" s="626" t="str">
        <f t="shared" si="85"/>
        <v/>
      </c>
      <c r="GE24" s="624" t="str">
        <f t="shared" si="86"/>
        <v/>
      </c>
      <c r="GF24" s="582" t="str">
        <f t="shared" si="87"/>
        <v/>
      </c>
      <c r="GG24" s="692"/>
      <c r="GH24" s="1136"/>
      <c r="GI24" s="692"/>
      <c r="GJ24" s="1136"/>
      <c r="GK24" s="1641">
        <f t="shared" si="88"/>
        <v>0</v>
      </c>
      <c r="GL24" s="1641" t="e">
        <f t="shared" si="89"/>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99"/>
        <v>0</v>
      </c>
    </row>
    <row r="25" spans="1:272" ht="12.6" customHeight="1" x14ac:dyDescent="0.25">
      <c r="A25" s="1215" t="str">
        <f t="shared" si="0"/>
        <v/>
      </c>
      <c r="B25" s="1709" t="str">
        <f t="shared" si="1"/>
        <v/>
      </c>
      <c r="C25" s="1216" t="str">
        <f t="shared" si="2"/>
        <v/>
      </c>
      <c r="D25" s="1217" t="str">
        <f t="shared" si="3"/>
        <v/>
      </c>
      <c r="E25" s="1218" t="str">
        <f t="shared" si="4"/>
        <v/>
      </c>
      <c r="F25" s="1219" t="str">
        <f t="shared" si="5"/>
        <v/>
      </c>
      <c r="G25" s="1220" t="str">
        <f t="shared" si="6"/>
        <v/>
      </c>
      <c r="H25" s="1221" t="str">
        <f t="shared" si="7"/>
        <v/>
      </c>
      <c r="I25" s="1222" t="str">
        <f t="shared" si="8"/>
        <v/>
      </c>
      <c r="J25" s="1217" t="str">
        <f t="shared" si="9"/>
        <v/>
      </c>
      <c r="K25" s="1221" t="str">
        <f t="shared" si="10"/>
        <v/>
      </c>
      <c r="L25" s="1223" t="str">
        <f t="shared" si="11"/>
        <v/>
      </c>
      <c r="M25" s="1224" t="str">
        <f t="shared" si="12"/>
        <v/>
      </c>
      <c r="N25" s="1225" t="str">
        <f t="shared" si="12"/>
        <v/>
      </c>
      <c r="O25" s="1220" t="str">
        <f t="shared" si="13"/>
        <v/>
      </c>
      <c r="P25" s="1221" t="str">
        <f t="shared" si="14"/>
        <v/>
      </c>
      <c r="Q25" s="1217" t="str">
        <f t="shared" si="15"/>
        <v/>
      </c>
      <c r="R25" s="1218" t="str">
        <f t="shared" si="16"/>
        <v/>
      </c>
      <c r="S25" s="1226" t="str">
        <f t="shared" si="17"/>
        <v/>
      </c>
      <c r="T25" s="1221" t="str">
        <f t="shared" si="18"/>
        <v/>
      </c>
      <c r="U25" s="1217" t="str">
        <f t="shared" si="19"/>
        <v/>
      </c>
      <c r="V25" s="1221" t="str">
        <f t="shared" si="20"/>
        <v/>
      </c>
      <c r="W25" s="1225">
        <f t="shared" si="21"/>
        <v>0</v>
      </c>
      <c r="X25" s="1227" t="str">
        <f t="shared" si="22"/>
        <v/>
      </c>
      <c r="Y25" s="1228" t="str">
        <f t="shared" si="23"/>
        <v/>
      </c>
      <c r="Z25" s="1710" t="str">
        <f t="shared" si="24"/>
        <v/>
      </c>
      <c r="AA25" s="1235" t="str">
        <f t="shared" si="25"/>
        <v/>
      </c>
      <c r="AB25" s="1215" t="str">
        <f t="shared" si="26"/>
        <v/>
      </c>
      <c r="AC25" s="1222" t="str">
        <f t="shared" si="27"/>
        <v/>
      </c>
      <c r="AD25" s="1217" t="str">
        <f t="shared" ca="1" si="28"/>
        <v/>
      </c>
      <c r="AE25" s="1221" t="str">
        <f t="shared" ca="1" si="29"/>
        <v/>
      </c>
      <c r="AF25" s="1222" t="str">
        <f t="shared" ca="1" si="30"/>
        <v/>
      </c>
      <c r="AG25" s="1217" t="str">
        <f t="shared" ca="1" si="31"/>
        <v/>
      </c>
      <c r="AH25" s="1221" t="str">
        <f t="shared" ca="1" si="32"/>
        <v/>
      </c>
      <c r="AI25" s="1217" t="str">
        <f t="shared" ca="1" si="33"/>
        <v/>
      </c>
      <c r="AJ25" s="1221" t="str">
        <f t="shared" ca="1" si="34"/>
        <v/>
      </c>
      <c r="AK25" s="1742" t="str">
        <f t="shared" si="35"/>
        <v/>
      </c>
      <c r="AL25" s="1743" t="str">
        <f t="shared" si="36"/>
        <v/>
      </c>
      <c r="AM25" s="1744" t="str">
        <f t="shared" si="35"/>
        <v/>
      </c>
      <c r="AN25" s="1222" t="str">
        <f t="shared" si="35"/>
        <v/>
      </c>
      <c r="AO25" s="1225" t="str">
        <f t="shared" si="35"/>
        <v/>
      </c>
      <c r="AP25" s="1224" t="str">
        <f t="shared" si="37"/>
        <v/>
      </c>
      <c r="AQ25" s="1746" t="str">
        <f t="shared" si="38"/>
        <v/>
      </c>
      <c r="AR25" s="1220" t="str">
        <f t="shared" si="39"/>
        <v/>
      </c>
      <c r="AS25" s="1221" t="str">
        <f t="shared" si="40"/>
        <v/>
      </c>
      <c r="AT25" s="1747" t="str">
        <f t="shared" si="41"/>
        <v/>
      </c>
      <c r="AU25" s="1748" t="str">
        <f t="shared" si="42"/>
        <v/>
      </c>
      <c r="AV25" s="1226" t="str">
        <f t="shared" si="43"/>
        <v/>
      </c>
      <c r="AW25" s="1221" t="str">
        <f t="shared" si="44"/>
        <v/>
      </c>
      <c r="AX25" s="1747" t="str">
        <f t="shared" si="45"/>
        <v/>
      </c>
      <c r="AY25" s="1748" t="str">
        <f t="shared" si="46"/>
        <v/>
      </c>
      <c r="AZ25" s="1226" t="str">
        <f t="shared" si="47"/>
        <v/>
      </c>
      <c r="BA25" s="1221" t="str">
        <f t="shared" si="48"/>
        <v/>
      </c>
      <c r="BB25" s="1747" t="str">
        <f t="shared" si="49"/>
        <v/>
      </c>
      <c r="BC25" s="1748" t="str">
        <f t="shared" si="50"/>
        <v/>
      </c>
      <c r="BD25" s="1226" t="str">
        <f t="shared" si="51"/>
        <v/>
      </c>
      <c r="BE25" s="1221" t="str">
        <f t="shared" si="52"/>
        <v/>
      </c>
      <c r="BF25" s="1747" t="str">
        <f t="shared" si="53"/>
        <v/>
      </c>
      <c r="BG25" s="1748" t="str">
        <f t="shared" si="54"/>
        <v/>
      </c>
      <c r="BH25" s="1417"/>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3">
        <f t="shared" si="62"/>
        <v>6</v>
      </c>
      <c r="BT25" s="990" t="str">
        <f t="shared" si="63"/>
        <v>No</v>
      </c>
      <c r="BU25" s="1303">
        <f t="shared" si="64"/>
        <v>6</v>
      </c>
      <c r="BV25" s="990" t="str">
        <f t="shared" si="65"/>
        <v>No</v>
      </c>
      <c r="BW25" s="991">
        <f t="shared" ca="1" si="66"/>
        <v>0</v>
      </c>
      <c r="BX25" s="991" t="str">
        <f t="shared" ca="1" si="67"/>
        <v/>
      </c>
      <c r="BY25" s="991" t="b">
        <f t="shared" ca="1" si="68"/>
        <v>0</v>
      </c>
      <c r="BZ25" s="991" t="b">
        <f t="shared" si="90"/>
        <v>0</v>
      </c>
      <c r="CB25" s="672"/>
      <c r="CC25" s="1685"/>
      <c r="CD25" s="699"/>
      <c r="CE25" s="700"/>
      <c r="CF25" s="701"/>
      <c r="CG25" s="672"/>
      <c r="CH25" s="713"/>
      <c r="CI25" s="714"/>
      <c r="CJ25" s="713"/>
      <c r="CK25" s="714"/>
      <c r="CL25" s="715"/>
      <c r="CM25" s="743"/>
      <c r="CN25" s="738"/>
      <c r="CO25" s="1552"/>
      <c r="CP25" s="910"/>
      <c r="CQ25" s="672"/>
      <c r="CR25" s="713"/>
      <c r="CS25" s="714"/>
      <c r="CT25" s="713"/>
      <c r="CU25" s="714"/>
      <c r="CV25" s="715"/>
      <c r="CW25" s="743"/>
      <c r="CX25" s="738"/>
      <c r="CY25" s="1552"/>
      <c r="CZ25" s="910"/>
      <c r="DA25" s="717"/>
      <c r="DB25" s="702"/>
      <c r="DC25" s="703"/>
      <c r="DD25" s="725"/>
      <c r="DE25" s="726"/>
      <c r="DF25" s="141"/>
      <c r="DG25" s="141"/>
      <c r="DH25" s="672"/>
      <c r="DI25" s="673"/>
      <c r="DJ25" s="692"/>
      <c r="DK25" s="1332"/>
      <c r="DL25" s="674"/>
      <c r="DM25" s="693"/>
      <c r="DN25" s="1335"/>
      <c r="DO25" s="675"/>
      <c r="DP25" s="676"/>
      <c r="DQ25" s="1420"/>
      <c r="DR25" s="677"/>
      <c r="DS25" s="1420"/>
      <c r="DT25" s="1422"/>
      <c r="DU25" s="1423"/>
      <c r="DV25" s="678"/>
      <c r="DW25" s="1337"/>
      <c r="DX25" s="679"/>
      <c r="DY25" s="674"/>
      <c r="DZ25" s="678"/>
      <c r="EA25" s="1337"/>
      <c r="EB25" s="679"/>
      <c r="EC25" s="674"/>
      <c r="ED25" s="678"/>
      <c r="EE25" s="1337"/>
      <c r="EF25" s="679"/>
      <c r="EG25" s="674"/>
      <c r="EH25" s="678"/>
      <c r="EI25" s="1337"/>
      <c r="EJ25" s="679"/>
      <c r="EK25" s="680"/>
      <c r="EL25" s="241"/>
      <c r="EM25" s="1632" t="str">
        <f t="shared" si="69"/>
        <v/>
      </c>
      <c r="EN25" s="1429" t="str">
        <f t="shared" si="70"/>
        <v/>
      </c>
      <c r="EO25" s="1430" t="str">
        <f t="shared" si="71"/>
        <v/>
      </c>
      <c r="EP25" s="1431" t="str">
        <f t="shared" si="72"/>
        <v/>
      </c>
      <c r="EQ25" s="1435" t="str">
        <f t="shared" si="73"/>
        <v/>
      </c>
      <c r="ER25" s="1441" t="str">
        <f t="shared" si="74"/>
        <v/>
      </c>
      <c r="ES25" s="1442" t="str">
        <f t="shared" si="75"/>
        <v/>
      </c>
      <c r="ET25" s="1443" t="str">
        <f t="shared" si="76"/>
        <v/>
      </c>
      <c r="EU25" s="1444"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581" t="str">
        <f t="shared" si="82"/>
        <v/>
      </c>
      <c r="GB25" s="623" t="str">
        <f t="shared" si="83"/>
        <v/>
      </c>
      <c r="GC25" s="625" t="str">
        <f t="shared" si="84"/>
        <v/>
      </c>
      <c r="GD25" s="626" t="str">
        <f t="shared" si="85"/>
        <v/>
      </c>
      <c r="GE25" s="624" t="str">
        <f t="shared" si="86"/>
        <v/>
      </c>
      <c r="GF25" s="582" t="str">
        <f t="shared" si="87"/>
        <v/>
      </c>
      <c r="GG25" s="692"/>
      <c r="GH25" s="1136"/>
      <c r="GI25" s="692"/>
      <c r="GJ25" s="1136"/>
      <c r="GK25" s="1641">
        <f t="shared" si="88"/>
        <v>0</v>
      </c>
      <c r="GL25" s="1641" t="e">
        <f t="shared" si="89"/>
        <v>#VALUE!</v>
      </c>
      <c r="GM25" s="1642" t="e">
        <f>IF(ABS(GK25-GL25)&gt;='Job Info.'!$L$22,ABS(GK25-GL25),0)</f>
        <v>#VALUE!</v>
      </c>
      <c r="HA25" s="1242"/>
      <c r="HB25" s="1243"/>
      <c r="HC25" s="1243"/>
      <c r="HD25" s="1244"/>
      <c r="HE25" s="1245"/>
      <c r="HF25" s="1243"/>
      <c r="HG25" s="1243"/>
      <c r="HH25" s="1243"/>
      <c r="HI25" s="1243"/>
      <c r="HJ25" s="1243"/>
      <c r="HK25" s="1243"/>
      <c r="HL25" s="1243"/>
      <c r="HM25" s="1243"/>
      <c r="HN25" s="1243"/>
      <c r="HO25" s="1243"/>
      <c r="HP25" s="1243"/>
      <c r="HQ25" s="1243"/>
      <c r="HR25" s="1243"/>
      <c r="HS25" s="1243"/>
      <c r="HT25" s="1243"/>
      <c r="HU25" s="1243"/>
      <c r="HV25" s="1243"/>
      <c r="HW25" s="1243"/>
      <c r="HX25" s="1243"/>
      <c r="HY25" s="1247"/>
      <c r="HZ25" s="1247"/>
      <c r="IA25" s="1247"/>
      <c r="IB25" s="1247"/>
      <c r="IC25" s="1247"/>
      <c r="ID25" s="1262"/>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99"/>
        <v>0</v>
      </c>
    </row>
    <row r="26" spans="1:272" ht="12.6" customHeight="1" x14ac:dyDescent="0.25">
      <c r="A26" s="1215" t="str">
        <f t="shared" si="0"/>
        <v/>
      </c>
      <c r="B26" s="1709" t="str">
        <f t="shared" si="1"/>
        <v/>
      </c>
      <c r="C26" s="1216" t="str">
        <f t="shared" si="2"/>
        <v/>
      </c>
      <c r="D26" s="1217" t="str">
        <f t="shared" si="3"/>
        <v/>
      </c>
      <c r="E26" s="1218" t="str">
        <f t="shared" si="4"/>
        <v/>
      </c>
      <c r="F26" s="1219" t="str">
        <f t="shared" si="5"/>
        <v/>
      </c>
      <c r="G26" s="1220" t="str">
        <f t="shared" si="6"/>
        <v/>
      </c>
      <c r="H26" s="1221" t="str">
        <f t="shared" si="7"/>
        <v/>
      </c>
      <c r="I26" s="1222" t="str">
        <f t="shared" si="8"/>
        <v/>
      </c>
      <c r="J26" s="1217" t="str">
        <f t="shared" si="9"/>
        <v/>
      </c>
      <c r="K26" s="1221" t="str">
        <f t="shared" si="10"/>
        <v/>
      </c>
      <c r="L26" s="1223" t="str">
        <f t="shared" si="11"/>
        <v/>
      </c>
      <c r="M26" s="1224" t="str">
        <f t="shared" si="12"/>
        <v/>
      </c>
      <c r="N26" s="1225" t="str">
        <f t="shared" si="12"/>
        <v/>
      </c>
      <c r="O26" s="1220" t="str">
        <f t="shared" si="13"/>
        <v/>
      </c>
      <c r="P26" s="1221" t="str">
        <f t="shared" si="14"/>
        <v/>
      </c>
      <c r="Q26" s="1217" t="str">
        <f t="shared" si="15"/>
        <v/>
      </c>
      <c r="R26" s="1218" t="str">
        <f t="shared" si="16"/>
        <v/>
      </c>
      <c r="S26" s="1226" t="str">
        <f t="shared" si="17"/>
        <v/>
      </c>
      <c r="T26" s="1221" t="str">
        <f t="shared" si="18"/>
        <v/>
      </c>
      <c r="U26" s="1217" t="str">
        <f t="shared" si="19"/>
        <v/>
      </c>
      <c r="V26" s="1221" t="str">
        <f t="shared" si="20"/>
        <v/>
      </c>
      <c r="W26" s="1225">
        <f t="shared" si="21"/>
        <v>0</v>
      </c>
      <c r="X26" s="1227" t="str">
        <f t="shared" si="22"/>
        <v/>
      </c>
      <c r="Y26" s="1228" t="str">
        <f t="shared" si="23"/>
        <v/>
      </c>
      <c r="Z26" s="1710" t="str">
        <f t="shared" si="24"/>
        <v/>
      </c>
      <c r="AA26" s="1235" t="str">
        <f t="shared" si="25"/>
        <v/>
      </c>
      <c r="AB26" s="1215" t="str">
        <f t="shared" si="26"/>
        <v/>
      </c>
      <c r="AC26" s="1222" t="str">
        <f t="shared" si="27"/>
        <v/>
      </c>
      <c r="AD26" s="1217" t="str">
        <f t="shared" ca="1" si="28"/>
        <v/>
      </c>
      <c r="AE26" s="1221" t="str">
        <f t="shared" ca="1" si="29"/>
        <v/>
      </c>
      <c r="AF26" s="1222" t="str">
        <f t="shared" ca="1" si="30"/>
        <v/>
      </c>
      <c r="AG26" s="1217" t="str">
        <f t="shared" ca="1" si="31"/>
        <v/>
      </c>
      <c r="AH26" s="1221" t="str">
        <f t="shared" ca="1" si="32"/>
        <v/>
      </c>
      <c r="AI26" s="1217" t="str">
        <f t="shared" ca="1" si="33"/>
        <v/>
      </c>
      <c r="AJ26" s="1221" t="str">
        <f t="shared" ca="1" si="34"/>
        <v/>
      </c>
      <c r="AK26" s="1742" t="str">
        <f t="shared" si="35"/>
        <v/>
      </c>
      <c r="AL26" s="1743" t="str">
        <f t="shared" si="36"/>
        <v/>
      </c>
      <c r="AM26" s="1744" t="str">
        <f t="shared" si="35"/>
        <v/>
      </c>
      <c r="AN26" s="1222" t="str">
        <f t="shared" si="35"/>
        <v/>
      </c>
      <c r="AO26" s="1225" t="str">
        <f t="shared" si="35"/>
        <v/>
      </c>
      <c r="AP26" s="1224" t="str">
        <f t="shared" si="37"/>
        <v/>
      </c>
      <c r="AQ26" s="1746" t="str">
        <f t="shared" si="38"/>
        <v/>
      </c>
      <c r="AR26" s="1220" t="str">
        <f t="shared" si="39"/>
        <v/>
      </c>
      <c r="AS26" s="1221" t="str">
        <f t="shared" si="40"/>
        <v/>
      </c>
      <c r="AT26" s="1747" t="str">
        <f t="shared" si="41"/>
        <v/>
      </c>
      <c r="AU26" s="1748" t="str">
        <f t="shared" si="42"/>
        <v/>
      </c>
      <c r="AV26" s="1226" t="str">
        <f t="shared" si="43"/>
        <v/>
      </c>
      <c r="AW26" s="1221" t="str">
        <f t="shared" si="44"/>
        <v/>
      </c>
      <c r="AX26" s="1747" t="str">
        <f t="shared" si="45"/>
        <v/>
      </c>
      <c r="AY26" s="1748" t="str">
        <f t="shared" si="46"/>
        <v/>
      </c>
      <c r="AZ26" s="1226" t="str">
        <f t="shared" si="47"/>
        <v/>
      </c>
      <c r="BA26" s="1221" t="str">
        <f t="shared" si="48"/>
        <v/>
      </c>
      <c r="BB26" s="1747" t="str">
        <f t="shared" si="49"/>
        <v/>
      </c>
      <c r="BC26" s="1748" t="str">
        <f t="shared" si="50"/>
        <v/>
      </c>
      <c r="BD26" s="1226" t="str">
        <f t="shared" si="51"/>
        <v/>
      </c>
      <c r="BE26" s="1221" t="str">
        <f t="shared" si="52"/>
        <v/>
      </c>
      <c r="BF26" s="1747" t="str">
        <f t="shared" si="53"/>
        <v/>
      </c>
      <c r="BG26" s="1748" t="str">
        <f t="shared" si="54"/>
        <v/>
      </c>
      <c r="BH26" s="1417"/>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3">
        <f t="shared" si="62"/>
        <v>6</v>
      </c>
      <c r="BT26" s="990" t="str">
        <f t="shared" si="63"/>
        <v>No</v>
      </c>
      <c r="BU26" s="1303">
        <f t="shared" si="64"/>
        <v>6</v>
      </c>
      <c r="BV26" s="990" t="str">
        <f t="shared" si="65"/>
        <v>No</v>
      </c>
      <c r="BW26" s="991">
        <f t="shared" ca="1" si="66"/>
        <v>0</v>
      </c>
      <c r="BX26" s="991" t="str">
        <f t="shared" ca="1" si="67"/>
        <v/>
      </c>
      <c r="BY26" s="991" t="b">
        <f t="shared" ca="1" si="68"/>
        <v>0</v>
      </c>
      <c r="BZ26" s="991" t="b">
        <f t="shared" si="90"/>
        <v>0</v>
      </c>
      <c r="CB26" s="672"/>
      <c r="CC26" s="1685"/>
      <c r="CD26" s="699"/>
      <c r="CE26" s="700"/>
      <c r="CF26" s="701"/>
      <c r="CG26" s="672"/>
      <c r="CH26" s="713"/>
      <c r="CI26" s="714"/>
      <c r="CJ26" s="713"/>
      <c r="CK26" s="714"/>
      <c r="CL26" s="715"/>
      <c r="CM26" s="743"/>
      <c r="CN26" s="738"/>
      <c r="CO26" s="1552"/>
      <c r="CP26" s="910"/>
      <c r="CQ26" s="672"/>
      <c r="CR26" s="713"/>
      <c r="CS26" s="714"/>
      <c r="CT26" s="713"/>
      <c r="CU26" s="714"/>
      <c r="CV26" s="715"/>
      <c r="CW26" s="743"/>
      <c r="CX26" s="738"/>
      <c r="CY26" s="1552"/>
      <c r="CZ26" s="910"/>
      <c r="DA26" s="717"/>
      <c r="DB26" s="702"/>
      <c r="DC26" s="703"/>
      <c r="DD26" s="725"/>
      <c r="DE26" s="726"/>
      <c r="DF26" s="141"/>
      <c r="DG26" s="141"/>
      <c r="DH26" s="672"/>
      <c r="DI26" s="673"/>
      <c r="DJ26" s="692"/>
      <c r="DK26" s="1332"/>
      <c r="DL26" s="674"/>
      <c r="DM26" s="693"/>
      <c r="DN26" s="1335"/>
      <c r="DO26" s="675"/>
      <c r="DP26" s="676"/>
      <c r="DQ26" s="1420"/>
      <c r="DR26" s="677"/>
      <c r="DS26" s="1420"/>
      <c r="DT26" s="1422"/>
      <c r="DU26" s="1423"/>
      <c r="DV26" s="678"/>
      <c r="DW26" s="1337"/>
      <c r="DX26" s="679"/>
      <c r="DY26" s="674"/>
      <c r="DZ26" s="678"/>
      <c r="EA26" s="1337"/>
      <c r="EB26" s="679"/>
      <c r="EC26" s="674"/>
      <c r="ED26" s="678"/>
      <c r="EE26" s="1337"/>
      <c r="EF26" s="679"/>
      <c r="EG26" s="674"/>
      <c r="EH26" s="678"/>
      <c r="EI26" s="1337"/>
      <c r="EJ26" s="679"/>
      <c r="EK26" s="680"/>
      <c r="EL26" s="241"/>
      <c r="EM26" s="1632" t="str">
        <f t="shared" si="69"/>
        <v/>
      </c>
      <c r="EN26" s="1429" t="str">
        <f t="shared" si="70"/>
        <v/>
      </c>
      <c r="EO26" s="1430" t="str">
        <f t="shared" si="71"/>
        <v/>
      </c>
      <c r="EP26" s="1431" t="str">
        <f t="shared" si="72"/>
        <v/>
      </c>
      <c r="EQ26" s="1435" t="str">
        <f t="shared" si="73"/>
        <v/>
      </c>
      <c r="ER26" s="1441" t="str">
        <f t="shared" si="74"/>
        <v/>
      </c>
      <c r="ES26" s="1442" t="str">
        <f t="shared" si="75"/>
        <v/>
      </c>
      <c r="ET26" s="1443" t="str">
        <f t="shared" si="76"/>
        <v/>
      </c>
      <c r="EU26" s="1444"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581" t="str">
        <f t="shared" si="82"/>
        <v/>
      </c>
      <c r="GB26" s="623" t="str">
        <f t="shared" si="83"/>
        <v/>
      </c>
      <c r="GC26" s="625" t="str">
        <f t="shared" si="84"/>
        <v/>
      </c>
      <c r="GD26" s="626" t="str">
        <f t="shared" si="85"/>
        <v/>
      </c>
      <c r="GE26" s="624" t="str">
        <f t="shared" si="86"/>
        <v/>
      </c>
      <c r="GF26" s="582" t="str">
        <f t="shared" si="87"/>
        <v/>
      </c>
      <c r="GG26" s="692"/>
      <c r="GH26" s="1136"/>
      <c r="GI26" s="692"/>
      <c r="GJ26" s="1136"/>
      <c r="GK26" s="1641">
        <f t="shared" si="88"/>
        <v>0</v>
      </c>
      <c r="GL26" s="1641" t="e">
        <f t="shared" si="89"/>
        <v>#VALUE!</v>
      </c>
      <c r="GM26" s="1642" t="e">
        <f>IF(ABS(GK26-GL26)&gt;='Job Info.'!$L$22,ABS(GK26-GL26),0)</f>
        <v>#VALUE!</v>
      </c>
      <c r="GZ26" s="145"/>
      <c r="HA26" s="1242"/>
      <c r="HB26" s="1243"/>
      <c r="HC26" s="1243"/>
      <c r="HD26" s="1244"/>
      <c r="HE26" s="1245"/>
      <c r="HF26" s="1243"/>
      <c r="HG26" s="1243"/>
      <c r="HH26" s="1243"/>
      <c r="HI26" s="1243"/>
      <c r="HJ26" s="1243"/>
      <c r="HK26" s="1243"/>
      <c r="HL26" s="1243"/>
      <c r="HM26" s="1243"/>
      <c r="HN26" s="1243"/>
      <c r="HO26" s="1243"/>
      <c r="HP26" s="1243"/>
      <c r="HQ26" s="1243"/>
      <c r="HR26" s="1243"/>
      <c r="HS26" s="1243"/>
      <c r="HT26" s="1243"/>
      <c r="HU26" s="1243"/>
      <c r="HV26" s="1243"/>
      <c r="HW26" s="1243"/>
      <c r="HX26" s="1243"/>
      <c r="HY26" s="1247"/>
      <c r="HZ26" s="1247"/>
      <c r="IA26" s="1247"/>
      <c r="IB26" s="1247"/>
      <c r="IC26" s="1247"/>
      <c r="ID26" s="1262"/>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99"/>
        <v>0</v>
      </c>
    </row>
    <row r="27" spans="1:272" ht="12.6" customHeight="1" x14ac:dyDescent="0.25">
      <c r="A27" s="1215" t="str">
        <f t="shared" si="0"/>
        <v/>
      </c>
      <c r="B27" s="1709" t="str">
        <f t="shared" si="1"/>
        <v/>
      </c>
      <c r="C27" s="1216" t="str">
        <f t="shared" si="2"/>
        <v/>
      </c>
      <c r="D27" s="1217" t="str">
        <f t="shared" si="3"/>
        <v/>
      </c>
      <c r="E27" s="1218" t="str">
        <f t="shared" si="4"/>
        <v/>
      </c>
      <c r="F27" s="1219" t="str">
        <f t="shared" si="5"/>
        <v/>
      </c>
      <c r="G27" s="1220" t="str">
        <f t="shared" si="6"/>
        <v/>
      </c>
      <c r="H27" s="1221" t="str">
        <f t="shared" si="7"/>
        <v/>
      </c>
      <c r="I27" s="1222" t="str">
        <f t="shared" si="8"/>
        <v/>
      </c>
      <c r="J27" s="1217" t="str">
        <f t="shared" si="9"/>
        <v/>
      </c>
      <c r="K27" s="1221" t="str">
        <f t="shared" si="10"/>
        <v/>
      </c>
      <c r="L27" s="1223" t="str">
        <f t="shared" si="11"/>
        <v/>
      </c>
      <c r="M27" s="1224" t="str">
        <f t="shared" si="12"/>
        <v/>
      </c>
      <c r="N27" s="1225" t="str">
        <f t="shared" si="12"/>
        <v/>
      </c>
      <c r="O27" s="1220" t="str">
        <f t="shared" si="13"/>
        <v/>
      </c>
      <c r="P27" s="1221" t="str">
        <f t="shared" si="14"/>
        <v/>
      </c>
      <c r="Q27" s="1217" t="str">
        <f t="shared" si="15"/>
        <v/>
      </c>
      <c r="R27" s="1218" t="str">
        <f t="shared" si="16"/>
        <v/>
      </c>
      <c r="S27" s="1226" t="str">
        <f t="shared" si="17"/>
        <v/>
      </c>
      <c r="T27" s="1221" t="str">
        <f t="shared" si="18"/>
        <v/>
      </c>
      <c r="U27" s="1217" t="str">
        <f t="shared" si="19"/>
        <v/>
      </c>
      <c r="V27" s="1221" t="str">
        <f t="shared" si="20"/>
        <v/>
      </c>
      <c r="W27" s="1225">
        <f t="shared" si="21"/>
        <v>0</v>
      </c>
      <c r="X27" s="1227" t="str">
        <f t="shared" si="22"/>
        <v/>
      </c>
      <c r="Y27" s="1228" t="str">
        <f t="shared" si="23"/>
        <v/>
      </c>
      <c r="Z27" s="1710" t="str">
        <f t="shared" si="24"/>
        <v/>
      </c>
      <c r="AA27" s="1235" t="str">
        <f t="shared" si="25"/>
        <v/>
      </c>
      <c r="AB27" s="1215" t="str">
        <f t="shared" si="26"/>
        <v/>
      </c>
      <c r="AC27" s="1222" t="str">
        <f t="shared" si="27"/>
        <v/>
      </c>
      <c r="AD27" s="1217" t="str">
        <f t="shared" ca="1" si="28"/>
        <v/>
      </c>
      <c r="AE27" s="1221" t="str">
        <f t="shared" ca="1" si="29"/>
        <v/>
      </c>
      <c r="AF27" s="1222" t="str">
        <f t="shared" ca="1" si="30"/>
        <v/>
      </c>
      <c r="AG27" s="1217" t="str">
        <f t="shared" ca="1" si="31"/>
        <v/>
      </c>
      <c r="AH27" s="1221" t="str">
        <f t="shared" ca="1" si="32"/>
        <v/>
      </c>
      <c r="AI27" s="1217" t="str">
        <f t="shared" ca="1" si="33"/>
        <v/>
      </c>
      <c r="AJ27" s="1221" t="str">
        <f t="shared" ca="1" si="34"/>
        <v/>
      </c>
      <c r="AK27" s="1742" t="str">
        <f t="shared" si="35"/>
        <v/>
      </c>
      <c r="AL27" s="1743" t="str">
        <f t="shared" si="36"/>
        <v/>
      </c>
      <c r="AM27" s="1744" t="str">
        <f t="shared" si="35"/>
        <v/>
      </c>
      <c r="AN27" s="1222" t="str">
        <f t="shared" si="35"/>
        <v/>
      </c>
      <c r="AO27" s="1225" t="str">
        <f t="shared" si="35"/>
        <v/>
      </c>
      <c r="AP27" s="1224" t="str">
        <f t="shared" si="37"/>
        <v/>
      </c>
      <c r="AQ27" s="1746" t="str">
        <f t="shared" si="38"/>
        <v/>
      </c>
      <c r="AR27" s="1220" t="str">
        <f t="shared" si="39"/>
        <v/>
      </c>
      <c r="AS27" s="1221" t="str">
        <f t="shared" si="40"/>
        <v/>
      </c>
      <c r="AT27" s="1747" t="str">
        <f t="shared" si="41"/>
        <v/>
      </c>
      <c r="AU27" s="1748" t="str">
        <f t="shared" si="42"/>
        <v/>
      </c>
      <c r="AV27" s="1226" t="str">
        <f t="shared" si="43"/>
        <v/>
      </c>
      <c r="AW27" s="1221" t="str">
        <f t="shared" si="44"/>
        <v/>
      </c>
      <c r="AX27" s="1747" t="str">
        <f t="shared" si="45"/>
        <v/>
      </c>
      <c r="AY27" s="1748" t="str">
        <f t="shared" si="46"/>
        <v/>
      </c>
      <c r="AZ27" s="1226" t="str">
        <f t="shared" si="47"/>
        <v/>
      </c>
      <c r="BA27" s="1221" t="str">
        <f t="shared" si="48"/>
        <v/>
      </c>
      <c r="BB27" s="1747" t="str">
        <f t="shared" si="49"/>
        <v/>
      </c>
      <c r="BC27" s="1748" t="str">
        <f t="shared" si="50"/>
        <v/>
      </c>
      <c r="BD27" s="1226" t="str">
        <f t="shared" si="51"/>
        <v/>
      </c>
      <c r="BE27" s="1221" t="str">
        <f t="shared" si="52"/>
        <v/>
      </c>
      <c r="BF27" s="1747" t="str">
        <f t="shared" si="53"/>
        <v/>
      </c>
      <c r="BG27" s="1748" t="str">
        <f t="shared" si="54"/>
        <v/>
      </c>
      <c r="BH27" s="1417"/>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3">
        <f t="shared" si="62"/>
        <v>6</v>
      </c>
      <c r="BT27" s="990" t="str">
        <f t="shared" si="63"/>
        <v>No</v>
      </c>
      <c r="BU27" s="1303">
        <f t="shared" si="64"/>
        <v>6</v>
      </c>
      <c r="BV27" s="990" t="str">
        <f t="shared" si="65"/>
        <v>No</v>
      </c>
      <c r="BW27" s="991">
        <f t="shared" ca="1" si="66"/>
        <v>0</v>
      </c>
      <c r="BX27" s="991" t="str">
        <f t="shared" ca="1" si="67"/>
        <v/>
      </c>
      <c r="BY27" s="991" t="b">
        <f t="shared" ca="1" si="68"/>
        <v>0</v>
      </c>
      <c r="BZ27" s="991" t="b">
        <f t="shared" si="90"/>
        <v>0</v>
      </c>
      <c r="CB27" s="672"/>
      <c r="CC27" s="1685"/>
      <c r="CD27" s="699"/>
      <c r="CE27" s="700"/>
      <c r="CF27" s="701"/>
      <c r="CG27" s="672"/>
      <c r="CH27" s="713"/>
      <c r="CI27" s="714"/>
      <c r="CJ27" s="713"/>
      <c r="CK27" s="714"/>
      <c r="CL27" s="715"/>
      <c r="CM27" s="743"/>
      <c r="CN27" s="738"/>
      <c r="CO27" s="1552"/>
      <c r="CP27" s="910"/>
      <c r="CQ27" s="672"/>
      <c r="CR27" s="713"/>
      <c r="CS27" s="714"/>
      <c r="CT27" s="713"/>
      <c r="CU27" s="714"/>
      <c r="CV27" s="715"/>
      <c r="CW27" s="743"/>
      <c r="CX27" s="738"/>
      <c r="CY27" s="1552"/>
      <c r="CZ27" s="910"/>
      <c r="DA27" s="717"/>
      <c r="DB27" s="702"/>
      <c r="DC27" s="703"/>
      <c r="DD27" s="725"/>
      <c r="DE27" s="726"/>
      <c r="DF27" s="141"/>
      <c r="DG27" s="141"/>
      <c r="DH27" s="672"/>
      <c r="DI27" s="673"/>
      <c r="DJ27" s="692"/>
      <c r="DK27" s="1332"/>
      <c r="DL27" s="674"/>
      <c r="DM27" s="693"/>
      <c r="DN27" s="1335"/>
      <c r="DO27" s="675"/>
      <c r="DP27" s="676"/>
      <c r="DQ27" s="1420"/>
      <c r="DR27" s="677"/>
      <c r="DS27" s="1420"/>
      <c r="DT27" s="1422"/>
      <c r="DU27" s="1423"/>
      <c r="DV27" s="678"/>
      <c r="DW27" s="1337"/>
      <c r="DX27" s="679"/>
      <c r="DY27" s="674"/>
      <c r="DZ27" s="678"/>
      <c r="EA27" s="1337"/>
      <c r="EB27" s="679"/>
      <c r="EC27" s="674"/>
      <c r="ED27" s="678"/>
      <c r="EE27" s="1337"/>
      <c r="EF27" s="679"/>
      <c r="EG27" s="674"/>
      <c r="EH27" s="678"/>
      <c r="EI27" s="1337"/>
      <c r="EJ27" s="679"/>
      <c r="EK27" s="680"/>
      <c r="EL27" s="241"/>
      <c r="EM27" s="1632" t="str">
        <f t="shared" si="69"/>
        <v/>
      </c>
      <c r="EN27" s="1429" t="str">
        <f t="shared" si="70"/>
        <v/>
      </c>
      <c r="EO27" s="1430" t="str">
        <f t="shared" si="71"/>
        <v/>
      </c>
      <c r="EP27" s="1431" t="str">
        <f t="shared" si="72"/>
        <v/>
      </c>
      <c r="EQ27" s="1435" t="str">
        <f t="shared" si="73"/>
        <v/>
      </c>
      <c r="ER27" s="1441" t="str">
        <f t="shared" si="74"/>
        <v/>
      </c>
      <c r="ES27" s="1442" t="str">
        <f t="shared" si="75"/>
        <v/>
      </c>
      <c r="ET27" s="1443" t="str">
        <f t="shared" si="76"/>
        <v/>
      </c>
      <c r="EU27" s="1444"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581" t="str">
        <f t="shared" si="82"/>
        <v/>
      </c>
      <c r="GB27" s="623" t="str">
        <f t="shared" si="83"/>
        <v/>
      </c>
      <c r="GC27" s="625" t="str">
        <f t="shared" si="84"/>
        <v/>
      </c>
      <c r="GD27" s="626" t="str">
        <f t="shared" si="85"/>
        <v/>
      </c>
      <c r="GE27" s="624" t="str">
        <f t="shared" si="86"/>
        <v/>
      </c>
      <c r="GF27" s="582" t="str">
        <f t="shared" si="87"/>
        <v/>
      </c>
      <c r="GG27" s="692"/>
      <c r="GH27" s="1136"/>
      <c r="GI27" s="692"/>
      <c r="GJ27" s="1136"/>
      <c r="GK27" s="1641">
        <f t="shared" si="88"/>
        <v>0</v>
      </c>
      <c r="GL27" s="1641" t="e">
        <f t="shared" si="89"/>
        <v>#VALUE!</v>
      </c>
      <c r="GM27" s="1642" t="e">
        <f>IF(ABS(GK27-GL27)&gt;='Job Info.'!$L$22,ABS(GK27-GL27),0)</f>
        <v>#VALUE!</v>
      </c>
      <c r="GZ27" s="145"/>
      <c r="HA27" s="1242"/>
      <c r="HB27" s="1243"/>
      <c r="HC27" s="1243"/>
      <c r="HD27" s="1244"/>
      <c r="HE27" s="1245"/>
      <c r="HF27" s="1243"/>
      <c r="HG27" s="1243"/>
      <c r="HH27" s="1243"/>
      <c r="HI27" s="1243"/>
      <c r="HJ27" s="1243"/>
      <c r="HK27" s="1243"/>
      <c r="HL27" s="1243"/>
      <c r="HM27" s="1243"/>
      <c r="HN27" s="1243"/>
      <c r="HO27" s="1243"/>
      <c r="HP27" s="1243"/>
      <c r="HQ27" s="1243"/>
      <c r="HR27" s="1243"/>
      <c r="HS27" s="1243"/>
      <c r="HT27" s="1243"/>
      <c r="HU27" s="1243"/>
      <c r="HV27" s="1243"/>
      <c r="HW27" s="1243"/>
      <c r="HX27" s="1243"/>
      <c r="HY27" s="1247"/>
      <c r="HZ27" s="1247"/>
      <c r="IA27" s="1247"/>
      <c r="IB27" s="1247"/>
      <c r="IC27" s="1247"/>
      <c r="ID27" s="1262"/>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99"/>
        <v>0</v>
      </c>
    </row>
    <row r="28" spans="1:272" ht="12.6" customHeight="1" x14ac:dyDescent="0.3">
      <c r="A28" s="1215" t="str">
        <f t="shared" si="0"/>
        <v/>
      </c>
      <c r="B28" s="1709" t="str">
        <f t="shared" si="1"/>
        <v/>
      </c>
      <c r="C28" s="1216" t="str">
        <f t="shared" si="2"/>
        <v/>
      </c>
      <c r="D28" s="1217" t="str">
        <f t="shared" si="3"/>
        <v/>
      </c>
      <c r="E28" s="1218" t="str">
        <f t="shared" si="4"/>
        <v/>
      </c>
      <c r="F28" s="1219" t="str">
        <f t="shared" si="5"/>
        <v/>
      </c>
      <c r="G28" s="1220" t="str">
        <f t="shared" si="6"/>
        <v/>
      </c>
      <c r="H28" s="1221" t="str">
        <f t="shared" si="7"/>
        <v/>
      </c>
      <c r="I28" s="1222" t="str">
        <f t="shared" si="8"/>
        <v/>
      </c>
      <c r="J28" s="1217" t="str">
        <f t="shared" si="9"/>
        <v/>
      </c>
      <c r="K28" s="1221" t="str">
        <f t="shared" si="10"/>
        <v/>
      </c>
      <c r="L28" s="1223" t="str">
        <f t="shared" si="11"/>
        <v/>
      </c>
      <c r="M28" s="1224" t="str">
        <f t="shared" si="12"/>
        <v/>
      </c>
      <c r="N28" s="1225" t="str">
        <f t="shared" si="12"/>
        <v/>
      </c>
      <c r="O28" s="1220" t="str">
        <f t="shared" si="13"/>
        <v/>
      </c>
      <c r="P28" s="1221" t="str">
        <f t="shared" si="14"/>
        <v/>
      </c>
      <c r="Q28" s="1217" t="str">
        <f t="shared" si="15"/>
        <v/>
      </c>
      <c r="R28" s="1218" t="str">
        <f t="shared" si="16"/>
        <v/>
      </c>
      <c r="S28" s="1226" t="str">
        <f t="shared" si="17"/>
        <v/>
      </c>
      <c r="T28" s="1221" t="str">
        <f t="shared" si="18"/>
        <v/>
      </c>
      <c r="U28" s="1217" t="str">
        <f t="shared" si="19"/>
        <v/>
      </c>
      <c r="V28" s="1221" t="str">
        <f t="shared" si="20"/>
        <v/>
      </c>
      <c r="W28" s="1225">
        <f t="shared" si="21"/>
        <v>0</v>
      </c>
      <c r="X28" s="1227" t="str">
        <f t="shared" si="22"/>
        <v/>
      </c>
      <c r="Y28" s="1228" t="str">
        <f t="shared" si="23"/>
        <v/>
      </c>
      <c r="Z28" s="1710" t="str">
        <f t="shared" si="24"/>
        <v/>
      </c>
      <c r="AA28" s="1235" t="str">
        <f t="shared" si="25"/>
        <v/>
      </c>
      <c r="AB28" s="1215" t="str">
        <f t="shared" si="26"/>
        <v/>
      </c>
      <c r="AC28" s="1222" t="str">
        <f t="shared" si="27"/>
        <v/>
      </c>
      <c r="AD28" s="1217" t="str">
        <f t="shared" ca="1" si="28"/>
        <v/>
      </c>
      <c r="AE28" s="1221" t="str">
        <f t="shared" ca="1" si="29"/>
        <v/>
      </c>
      <c r="AF28" s="1222" t="str">
        <f t="shared" ca="1" si="30"/>
        <v/>
      </c>
      <c r="AG28" s="1217" t="str">
        <f t="shared" ca="1" si="31"/>
        <v/>
      </c>
      <c r="AH28" s="1221" t="str">
        <f t="shared" ca="1" si="32"/>
        <v/>
      </c>
      <c r="AI28" s="1217" t="str">
        <f t="shared" ca="1" si="33"/>
        <v/>
      </c>
      <c r="AJ28" s="1221" t="str">
        <f t="shared" ca="1" si="34"/>
        <v/>
      </c>
      <c r="AK28" s="1742" t="str">
        <f t="shared" si="35"/>
        <v/>
      </c>
      <c r="AL28" s="1743" t="str">
        <f t="shared" si="36"/>
        <v/>
      </c>
      <c r="AM28" s="1744" t="str">
        <f t="shared" si="35"/>
        <v/>
      </c>
      <c r="AN28" s="1222" t="str">
        <f t="shared" si="35"/>
        <v/>
      </c>
      <c r="AO28" s="1225" t="str">
        <f t="shared" si="35"/>
        <v/>
      </c>
      <c r="AP28" s="1224" t="str">
        <f t="shared" si="37"/>
        <v/>
      </c>
      <c r="AQ28" s="1746" t="str">
        <f t="shared" si="38"/>
        <v/>
      </c>
      <c r="AR28" s="1220" t="str">
        <f t="shared" si="39"/>
        <v/>
      </c>
      <c r="AS28" s="1221" t="str">
        <f t="shared" si="40"/>
        <v/>
      </c>
      <c r="AT28" s="1747" t="str">
        <f t="shared" si="41"/>
        <v/>
      </c>
      <c r="AU28" s="1748" t="str">
        <f t="shared" si="42"/>
        <v/>
      </c>
      <c r="AV28" s="1226" t="str">
        <f t="shared" si="43"/>
        <v/>
      </c>
      <c r="AW28" s="1221" t="str">
        <f t="shared" si="44"/>
        <v/>
      </c>
      <c r="AX28" s="1747" t="str">
        <f t="shared" si="45"/>
        <v/>
      </c>
      <c r="AY28" s="1748" t="str">
        <f t="shared" si="46"/>
        <v/>
      </c>
      <c r="AZ28" s="1226" t="str">
        <f t="shared" si="47"/>
        <v/>
      </c>
      <c r="BA28" s="1221" t="str">
        <f t="shared" si="48"/>
        <v/>
      </c>
      <c r="BB28" s="1747" t="str">
        <f t="shared" si="49"/>
        <v/>
      </c>
      <c r="BC28" s="1748" t="str">
        <f t="shared" si="50"/>
        <v/>
      </c>
      <c r="BD28" s="1226" t="str">
        <f t="shared" si="51"/>
        <v/>
      </c>
      <c r="BE28" s="1221" t="str">
        <f t="shared" si="52"/>
        <v/>
      </c>
      <c r="BF28" s="1747" t="str">
        <f t="shared" si="53"/>
        <v/>
      </c>
      <c r="BG28" s="1748" t="str">
        <f t="shared" si="54"/>
        <v/>
      </c>
      <c r="BH28" s="1417"/>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3">
        <f t="shared" si="62"/>
        <v>6</v>
      </c>
      <c r="BT28" s="990" t="str">
        <f t="shared" si="63"/>
        <v>No</v>
      </c>
      <c r="BU28" s="1303">
        <f t="shared" si="64"/>
        <v>6</v>
      </c>
      <c r="BV28" s="990" t="str">
        <f t="shared" si="65"/>
        <v>No</v>
      </c>
      <c r="BW28" s="991">
        <f t="shared" ca="1" si="66"/>
        <v>0</v>
      </c>
      <c r="BX28" s="991" t="str">
        <f t="shared" ca="1" si="67"/>
        <v/>
      </c>
      <c r="BY28" s="991" t="b">
        <f t="shared" ca="1" si="68"/>
        <v>0</v>
      </c>
      <c r="BZ28" s="991" t="b">
        <f t="shared" si="90"/>
        <v>0</v>
      </c>
      <c r="CB28" s="672"/>
      <c r="CC28" s="1685"/>
      <c r="CD28" s="699"/>
      <c r="CE28" s="700"/>
      <c r="CF28" s="701"/>
      <c r="CG28" s="672"/>
      <c r="CH28" s="713"/>
      <c r="CI28" s="714"/>
      <c r="CJ28" s="713"/>
      <c r="CK28" s="714"/>
      <c r="CL28" s="715"/>
      <c r="CM28" s="743"/>
      <c r="CN28" s="738"/>
      <c r="CO28" s="1552"/>
      <c r="CP28" s="910"/>
      <c r="CQ28" s="672"/>
      <c r="CR28" s="713"/>
      <c r="CS28" s="714"/>
      <c r="CT28" s="713"/>
      <c r="CU28" s="714"/>
      <c r="CV28" s="715"/>
      <c r="CW28" s="743"/>
      <c r="CX28" s="738"/>
      <c r="CY28" s="1552"/>
      <c r="CZ28" s="910"/>
      <c r="DA28" s="717"/>
      <c r="DB28" s="702"/>
      <c r="DC28" s="703"/>
      <c r="DD28" s="725"/>
      <c r="DE28" s="726"/>
      <c r="DF28" s="141"/>
      <c r="DG28" s="141"/>
      <c r="DH28" s="672"/>
      <c r="DI28" s="673"/>
      <c r="DJ28" s="692"/>
      <c r="DK28" s="1332"/>
      <c r="DL28" s="674"/>
      <c r="DM28" s="693"/>
      <c r="DN28" s="1335"/>
      <c r="DO28" s="675"/>
      <c r="DP28" s="676"/>
      <c r="DQ28" s="1420"/>
      <c r="DR28" s="677"/>
      <c r="DS28" s="1420"/>
      <c r="DT28" s="1422"/>
      <c r="DU28" s="1423"/>
      <c r="DV28" s="678"/>
      <c r="DW28" s="1337"/>
      <c r="DX28" s="679"/>
      <c r="DY28" s="674"/>
      <c r="DZ28" s="678"/>
      <c r="EA28" s="1337"/>
      <c r="EB28" s="679"/>
      <c r="EC28" s="674"/>
      <c r="ED28" s="678"/>
      <c r="EE28" s="1337"/>
      <c r="EF28" s="679"/>
      <c r="EG28" s="674"/>
      <c r="EH28" s="678"/>
      <c r="EI28" s="1337"/>
      <c r="EJ28" s="679"/>
      <c r="EK28" s="680"/>
      <c r="EL28" s="241"/>
      <c r="EM28" s="1632" t="str">
        <f t="shared" si="69"/>
        <v/>
      </c>
      <c r="EN28" s="1429" t="str">
        <f t="shared" si="70"/>
        <v/>
      </c>
      <c r="EO28" s="1430" t="str">
        <f t="shared" si="71"/>
        <v/>
      </c>
      <c r="EP28" s="1431" t="str">
        <f t="shared" si="72"/>
        <v/>
      </c>
      <c r="EQ28" s="1435" t="str">
        <f t="shared" si="73"/>
        <v/>
      </c>
      <c r="ER28" s="1441" t="str">
        <f t="shared" si="74"/>
        <v/>
      </c>
      <c r="ES28" s="1442" t="str">
        <f t="shared" si="75"/>
        <v/>
      </c>
      <c r="ET28" s="1443" t="str">
        <f t="shared" si="76"/>
        <v/>
      </c>
      <c r="EU28" s="1444"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581" t="str">
        <f t="shared" si="82"/>
        <v/>
      </c>
      <c r="GB28" s="623" t="str">
        <f t="shared" si="83"/>
        <v/>
      </c>
      <c r="GC28" s="625" t="str">
        <f t="shared" si="84"/>
        <v/>
      </c>
      <c r="GD28" s="626" t="str">
        <f t="shared" si="85"/>
        <v/>
      </c>
      <c r="GE28" s="624" t="str">
        <f t="shared" si="86"/>
        <v/>
      </c>
      <c r="GF28" s="582" t="str">
        <f t="shared" si="87"/>
        <v/>
      </c>
      <c r="GG28" s="692"/>
      <c r="GH28" s="1136"/>
      <c r="GI28" s="692"/>
      <c r="GJ28" s="1136"/>
      <c r="GK28" s="1641">
        <f t="shared" si="88"/>
        <v>0</v>
      </c>
      <c r="GL28" s="1641" t="e">
        <f t="shared" si="89"/>
        <v>#VALUE!</v>
      </c>
      <c r="GM28" s="1642" t="e">
        <f>IF(ABS(GK28-GL28)&gt;='Job Info.'!$L$22,ABS(GK28-GL28),0)</f>
        <v>#VALUE!</v>
      </c>
      <c r="GZ28" s="144"/>
      <c r="HA28" s="1242"/>
      <c r="HB28" s="1243"/>
      <c r="HC28" s="1243"/>
      <c r="HD28" s="1244"/>
      <c r="HE28" s="1245"/>
      <c r="HF28" s="1243"/>
      <c r="HG28" s="1243"/>
      <c r="HH28" s="1243"/>
      <c r="HI28" s="1243"/>
      <c r="HJ28" s="1243"/>
      <c r="HK28" s="1243"/>
      <c r="HL28" s="1243"/>
      <c r="HM28" s="1243"/>
      <c r="HN28" s="1243"/>
      <c r="HO28" s="1243"/>
      <c r="HP28" s="1243"/>
      <c r="HQ28" s="1243"/>
      <c r="HR28" s="1243"/>
      <c r="HS28" s="1243"/>
      <c r="HT28" s="1243"/>
      <c r="HU28" s="1243"/>
      <c r="HV28" s="1243"/>
      <c r="HW28" s="1243"/>
      <c r="HX28" s="1243"/>
      <c r="HY28" s="1247"/>
      <c r="HZ28" s="1247"/>
      <c r="IA28" s="1247"/>
      <c r="IB28" s="1247"/>
      <c r="IC28" s="1247"/>
      <c r="ID28" s="1262"/>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99"/>
        <v>0</v>
      </c>
    </row>
    <row r="29" spans="1:272" ht="12.6" customHeight="1" x14ac:dyDescent="0.25">
      <c r="A29" s="1215" t="str">
        <f t="shared" si="0"/>
        <v/>
      </c>
      <c r="B29" s="1709" t="str">
        <f t="shared" si="1"/>
        <v/>
      </c>
      <c r="C29" s="1216" t="str">
        <f t="shared" si="2"/>
        <v/>
      </c>
      <c r="D29" s="1217" t="str">
        <f t="shared" si="3"/>
        <v/>
      </c>
      <c r="E29" s="1218" t="str">
        <f t="shared" si="4"/>
        <v/>
      </c>
      <c r="F29" s="1219" t="str">
        <f t="shared" si="5"/>
        <v/>
      </c>
      <c r="G29" s="1220" t="str">
        <f t="shared" si="6"/>
        <v/>
      </c>
      <c r="H29" s="1221" t="str">
        <f t="shared" si="7"/>
        <v/>
      </c>
      <c r="I29" s="1222" t="str">
        <f t="shared" si="8"/>
        <v/>
      </c>
      <c r="J29" s="1217" t="str">
        <f t="shared" si="9"/>
        <v/>
      </c>
      <c r="K29" s="1221" t="str">
        <f t="shared" si="10"/>
        <v/>
      </c>
      <c r="L29" s="1223" t="str">
        <f t="shared" si="11"/>
        <v/>
      </c>
      <c r="M29" s="1224" t="str">
        <f t="shared" si="12"/>
        <v/>
      </c>
      <c r="N29" s="1225" t="str">
        <f t="shared" si="12"/>
        <v/>
      </c>
      <c r="O29" s="1220" t="str">
        <f t="shared" si="13"/>
        <v/>
      </c>
      <c r="P29" s="1221" t="str">
        <f t="shared" si="14"/>
        <v/>
      </c>
      <c r="Q29" s="1217" t="str">
        <f t="shared" si="15"/>
        <v/>
      </c>
      <c r="R29" s="1218" t="str">
        <f t="shared" si="16"/>
        <v/>
      </c>
      <c r="S29" s="1226" t="str">
        <f t="shared" si="17"/>
        <v/>
      </c>
      <c r="T29" s="1221" t="str">
        <f t="shared" si="18"/>
        <v/>
      </c>
      <c r="U29" s="1217" t="str">
        <f t="shared" si="19"/>
        <v/>
      </c>
      <c r="V29" s="1221" t="str">
        <f t="shared" si="20"/>
        <v/>
      </c>
      <c r="W29" s="1225">
        <f t="shared" si="21"/>
        <v>0</v>
      </c>
      <c r="X29" s="1227" t="str">
        <f t="shared" si="22"/>
        <v/>
      </c>
      <c r="Y29" s="1228" t="str">
        <f t="shared" si="23"/>
        <v/>
      </c>
      <c r="Z29" s="1710" t="str">
        <f t="shared" si="24"/>
        <v/>
      </c>
      <c r="AA29" s="1235" t="str">
        <f t="shared" si="25"/>
        <v/>
      </c>
      <c r="AB29" s="1215" t="str">
        <f t="shared" si="26"/>
        <v/>
      </c>
      <c r="AC29" s="1222" t="str">
        <f t="shared" si="27"/>
        <v/>
      </c>
      <c r="AD29" s="1217" t="str">
        <f t="shared" ca="1" si="28"/>
        <v/>
      </c>
      <c r="AE29" s="1221" t="str">
        <f t="shared" ca="1" si="29"/>
        <v/>
      </c>
      <c r="AF29" s="1222" t="str">
        <f t="shared" ca="1" si="30"/>
        <v/>
      </c>
      <c r="AG29" s="1217" t="str">
        <f t="shared" ca="1" si="31"/>
        <v/>
      </c>
      <c r="AH29" s="1221" t="str">
        <f t="shared" ca="1" si="32"/>
        <v/>
      </c>
      <c r="AI29" s="1217" t="str">
        <f t="shared" ca="1" si="33"/>
        <v/>
      </c>
      <c r="AJ29" s="1221" t="str">
        <f t="shared" ca="1" si="34"/>
        <v/>
      </c>
      <c r="AK29" s="1742" t="str">
        <f t="shared" si="35"/>
        <v/>
      </c>
      <c r="AL29" s="1743" t="str">
        <f t="shared" si="36"/>
        <v/>
      </c>
      <c r="AM29" s="1744" t="str">
        <f t="shared" si="35"/>
        <v/>
      </c>
      <c r="AN29" s="1222" t="str">
        <f t="shared" si="35"/>
        <v/>
      </c>
      <c r="AO29" s="1225" t="str">
        <f t="shared" si="35"/>
        <v/>
      </c>
      <c r="AP29" s="1224" t="str">
        <f t="shared" si="37"/>
        <v/>
      </c>
      <c r="AQ29" s="1746" t="str">
        <f t="shared" si="38"/>
        <v/>
      </c>
      <c r="AR29" s="1220" t="str">
        <f t="shared" si="39"/>
        <v/>
      </c>
      <c r="AS29" s="1221" t="str">
        <f t="shared" si="40"/>
        <v/>
      </c>
      <c r="AT29" s="1747" t="str">
        <f t="shared" si="41"/>
        <v/>
      </c>
      <c r="AU29" s="1748" t="str">
        <f t="shared" si="42"/>
        <v/>
      </c>
      <c r="AV29" s="1226" t="str">
        <f t="shared" si="43"/>
        <v/>
      </c>
      <c r="AW29" s="1221" t="str">
        <f t="shared" si="44"/>
        <v/>
      </c>
      <c r="AX29" s="1747" t="str">
        <f t="shared" si="45"/>
        <v/>
      </c>
      <c r="AY29" s="1748" t="str">
        <f t="shared" si="46"/>
        <v/>
      </c>
      <c r="AZ29" s="1226" t="str">
        <f t="shared" si="47"/>
        <v/>
      </c>
      <c r="BA29" s="1221" t="str">
        <f t="shared" si="48"/>
        <v/>
      </c>
      <c r="BB29" s="1747" t="str">
        <f t="shared" si="49"/>
        <v/>
      </c>
      <c r="BC29" s="1748" t="str">
        <f t="shared" si="50"/>
        <v/>
      </c>
      <c r="BD29" s="1226" t="str">
        <f t="shared" si="51"/>
        <v/>
      </c>
      <c r="BE29" s="1221" t="str">
        <f t="shared" si="52"/>
        <v/>
      </c>
      <c r="BF29" s="1747" t="str">
        <f t="shared" si="53"/>
        <v/>
      </c>
      <c r="BG29" s="1748" t="str">
        <f t="shared" si="54"/>
        <v/>
      </c>
      <c r="BH29" s="1417"/>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3">
        <f t="shared" si="62"/>
        <v>6</v>
      </c>
      <c r="BT29" s="990" t="str">
        <f t="shared" si="63"/>
        <v>No</v>
      </c>
      <c r="BU29" s="1303">
        <f t="shared" si="64"/>
        <v>6</v>
      </c>
      <c r="BV29" s="990" t="str">
        <f t="shared" si="65"/>
        <v>No</v>
      </c>
      <c r="BW29" s="991">
        <f t="shared" ca="1" si="66"/>
        <v>0</v>
      </c>
      <c r="BX29" s="991" t="str">
        <f t="shared" ca="1" si="67"/>
        <v/>
      </c>
      <c r="BY29" s="991" t="b">
        <f t="shared" ca="1" si="68"/>
        <v>0</v>
      </c>
      <c r="BZ29" s="991" t="b">
        <f t="shared" si="90"/>
        <v>0</v>
      </c>
      <c r="CB29" s="672"/>
      <c r="CC29" s="1685"/>
      <c r="CD29" s="699"/>
      <c r="CE29" s="700"/>
      <c r="CF29" s="701"/>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725"/>
      <c r="DE29" s="726"/>
      <c r="DF29" s="141"/>
      <c r="DG29" s="141"/>
      <c r="DH29" s="672"/>
      <c r="DI29" s="673"/>
      <c r="DJ29" s="692"/>
      <c r="DK29" s="1332"/>
      <c r="DL29" s="674"/>
      <c r="DM29" s="693"/>
      <c r="DN29" s="1335"/>
      <c r="DO29" s="675"/>
      <c r="DP29" s="676"/>
      <c r="DQ29" s="1420"/>
      <c r="DR29" s="677"/>
      <c r="DS29" s="1420"/>
      <c r="DT29" s="1422"/>
      <c r="DU29" s="1423"/>
      <c r="DV29" s="678"/>
      <c r="DW29" s="1337"/>
      <c r="DX29" s="679"/>
      <c r="DY29" s="674"/>
      <c r="DZ29" s="678"/>
      <c r="EA29" s="1337"/>
      <c r="EB29" s="679"/>
      <c r="EC29" s="674"/>
      <c r="ED29" s="678"/>
      <c r="EE29" s="1337"/>
      <c r="EF29" s="679"/>
      <c r="EG29" s="674"/>
      <c r="EH29" s="678"/>
      <c r="EI29" s="1337"/>
      <c r="EJ29" s="679"/>
      <c r="EK29" s="680"/>
      <c r="EL29" s="241"/>
      <c r="EM29" s="1632" t="str">
        <f t="shared" si="69"/>
        <v/>
      </c>
      <c r="EN29" s="1429" t="str">
        <f t="shared" si="70"/>
        <v/>
      </c>
      <c r="EO29" s="1430" t="str">
        <f t="shared" si="71"/>
        <v/>
      </c>
      <c r="EP29" s="1431" t="str">
        <f t="shared" si="72"/>
        <v/>
      </c>
      <c r="EQ29" s="1435" t="str">
        <f t="shared" si="73"/>
        <v/>
      </c>
      <c r="ER29" s="1441" t="str">
        <f t="shared" si="74"/>
        <v/>
      </c>
      <c r="ES29" s="1442" t="str">
        <f t="shared" si="75"/>
        <v/>
      </c>
      <c r="ET29" s="1443" t="str">
        <f t="shared" si="76"/>
        <v/>
      </c>
      <c r="EU29" s="1444"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581" t="str">
        <f t="shared" si="82"/>
        <v/>
      </c>
      <c r="GB29" s="623" t="str">
        <f t="shared" si="83"/>
        <v/>
      </c>
      <c r="GC29" s="625" t="str">
        <f t="shared" si="84"/>
        <v/>
      </c>
      <c r="GD29" s="626" t="str">
        <f t="shared" si="85"/>
        <v/>
      </c>
      <c r="GE29" s="624" t="str">
        <f t="shared" si="86"/>
        <v/>
      </c>
      <c r="GF29" s="582" t="str">
        <f t="shared" si="87"/>
        <v/>
      </c>
      <c r="GG29" s="692"/>
      <c r="GH29" s="1136"/>
      <c r="GI29" s="692"/>
      <c r="GJ29" s="1136"/>
      <c r="GK29" s="1641">
        <f t="shared" si="88"/>
        <v>0</v>
      </c>
      <c r="GL29" s="1641" t="e">
        <f t="shared" si="89"/>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62"/>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99"/>
        <v>0</v>
      </c>
    </row>
    <row r="30" spans="1:272" s="145" customFormat="1" ht="12.6" customHeight="1" x14ac:dyDescent="0.25">
      <c r="A30" s="1215" t="str">
        <f t="shared" si="0"/>
        <v/>
      </c>
      <c r="B30" s="1709" t="str">
        <f t="shared" si="1"/>
        <v/>
      </c>
      <c r="C30" s="1216" t="str">
        <f t="shared" si="2"/>
        <v/>
      </c>
      <c r="D30" s="1217" t="str">
        <f t="shared" si="3"/>
        <v/>
      </c>
      <c r="E30" s="1218" t="str">
        <f t="shared" si="4"/>
        <v/>
      </c>
      <c r="F30" s="1219" t="str">
        <f t="shared" si="5"/>
        <v/>
      </c>
      <c r="G30" s="1220" t="str">
        <f t="shared" si="6"/>
        <v/>
      </c>
      <c r="H30" s="1221" t="str">
        <f t="shared" si="7"/>
        <v/>
      </c>
      <c r="I30" s="1222" t="str">
        <f t="shared" si="8"/>
        <v/>
      </c>
      <c r="J30" s="1217" t="str">
        <f t="shared" si="9"/>
        <v/>
      </c>
      <c r="K30" s="1221" t="str">
        <f t="shared" si="10"/>
        <v/>
      </c>
      <c r="L30" s="1223" t="str">
        <f t="shared" si="11"/>
        <v/>
      </c>
      <c r="M30" s="1224" t="str">
        <f t="shared" si="12"/>
        <v/>
      </c>
      <c r="N30" s="1225" t="str">
        <f t="shared" si="12"/>
        <v/>
      </c>
      <c r="O30" s="1220" t="str">
        <f t="shared" si="13"/>
        <v/>
      </c>
      <c r="P30" s="1221" t="str">
        <f t="shared" si="14"/>
        <v/>
      </c>
      <c r="Q30" s="1217" t="str">
        <f t="shared" si="15"/>
        <v/>
      </c>
      <c r="R30" s="1218" t="str">
        <f t="shared" si="16"/>
        <v/>
      </c>
      <c r="S30" s="1226" t="str">
        <f t="shared" si="17"/>
        <v/>
      </c>
      <c r="T30" s="1221" t="str">
        <f t="shared" si="18"/>
        <v/>
      </c>
      <c r="U30" s="1217" t="str">
        <f t="shared" si="19"/>
        <v/>
      </c>
      <c r="V30" s="1221" t="str">
        <f t="shared" si="20"/>
        <v/>
      </c>
      <c r="W30" s="1225">
        <f t="shared" si="21"/>
        <v>0</v>
      </c>
      <c r="X30" s="1227" t="str">
        <f t="shared" si="22"/>
        <v/>
      </c>
      <c r="Y30" s="1228" t="str">
        <f t="shared" si="23"/>
        <v/>
      </c>
      <c r="Z30" s="1710" t="str">
        <f t="shared" si="24"/>
        <v/>
      </c>
      <c r="AA30" s="1235" t="str">
        <f t="shared" si="25"/>
        <v/>
      </c>
      <c r="AB30" s="1215" t="str">
        <f t="shared" si="26"/>
        <v/>
      </c>
      <c r="AC30" s="1222" t="str">
        <f t="shared" si="27"/>
        <v/>
      </c>
      <c r="AD30" s="1217" t="str">
        <f t="shared" ca="1" si="28"/>
        <v/>
      </c>
      <c r="AE30" s="1221" t="str">
        <f t="shared" ca="1" si="29"/>
        <v/>
      </c>
      <c r="AF30" s="1222" t="str">
        <f t="shared" ca="1" si="30"/>
        <v/>
      </c>
      <c r="AG30" s="1217" t="str">
        <f t="shared" ca="1" si="31"/>
        <v/>
      </c>
      <c r="AH30" s="1221" t="str">
        <f t="shared" ca="1" si="32"/>
        <v/>
      </c>
      <c r="AI30" s="1217" t="str">
        <f t="shared" ca="1" si="33"/>
        <v/>
      </c>
      <c r="AJ30" s="1221" t="str">
        <f t="shared" ca="1" si="34"/>
        <v/>
      </c>
      <c r="AK30" s="1742" t="str">
        <f t="shared" si="35"/>
        <v/>
      </c>
      <c r="AL30" s="1743" t="str">
        <f t="shared" si="36"/>
        <v/>
      </c>
      <c r="AM30" s="1744" t="str">
        <f t="shared" si="35"/>
        <v/>
      </c>
      <c r="AN30" s="1222" t="str">
        <f t="shared" si="35"/>
        <v/>
      </c>
      <c r="AO30" s="1225" t="str">
        <f t="shared" si="35"/>
        <v/>
      </c>
      <c r="AP30" s="1224" t="str">
        <f t="shared" si="37"/>
        <v/>
      </c>
      <c r="AQ30" s="1746" t="str">
        <f t="shared" si="38"/>
        <v/>
      </c>
      <c r="AR30" s="1220" t="str">
        <f t="shared" si="39"/>
        <v/>
      </c>
      <c r="AS30" s="1221" t="str">
        <f t="shared" si="40"/>
        <v/>
      </c>
      <c r="AT30" s="1747" t="str">
        <f t="shared" si="41"/>
        <v/>
      </c>
      <c r="AU30" s="1748" t="str">
        <f t="shared" si="42"/>
        <v/>
      </c>
      <c r="AV30" s="1226" t="str">
        <f t="shared" si="43"/>
        <v/>
      </c>
      <c r="AW30" s="1221" t="str">
        <f t="shared" si="44"/>
        <v/>
      </c>
      <c r="AX30" s="1747" t="str">
        <f t="shared" si="45"/>
        <v/>
      </c>
      <c r="AY30" s="1748" t="str">
        <f t="shared" si="46"/>
        <v/>
      </c>
      <c r="AZ30" s="1226" t="str">
        <f t="shared" si="47"/>
        <v/>
      </c>
      <c r="BA30" s="1221" t="str">
        <f t="shared" si="48"/>
        <v/>
      </c>
      <c r="BB30" s="1747" t="str">
        <f t="shared" si="49"/>
        <v/>
      </c>
      <c r="BC30" s="1748" t="str">
        <f t="shared" si="50"/>
        <v/>
      </c>
      <c r="BD30" s="1226" t="str">
        <f t="shared" si="51"/>
        <v/>
      </c>
      <c r="BE30" s="1221" t="str">
        <f t="shared" si="52"/>
        <v/>
      </c>
      <c r="BF30" s="1747" t="str">
        <f t="shared" si="53"/>
        <v/>
      </c>
      <c r="BG30" s="1748" t="str">
        <f t="shared" si="54"/>
        <v/>
      </c>
      <c r="BH30" s="1417"/>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3">
        <f t="shared" si="62"/>
        <v>6</v>
      </c>
      <c r="BT30" s="990" t="str">
        <f t="shared" si="63"/>
        <v>No</v>
      </c>
      <c r="BU30" s="1303">
        <f t="shared" si="64"/>
        <v>6</v>
      </c>
      <c r="BV30" s="990" t="str">
        <f t="shared" si="65"/>
        <v>No</v>
      </c>
      <c r="BW30" s="991">
        <f t="shared" ca="1" si="66"/>
        <v>0</v>
      </c>
      <c r="BX30" s="991" t="str">
        <f t="shared" ca="1" si="67"/>
        <v/>
      </c>
      <c r="BY30" s="991" t="b">
        <f t="shared" ca="1" si="68"/>
        <v>0</v>
      </c>
      <c r="BZ30" s="991" t="b">
        <f t="shared" si="90"/>
        <v>0</v>
      </c>
      <c r="CB30" s="672"/>
      <c r="CC30" s="1685"/>
      <c r="CD30" s="699"/>
      <c r="CE30" s="700"/>
      <c r="CF30" s="701"/>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725"/>
      <c r="DE30" s="726"/>
      <c r="DF30" s="141"/>
      <c r="DG30" s="141"/>
      <c r="DH30" s="672"/>
      <c r="DI30" s="673"/>
      <c r="DJ30" s="692"/>
      <c r="DK30" s="1332"/>
      <c r="DL30" s="674"/>
      <c r="DM30" s="693"/>
      <c r="DN30" s="1335"/>
      <c r="DO30" s="675"/>
      <c r="DP30" s="676"/>
      <c r="DQ30" s="1420"/>
      <c r="DR30" s="677"/>
      <c r="DS30" s="1420"/>
      <c r="DT30" s="1422"/>
      <c r="DU30" s="1423"/>
      <c r="DV30" s="678"/>
      <c r="DW30" s="1337"/>
      <c r="DX30" s="679"/>
      <c r="DY30" s="674"/>
      <c r="DZ30" s="678"/>
      <c r="EA30" s="1337"/>
      <c r="EB30" s="679"/>
      <c r="EC30" s="674"/>
      <c r="ED30" s="678"/>
      <c r="EE30" s="1337"/>
      <c r="EF30" s="679"/>
      <c r="EG30" s="674"/>
      <c r="EH30" s="678"/>
      <c r="EI30" s="1337"/>
      <c r="EJ30" s="679"/>
      <c r="EK30" s="680"/>
      <c r="EL30" s="241"/>
      <c r="EM30" s="1632" t="str">
        <f t="shared" si="69"/>
        <v/>
      </c>
      <c r="EN30" s="1429" t="str">
        <f t="shared" si="70"/>
        <v/>
      </c>
      <c r="EO30" s="1430" t="str">
        <f t="shared" si="71"/>
        <v/>
      </c>
      <c r="EP30" s="1431" t="str">
        <f t="shared" si="72"/>
        <v/>
      </c>
      <c r="EQ30" s="1435" t="str">
        <f t="shared" si="73"/>
        <v/>
      </c>
      <c r="ER30" s="1441" t="str">
        <f t="shared" si="74"/>
        <v/>
      </c>
      <c r="ES30" s="1442" t="str">
        <f t="shared" si="75"/>
        <v/>
      </c>
      <c r="ET30" s="1443" t="str">
        <f t="shared" si="76"/>
        <v/>
      </c>
      <c r="EU30" s="1444"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581" t="str">
        <f t="shared" si="82"/>
        <v/>
      </c>
      <c r="GB30" s="623" t="str">
        <f t="shared" si="83"/>
        <v/>
      </c>
      <c r="GC30" s="625" t="str">
        <f t="shared" si="84"/>
        <v/>
      </c>
      <c r="GD30" s="626" t="str">
        <f t="shared" si="85"/>
        <v/>
      </c>
      <c r="GE30" s="624" t="str">
        <f t="shared" si="86"/>
        <v/>
      </c>
      <c r="GF30" s="582" t="str">
        <f t="shared" si="87"/>
        <v/>
      </c>
      <c r="GG30" s="692"/>
      <c r="GH30" s="1136"/>
      <c r="GI30" s="692"/>
      <c r="GJ30" s="1136"/>
      <c r="GK30" s="1641">
        <f t="shared" si="88"/>
        <v>0</v>
      </c>
      <c r="GL30" s="1641" t="e">
        <f t="shared" si="89"/>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7"/>
      <c r="HZ30" s="1247"/>
      <c r="IA30" s="1247"/>
      <c r="IB30" s="1247"/>
      <c r="IC30" s="1247"/>
      <c r="ID30" s="1262"/>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99"/>
        <v>0</v>
      </c>
    </row>
    <row r="31" spans="1:272" s="145" customFormat="1" ht="12.6" customHeight="1" x14ac:dyDescent="0.25">
      <c r="A31" s="1215" t="str">
        <f t="shared" si="0"/>
        <v/>
      </c>
      <c r="B31" s="1709" t="str">
        <f t="shared" si="1"/>
        <v/>
      </c>
      <c r="C31" s="1216" t="str">
        <f t="shared" si="2"/>
        <v/>
      </c>
      <c r="D31" s="1217" t="str">
        <f t="shared" si="3"/>
        <v/>
      </c>
      <c r="E31" s="1218" t="str">
        <f t="shared" si="4"/>
        <v/>
      </c>
      <c r="F31" s="1219" t="str">
        <f t="shared" si="5"/>
        <v/>
      </c>
      <c r="G31" s="1220" t="str">
        <f t="shared" si="6"/>
        <v/>
      </c>
      <c r="H31" s="1221" t="str">
        <f t="shared" si="7"/>
        <v/>
      </c>
      <c r="I31" s="1222" t="str">
        <f t="shared" si="8"/>
        <v/>
      </c>
      <c r="J31" s="1217" t="str">
        <f t="shared" si="9"/>
        <v/>
      </c>
      <c r="K31" s="1221" t="str">
        <f t="shared" si="10"/>
        <v/>
      </c>
      <c r="L31" s="1223" t="str">
        <f t="shared" si="11"/>
        <v/>
      </c>
      <c r="M31" s="1224" t="str">
        <f t="shared" si="12"/>
        <v/>
      </c>
      <c r="N31" s="1225" t="str">
        <f t="shared" si="12"/>
        <v/>
      </c>
      <c r="O31" s="1220" t="str">
        <f t="shared" si="13"/>
        <v/>
      </c>
      <c r="P31" s="1221" t="str">
        <f t="shared" si="14"/>
        <v/>
      </c>
      <c r="Q31" s="1217" t="str">
        <f t="shared" si="15"/>
        <v/>
      </c>
      <c r="R31" s="1218" t="str">
        <f t="shared" si="16"/>
        <v/>
      </c>
      <c r="S31" s="1226" t="str">
        <f t="shared" si="17"/>
        <v/>
      </c>
      <c r="T31" s="1221" t="str">
        <f t="shared" si="18"/>
        <v/>
      </c>
      <c r="U31" s="1217" t="str">
        <f t="shared" si="19"/>
        <v/>
      </c>
      <c r="V31" s="1221" t="str">
        <f t="shared" si="20"/>
        <v/>
      </c>
      <c r="W31" s="1225">
        <f t="shared" si="21"/>
        <v>0</v>
      </c>
      <c r="X31" s="1227" t="str">
        <f t="shared" si="22"/>
        <v/>
      </c>
      <c r="Y31" s="1228" t="str">
        <f t="shared" si="23"/>
        <v/>
      </c>
      <c r="Z31" s="1710" t="str">
        <f t="shared" si="24"/>
        <v/>
      </c>
      <c r="AA31" s="1235" t="str">
        <f t="shared" si="25"/>
        <v/>
      </c>
      <c r="AB31" s="1215" t="str">
        <f t="shared" si="26"/>
        <v/>
      </c>
      <c r="AC31" s="1222" t="str">
        <f t="shared" si="27"/>
        <v/>
      </c>
      <c r="AD31" s="1217" t="str">
        <f t="shared" ca="1" si="28"/>
        <v/>
      </c>
      <c r="AE31" s="1221" t="str">
        <f t="shared" ca="1" si="29"/>
        <v/>
      </c>
      <c r="AF31" s="1222" t="str">
        <f t="shared" ca="1" si="30"/>
        <v/>
      </c>
      <c r="AG31" s="1217" t="str">
        <f t="shared" ca="1" si="31"/>
        <v/>
      </c>
      <c r="AH31" s="1221" t="str">
        <f t="shared" ca="1" si="32"/>
        <v/>
      </c>
      <c r="AI31" s="1217" t="str">
        <f t="shared" ca="1" si="33"/>
        <v/>
      </c>
      <c r="AJ31" s="1221" t="str">
        <f t="shared" ca="1" si="34"/>
        <v/>
      </c>
      <c r="AK31" s="1742" t="str">
        <f t="shared" si="35"/>
        <v/>
      </c>
      <c r="AL31" s="1743" t="str">
        <f t="shared" si="36"/>
        <v/>
      </c>
      <c r="AM31" s="1744" t="str">
        <f t="shared" si="35"/>
        <v/>
      </c>
      <c r="AN31" s="1222" t="str">
        <f t="shared" si="35"/>
        <v/>
      </c>
      <c r="AO31" s="1225" t="str">
        <f t="shared" si="35"/>
        <v/>
      </c>
      <c r="AP31" s="1224" t="str">
        <f t="shared" si="37"/>
        <v/>
      </c>
      <c r="AQ31" s="1746" t="str">
        <f t="shared" si="38"/>
        <v/>
      </c>
      <c r="AR31" s="1220" t="str">
        <f t="shared" si="39"/>
        <v/>
      </c>
      <c r="AS31" s="1221" t="str">
        <f t="shared" si="40"/>
        <v/>
      </c>
      <c r="AT31" s="1747" t="str">
        <f t="shared" si="41"/>
        <v/>
      </c>
      <c r="AU31" s="1748" t="str">
        <f t="shared" si="42"/>
        <v/>
      </c>
      <c r="AV31" s="1226" t="str">
        <f t="shared" si="43"/>
        <v/>
      </c>
      <c r="AW31" s="1221" t="str">
        <f t="shared" si="44"/>
        <v/>
      </c>
      <c r="AX31" s="1747" t="str">
        <f t="shared" si="45"/>
        <v/>
      </c>
      <c r="AY31" s="1748" t="str">
        <f t="shared" si="46"/>
        <v/>
      </c>
      <c r="AZ31" s="1226" t="str">
        <f t="shared" si="47"/>
        <v/>
      </c>
      <c r="BA31" s="1221" t="str">
        <f t="shared" si="48"/>
        <v/>
      </c>
      <c r="BB31" s="1747" t="str">
        <f t="shared" si="49"/>
        <v/>
      </c>
      <c r="BC31" s="1748" t="str">
        <f t="shared" si="50"/>
        <v/>
      </c>
      <c r="BD31" s="1226" t="str">
        <f t="shared" si="51"/>
        <v/>
      </c>
      <c r="BE31" s="1221" t="str">
        <f t="shared" si="52"/>
        <v/>
      </c>
      <c r="BF31" s="1747" t="str">
        <f t="shared" si="53"/>
        <v/>
      </c>
      <c r="BG31" s="1748" t="str">
        <f t="shared" si="54"/>
        <v/>
      </c>
      <c r="BH31" s="1417"/>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3">
        <f t="shared" si="62"/>
        <v>6</v>
      </c>
      <c r="BT31" s="990" t="str">
        <f t="shared" si="63"/>
        <v>No</v>
      </c>
      <c r="BU31" s="1303">
        <f t="shared" si="64"/>
        <v>6</v>
      </c>
      <c r="BV31" s="990" t="str">
        <f t="shared" si="65"/>
        <v>No</v>
      </c>
      <c r="BW31" s="991">
        <f t="shared" ca="1" si="66"/>
        <v>0</v>
      </c>
      <c r="BX31" s="991" t="str">
        <f t="shared" ca="1" si="67"/>
        <v/>
      </c>
      <c r="BY31" s="991" t="b">
        <f t="shared" ca="1" si="68"/>
        <v>0</v>
      </c>
      <c r="BZ31" s="991" t="b">
        <f t="shared" si="90"/>
        <v>0</v>
      </c>
      <c r="CB31" s="672"/>
      <c r="CC31" s="1685"/>
      <c r="CD31" s="699"/>
      <c r="CE31" s="700"/>
      <c r="CF31" s="701"/>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725"/>
      <c r="DE31" s="726"/>
      <c r="DF31" s="141"/>
      <c r="DG31" s="141"/>
      <c r="DH31" s="672"/>
      <c r="DI31" s="673"/>
      <c r="DJ31" s="692"/>
      <c r="DK31" s="1332"/>
      <c r="DL31" s="674"/>
      <c r="DM31" s="693"/>
      <c r="DN31" s="1335"/>
      <c r="DO31" s="675"/>
      <c r="DP31" s="676"/>
      <c r="DQ31" s="1420"/>
      <c r="DR31" s="677"/>
      <c r="DS31" s="1420"/>
      <c r="DT31" s="1422"/>
      <c r="DU31" s="1423"/>
      <c r="DV31" s="678"/>
      <c r="DW31" s="1337"/>
      <c r="DX31" s="679"/>
      <c r="DY31" s="674"/>
      <c r="DZ31" s="678"/>
      <c r="EA31" s="1337"/>
      <c r="EB31" s="679"/>
      <c r="EC31" s="674"/>
      <c r="ED31" s="678"/>
      <c r="EE31" s="1337"/>
      <c r="EF31" s="679"/>
      <c r="EG31" s="674"/>
      <c r="EH31" s="678"/>
      <c r="EI31" s="1337"/>
      <c r="EJ31" s="679"/>
      <c r="EK31" s="680"/>
      <c r="EL31" s="241"/>
      <c r="EM31" s="1632" t="str">
        <f t="shared" si="69"/>
        <v/>
      </c>
      <c r="EN31" s="1429" t="str">
        <f t="shared" si="70"/>
        <v/>
      </c>
      <c r="EO31" s="1430" t="str">
        <f t="shared" si="71"/>
        <v/>
      </c>
      <c r="EP31" s="1431" t="str">
        <f t="shared" si="72"/>
        <v/>
      </c>
      <c r="EQ31" s="1435" t="str">
        <f t="shared" si="73"/>
        <v/>
      </c>
      <c r="ER31" s="1441" t="str">
        <f t="shared" si="74"/>
        <v/>
      </c>
      <c r="ES31" s="1442" t="str">
        <f t="shared" si="75"/>
        <v/>
      </c>
      <c r="ET31" s="1443" t="str">
        <f t="shared" si="76"/>
        <v/>
      </c>
      <c r="EU31" s="1444"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581" t="str">
        <f t="shared" si="82"/>
        <v/>
      </c>
      <c r="GB31" s="623" t="str">
        <f t="shared" si="83"/>
        <v/>
      </c>
      <c r="GC31" s="625" t="str">
        <f t="shared" si="84"/>
        <v/>
      </c>
      <c r="GD31" s="626" t="str">
        <f t="shared" si="85"/>
        <v/>
      </c>
      <c r="GE31" s="624" t="str">
        <f t="shared" si="86"/>
        <v/>
      </c>
      <c r="GF31" s="582" t="str">
        <f t="shared" si="87"/>
        <v/>
      </c>
      <c r="GG31" s="692"/>
      <c r="GH31" s="1136"/>
      <c r="GI31" s="692"/>
      <c r="GJ31" s="1136"/>
      <c r="GK31" s="1641">
        <f t="shared" si="88"/>
        <v>0</v>
      </c>
      <c r="GL31" s="1641" t="e">
        <f t="shared" si="89"/>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7"/>
      <c r="HZ31" s="1247"/>
      <c r="IA31" s="1247"/>
      <c r="IB31" s="1247"/>
      <c r="IC31" s="1247"/>
      <c r="ID31" s="1262"/>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99"/>
        <v>0</v>
      </c>
    </row>
    <row r="32" spans="1:272" ht="12.6" customHeight="1" x14ac:dyDescent="0.25">
      <c r="A32" s="1215" t="str">
        <f t="shared" si="0"/>
        <v/>
      </c>
      <c r="B32" s="1709" t="str">
        <f t="shared" si="1"/>
        <v/>
      </c>
      <c r="C32" s="1216" t="str">
        <f t="shared" si="2"/>
        <v/>
      </c>
      <c r="D32" s="1217" t="str">
        <f t="shared" si="3"/>
        <v/>
      </c>
      <c r="E32" s="1218" t="str">
        <f t="shared" si="4"/>
        <v/>
      </c>
      <c r="F32" s="1219" t="str">
        <f t="shared" si="5"/>
        <v/>
      </c>
      <c r="G32" s="1220" t="str">
        <f t="shared" si="6"/>
        <v/>
      </c>
      <c r="H32" s="1221" t="str">
        <f t="shared" si="7"/>
        <v/>
      </c>
      <c r="I32" s="1222" t="str">
        <f t="shared" si="8"/>
        <v/>
      </c>
      <c r="J32" s="1217" t="str">
        <f t="shared" si="9"/>
        <v/>
      </c>
      <c r="K32" s="1221" t="str">
        <f t="shared" si="10"/>
        <v/>
      </c>
      <c r="L32" s="1223" t="str">
        <f t="shared" si="11"/>
        <v/>
      </c>
      <c r="M32" s="1224" t="str">
        <f t="shared" si="12"/>
        <v/>
      </c>
      <c r="N32" s="1225" t="str">
        <f t="shared" si="12"/>
        <v/>
      </c>
      <c r="O32" s="1220" t="str">
        <f t="shared" si="13"/>
        <v/>
      </c>
      <c r="P32" s="1221" t="str">
        <f t="shared" si="14"/>
        <v/>
      </c>
      <c r="Q32" s="1217" t="str">
        <f t="shared" si="15"/>
        <v/>
      </c>
      <c r="R32" s="1218" t="str">
        <f t="shared" si="16"/>
        <v/>
      </c>
      <c r="S32" s="1226" t="str">
        <f t="shared" si="17"/>
        <v/>
      </c>
      <c r="T32" s="1221" t="str">
        <f t="shared" si="18"/>
        <v/>
      </c>
      <c r="U32" s="1217" t="str">
        <f t="shared" si="19"/>
        <v/>
      </c>
      <c r="V32" s="1221" t="str">
        <f t="shared" si="20"/>
        <v/>
      </c>
      <c r="W32" s="1225">
        <f t="shared" si="21"/>
        <v>0</v>
      </c>
      <c r="X32" s="1227" t="str">
        <f t="shared" si="22"/>
        <v/>
      </c>
      <c r="Y32" s="1228" t="str">
        <f t="shared" si="23"/>
        <v/>
      </c>
      <c r="Z32" s="1710" t="str">
        <f t="shared" si="24"/>
        <v/>
      </c>
      <c r="AA32" s="1235" t="str">
        <f t="shared" si="25"/>
        <v/>
      </c>
      <c r="AB32" s="1215" t="str">
        <f t="shared" si="26"/>
        <v/>
      </c>
      <c r="AC32" s="1222" t="str">
        <f t="shared" si="27"/>
        <v/>
      </c>
      <c r="AD32" s="1217" t="str">
        <f t="shared" ca="1" si="28"/>
        <v/>
      </c>
      <c r="AE32" s="1221" t="str">
        <f t="shared" ca="1" si="29"/>
        <v/>
      </c>
      <c r="AF32" s="1222" t="str">
        <f t="shared" ca="1" si="30"/>
        <v/>
      </c>
      <c r="AG32" s="1217" t="str">
        <f t="shared" ca="1" si="31"/>
        <v/>
      </c>
      <c r="AH32" s="1221" t="str">
        <f t="shared" ca="1" si="32"/>
        <v/>
      </c>
      <c r="AI32" s="1217" t="str">
        <f t="shared" ca="1" si="33"/>
        <v/>
      </c>
      <c r="AJ32" s="1221" t="str">
        <f t="shared" ca="1" si="34"/>
        <v/>
      </c>
      <c r="AK32" s="1742" t="str">
        <f t="shared" si="35"/>
        <v/>
      </c>
      <c r="AL32" s="1743" t="str">
        <f t="shared" si="36"/>
        <v/>
      </c>
      <c r="AM32" s="1744" t="str">
        <f t="shared" si="35"/>
        <v/>
      </c>
      <c r="AN32" s="1222" t="str">
        <f t="shared" si="35"/>
        <v/>
      </c>
      <c r="AO32" s="1225" t="str">
        <f t="shared" si="35"/>
        <v/>
      </c>
      <c r="AP32" s="1224" t="str">
        <f t="shared" si="37"/>
        <v/>
      </c>
      <c r="AQ32" s="1746" t="str">
        <f t="shared" si="38"/>
        <v/>
      </c>
      <c r="AR32" s="1220" t="str">
        <f t="shared" si="39"/>
        <v/>
      </c>
      <c r="AS32" s="1221" t="str">
        <f t="shared" si="40"/>
        <v/>
      </c>
      <c r="AT32" s="1747" t="str">
        <f t="shared" si="41"/>
        <v/>
      </c>
      <c r="AU32" s="1748" t="str">
        <f t="shared" si="42"/>
        <v/>
      </c>
      <c r="AV32" s="1226" t="str">
        <f t="shared" si="43"/>
        <v/>
      </c>
      <c r="AW32" s="1221" t="str">
        <f t="shared" si="44"/>
        <v/>
      </c>
      <c r="AX32" s="1747" t="str">
        <f t="shared" si="45"/>
        <v/>
      </c>
      <c r="AY32" s="1748" t="str">
        <f t="shared" si="46"/>
        <v/>
      </c>
      <c r="AZ32" s="1226" t="str">
        <f t="shared" si="47"/>
        <v/>
      </c>
      <c r="BA32" s="1221" t="str">
        <f t="shared" si="48"/>
        <v/>
      </c>
      <c r="BB32" s="1747" t="str">
        <f t="shared" si="49"/>
        <v/>
      </c>
      <c r="BC32" s="1748" t="str">
        <f t="shared" si="50"/>
        <v/>
      </c>
      <c r="BD32" s="1226" t="str">
        <f t="shared" si="51"/>
        <v/>
      </c>
      <c r="BE32" s="1221" t="str">
        <f t="shared" si="52"/>
        <v/>
      </c>
      <c r="BF32" s="1747" t="str">
        <f t="shared" si="53"/>
        <v/>
      </c>
      <c r="BG32" s="1748" t="str">
        <f t="shared" si="54"/>
        <v/>
      </c>
      <c r="BH32" s="1417"/>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3">
        <f t="shared" si="62"/>
        <v>6</v>
      </c>
      <c r="BT32" s="990" t="str">
        <f t="shared" si="63"/>
        <v>No</v>
      </c>
      <c r="BU32" s="1303">
        <f t="shared" si="64"/>
        <v>6</v>
      </c>
      <c r="BV32" s="990" t="str">
        <f t="shared" si="65"/>
        <v>No</v>
      </c>
      <c r="BW32" s="991">
        <f t="shared" ca="1" si="66"/>
        <v>0</v>
      </c>
      <c r="BX32" s="991" t="str">
        <f t="shared" ca="1" si="67"/>
        <v/>
      </c>
      <c r="BY32" s="991" t="b">
        <f t="shared" ca="1" si="68"/>
        <v>0</v>
      </c>
      <c r="BZ32" s="991" t="b">
        <f t="shared" si="90"/>
        <v>0</v>
      </c>
      <c r="CB32" s="672"/>
      <c r="CC32" s="1685"/>
      <c r="CD32" s="699"/>
      <c r="CE32" s="700"/>
      <c r="CF32" s="701"/>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725"/>
      <c r="DE32" s="726"/>
      <c r="DF32" s="141"/>
      <c r="DG32" s="141"/>
      <c r="DH32" s="672"/>
      <c r="DI32" s="673"/>
      <c r="DJ32" s="692"/>
      <c r="DK32" s="1332"/>
      <c r="DL32" s="674"/>
      <c r="DM32" s="693"/>
      <c r="DN32" s="1335"/>
      <c r="DO32" s="675"/>
      <c r="DP32" s="676"/>
      <c r="DQ32" s="1420"/>
      <c r="DR32" s="677"/>
      <c r="DS32" s="1420"/>
      <c r="DT32" s="1422"/>
      <c r="DU32" s="1423"/>
      <c r="DV32" s="678"/>
      <c r="DW32" s="1337"/>
      <c r="DX32" s="679"/>
      <c r="DY32" s="674"/>
      <c r="DZ32" s="678"/>
      <c r="EA32" s="1337"/>
      <c r="EB32" s="679"/>
      <c r="EC32" s="674"/>
      <c r="ED32" s="678"/>
      <c r="EE32" s="1337"/>
      <c r="EF32" s="679"/>
      <c r="EG32" s="674"/>
      <c r="EH32" s="678"/>
      <c r="EI32" s="1337"/>
      <c r="EJ32" s="679"/>
      <c r="EK32" s="680"/>
      <c r="EL32" s="241"/>
      <c r="EM32" s="1632" t="str">
        <f t="shared" si="69"/>
        <v/>
      </c>
      <c r="EN32" s="1429" t="str">
        <f t="shared" si="70"/>
        <v/>
      </c>
      <c r="EO32" s="1430" t="str">
        <f t="shared" si="71"/>
        <v/>
      </c>
      <c r="EP32" s="1431" t="str">
        <f t="shared" si="72"/>
        <v/>
      </c>
      <c r="EQ32" s="1435" t="str">
        <f t="shared" si="73"/>
        <v/>
      </c>
      <c r="ER32" s="1441" t="str">
        <f t="shared" si="74"/>
        <v/>
      </c>
      <c r="ES32" s="1442" t="str">
        <f t="shared" si="75"/>
        <v/>
      </c>
      <c r="ET32" s="1443" t="str">
        <f t="shared" si="76"/>
        <v/>
      </c>
      <c r="EU32" s="1444"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581" t="str">
        <f t="shared" si="82"/>
        <v/>
      </c>
      <c r="GB32" s="623" t="str">
        <f t="shared" si="83"/>
        <v/>
      </c>
      <c r="GC32" s="625" t="str">
        <f t="shared" si="84"/>
        <v/>
      </c>
      <c r="GD32" s="626" t="str">
        <f t="shared" si="85"/>
        <v/>
      </c>
      <c r="GE32" s="624" t="str">
        <f t="shared" si="86"/>
        <v/>
      </c>
      <c r="GF32" s="582" t="str">
        <f t="shared" si="87"/>
        <v/>
      </c>
      <c r="GG32" s="692"/>
      <c r="GH32" s="1136"/>
      <c r="GI32" s="692"/>
      <c r="GJ32" s="1136"/>
      <c r="GK32" s="1641">
        <f t="shared" si="88"/>
        <v>0</v>
      </c>
      <c r="GL32" s="1641" t="e">
        <f t="shared" si="89"/>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62"/>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99"/>
        <v>0</v>
      </c>
    </row>
    <row r="33" spans="1:272" ht="12.6" customHeight="1" x14ac:dyDescent="0.25">
      <c r="A33" s="1215" t="str">
        <f t="shared" si="0"/>
        <v/>
      </c>
      <c r="B33" s="1709" t="str">
        <f t="shared" si="1"/>
        <v/>
      </c>
      <c r="C33" s="1216" t="str">
        <f t="shared" si="2"/>
        <v/>
      </c>
      <c r="D33" s="1217" t="str">
        <f t="shared" si="3"/>
        <v/>
      </c>
      <c r="E33" s="1218" t="str">
        <f t="shared" si="4"/>
        <v/>
      </c>
      <c r="F33" s="1219" t="str">
        <f t="shared" si="5"/>
        <v/>
      </c>
      <c r="G33" s="1220" t="str">
        <f t="shared" si="6"/>
        <v/>
      </c>
      <c r="H33" s="1221" t="str">
        <f t="shared" si="7"/>
        <v/>
      </c>
      <c r="I33" s="1222" t="str">
        <f t="shared" si="8"/>
        <v/>
      </c>
      <c r="J33" s="1217" t="str">
        <f t="shared" si="9"/>
        <v/>
      </c>
      <c r="K33" s="1221" t="str">
        <f t="shared" si="10"/>
        <v/>
      </c>
      <c r="L33" s="1223" t="str">
        <f t="shared" si="11"/>
        <v/>
      </c>
      <c r="M33" s="1224" t="str">
        <f t="shared" si="12"/>
        <v/>
      </c>
      <c r="N33" s="1225" t="str">
        <f t="shared" si="12"/>
        <v/>
      </c>
      <c r="O33" s="1220" t="str">
        <f t="shared" si="13"/>
        <v/>
      </c>
      <c r="P33" s="1221" t="str">
        <f t="shared" si="14"/>
        <v/>
      </c>
      <c r="Q33" s="1217" t="str">
        <f t="shared" si="15"/>
        <v/>
      </c>
      <c r="R33" s="1218" t="str">
        <f t="shared" si="16"/>
        <v/>
      </c>
      <c r="S33" s="1226" t="str">
        <f t="shared" si="17"/>
        <v/>
      </c>
      <c r="T33" s="1221" t="str">
        <f t="shared" si="18"/>
        <v/>
      </c>
      <c r="U33" s="1217" t="str">
        <f t="shared" si="19"/>
        <v/>
      </c>
      <c r="V33" s="1221" t="str">
        <f t="shared" si="20"/>
        <v/>
      </c>
      <c r="W33" s="1225">
        <f t="shared" si="21"/>
        <v>0</v>
      </c>
      <c r="X33" s="1227" t="str">
        <f t="shared" si="22"/>
        <v/>
      </c>
      <c r="Y33" s="1228" t="str">
        <f t="shared" si="23"/>
        <v/>
      </c>
      <c r="Z33" s="1710" t="str">
        <f t="shared" si="24"/>
        <v/>
      </c>
      <c r="AA33" s="1235" t="str">
        <f t="shared" si="25"/>
        <v/>
      </c>
      <c r="AB33" s="1215" t="str">
        <f t="shared" si="26"/>
        <v/>
      </c>
      <c r="AC33" s="1222" t="str">
        <f t="shared" si="27"/>
        <v/>
      </c>
      <c r="AD33" s="1217" t="str">
        <f t="shared" ca="1" si="28"/>
        <v/>
      </c>
      <c r="AE33" s="1221" t="str">
        <f t="shared" ca="1" si="29"/>
        <v/>
      </c>
      <c r="AF33" s="1222" t="str">
        <f t="shared" ca="1" si="30"/>
        <v/>
      </c>
      <c r="AG33" s="1217" t="str">
        <f t="shared" ca="1" si="31"/>
        <v/>
      </c>
      <c r="AH33" s="1221" t="str">
        <f t="shared" ca="1" si="32"/>
        <v/>
      </c>
      <c r="AI33" s="1217" t="str">
        <f t="shared" ca="1" si="33"/>
        <v/>
      </c>
      <c r="AJ33" s="1221" t="str">
        <f t="shared" ca="1" si="34"/>
        <v/>
      </c>
      <c r="AK33" s="1742" t="str">
        <f t="shared" si="35"/>
        <v/>
      </c>
      <c r="AL33" s="1743" t="str">
        <f t="shared" si="36"/>
        <v/>
      </c>
      <c r="AM33" s="1744" t="str">
        <f t="shared" si="35"/>
        <v/>
      </c>
      <c r="AN33" s="1222" t="str">
        <f t="shared" si="35"/>
        <v/>
      </c>
      <c r="AO33" s="1225" t="str">
        <f t="shared" si="35"/>
        <v/>
      </c>
      <c r="AP33" s="1224" t="str">
        <f t="shared" si="37"/>
        <v/>
      </c>
      <c r="AQ33" s="1746" t="str">
        <f t="shared" si="38"/>
        <v/>
      </c>
      <c r="AR33" s="1220" t="str">
        <f t="shared" si="39"/>
        <v/>
      </c>
      <c r="AS33" s="1221" t="str">
        <f t="shared" si="40"/>
        <v/>
      </c>
      <c r="AT33" s="1747" t="str">
        <f t="shared" si="41"/>
        <v/>
      </c>
      <c r="AU33" s="1748" t="str">
        <f t="shared" si="42"/>
        <v/>
      </c>
      <c r="AV33" s="1226" t="str">
        <f t="shared" si="43"/>
        <v/>
      </c>
      <c r="AW33" s="1221" t="str">
        <f t="shared" si="44"/>
        <v/>
      </c>
      <c r="AX33" s="1747" t="str">
        <f t="shared" si="45"/>
        <v/>
      </c>
      <c r="AY33" s="1748" t="str">
        <f t="shared" si="46"/>
        <v/>
      </c>
      <c r="AZ33" s="1226" t="str">
        <f t="shared" si="47"/>
        <v/>
      </c>
      <c r="BA33" s="1221" t="str">
        <f t="shared" si="48"/>
        <v/>
      </c>
      <c r="BB33" s="1747" t="str">
        <f t="shared" si="49"/>
        <v/>
      </c>
      <c r="BC33" s="1748" t="str">
        <f t="shared" si="50"/>
        <v/>
      </c>
      <c r="BD33" s="1226" t="str">
        <f t="shared" si="51"/>
        <v/>
      </c>
      <c r="BE33" s="1221" t="str">
        <f t="shared" si="52"/>
        <v/>
      </c>
      <c r="BF33" s="1747" t="str">
        <f t="shared" si="53"/>
        <v/>
      </c>
      <c r="BG33" s="1748" t="str">
        <f t="shared" si="54"/>
        <v/>
      </c>
      <c r="BH33" s="1417"/>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3">
        <f t="shared" si="62"/>
        <v>6</v>
      </c>
      <c r="BT33" s="990" t="str">
        <f t="shared" si="63"/>
        <v>No</v>
      </c>
      <c r="BU33" s="1303">
        <f t="shared" si="64"/>
        <v>6</v>
      </c>
      <c r="BV33" s="990" t="str">
        <f t="shared" si="65"/>
        <v>No</v>
      </c>
      <c r="BW33" s="991">
        <f t="shared" ca="1" si="66"/>
        <v>0</v>
      </c>
      <c r="BX33" s="991" t="str">
        <f t="shared" ca="1" si="67"/>
        <v/>
      </c>
      <c r="BY33" s="991" t="b">
        <f t="shared" ca="1" si="68"/>
        <v>0</v>
      </c>
      <c r="BZ33" s="991" t="b">
        <f t="shared" si="90"/>
        <v>0</v>
      </c>
      <c r="CB33" s="672"/>
      <c r="CC33" s="1685"/>
      <c r="CD33" s="699"/>
      <c r="CE33" s="700"/>
      <c r="CF33" s="701"/>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725"/>
      <c r="DE33" s="726"/>
      <c r="DF33" s="141"/>
      <c r="DG33" s="141"/>
      <c r="DH33" s="672"/>
      <c r="DI33" s="673"/>
      <c r="DJ33" s="692"/>
      <c r="DK33" s="1332"/>
      <c r="DL33" s="674"/>
      <c r="DM33" s="693"/>
      <c r="DN33" s="1335"/>
      <c r="DO33" s="675"/>
      <c r="DP33" s="676"/>
      <c r="DQ33" s="1420"/>
      <c r="DR33" s="677"/>
      <c r="DS33" s="1420"/>
      <c r="DT33" s="1422"/>
      <c r="DU33" s="1423"/>
      <c r="DV33" s="678"/>
      <c r="DW33" s="1337"/>
      <c r="DX33" s="679"/>
      <c r="DY33" s="674"/>
      <c r="DZ33" s="678"/>
      <c r="EA33" s="1337"/>
      <c r="EB33" s="679"/>
      <c r="EC33" s="674"/>
      <c r="ED33" s="678"/>
      <c r="EE33" s="1337"/>
      <c r="EF33" s="679"/>
      <c r="EG33" s="674"/>
      <c r="EH33" s="678"/>
      <c r="EI33" s="1337"/>
      <c r="EJ33" s="679"/>
      <c r="EK33" s="680"/>
      <c r="EL33" s="241"/>
      <c r="EM33" s="1632" t="str">
        <f t="shared" si="69"/>
        <v/>
      </c>
      <c r="EN33" s="1429" t="str">
        <f t="shared" si="70"/>
        <v/>
      </c>
      <c r="EO33" s="1430" t="str">
        <f t="shared" si="71"/>
        <v/>
      </c>
      <c r="EP33" s="1431" t="str">
        <f t="shared" si="72"/>
        <v/>
      </c>
      <c r="EQ33" s="1435" t="str">
        <f t="shared" si="73"/>
        <v/>
      </c>
      <c r="ER33" s="1441" t="str">
        <f t="shared" si="74"/>
        <v/>
      </c>
      <c r="ES33" s="1442" t="str">
        <f t="shared" si="75"/>
        <v/>
      </c>
      <c r="ET33" s="1443" t="str">
        <f t="shared" si="76"/>
        <v/>
      </c>
      <c r="EU33" s="1444"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581" t="str">
        <f t="shared" si="82"/>
        <v/>
      </c>
      <c r="GB33" s="623" t="str">
        <f t="shared" si="83"/>
        <v/>
      </c>
      <c r="GC33" s="625" t="str">
        <f t="shared" si="84"/>
        <v/>
      </c>
      <c r="GD33" s="626" t="str">
        <f t="shared" si="85"/>
        <v/>
      </c>
      <c r="GE33" s="624" t="str">
        <f t="shared" si="86"/>
        <v/>
      </c>
      <c r="GF33" s="582" t="str">
        <f t="shared" si="87"/>
        <v/>
      </c>
      <c r="GG33" s="692"/>
      <c r="GH33" s="1136"/>
      <c r="GI33" s="692"/>
      <c r="GJ33" s="1136"/>
      <c r="GK33" s="1641">
        <f t="shared" si="88"/>
        <v>0</v>
      </c>
      <c r="GL33" s="1641" t="e">
        <f t="shared" si="89"/>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9"/>
        <v>0</v>
      </c>
    </row>
    <row r="34" spans="1:272" ht="12.6" customHeight="1" x14ac:dyDescent="0.25">
      <c r="A34" s="1215" t="str">
        <f t="shared" si="0"/>
        <v/>
      </c>
      <c r="B34" s="1709" t="str">
        <f t="shared" si="1"/>
        <v/>
      </c>
      <c r="C34" s="1216" t="str">
        <f t="shared" si="2"/>
        <v/>
      </c>
      <c r="D34" s="1217" t="str">
        <f t="shared" si="3"/>
        <v/>
      </c>
      <c r="E34" s="1218" t="str">
        <f t="shared" si="4"/>
        <v/>
      </c>
      <c r="F34" s="1219" t="str">
        <f t="shared" si="5"/>
        <v/>
      </c>
      <c r="G34" s="1220" t="str">
        <f t="shared" si="6"/>
        <v/>
      </c>
      <c r="H34" s="1221" t="str">
        <f t="shared" si="7"/>
        <v/>
      </c>
      <c r="I34" s="1222" t="str">
        <f t="shared" si="8"/>
        <v/>
      </c>
      <c r="J34" s="1217" t="str">
        <f t="shared" si="9"/>
        <v/>
      </c>
      <c r="K34" s="1221" t="str">
        <f t="shared" si="10"/>
        <v/>
      </c>
      <c r="L34" s="1223" t="str">
        <f t="shared" si="11"/>
        <v/>
      </c>
      <c r="M34" s="1224" t="str">
        <f t="shared" si="12"/>
        <v/>
      </c>
      <c r="N34" s="1225" t="str">
        <f t="shared" si="12"/>
        <v/>
      </c>
      <c r="O34" s="1220" t="str">
        <f t="shared" si="13"/>
        <v/>
      </c>
      <c r="P34" s="1221" t="str">
        <f t="shared" si="14"/>
        <v/>
      </c>
      <c r="Q34" s="1217" t="str">
        <f t="shared" si="15"/>
        <v/>
      </c>
      <c r="R34" s="1218" t="str">
        <f t="shared" si="16"/>
        <v/>
      </c>
      <c r="S34" s="1226" t="str">
        <f t="shared" si="17"/>
        <v/>
      </c>
      <c r="T34" s="1221" t="str">
        <f t="shared" si="18"/>
        <v/>
      </c>
      <c r="U34" s="1217" t="str">
        <f t="shared" si="19"/>
        <v/>
      </c>
      <c r="V34" s="1221" t="str">
        <f t="shared" si="20"/>
        <v/>
      </c>
      <c r="W34" s="1225">
        <f t="shared" si="21"/>
        <v>0</v>
      </c>
      <c r="X34" s="1227" t="str">
        <f t="shared" si="22"/>
        <v/>
      </c>
      <c r="Y34" s="1228" t="str">
        <f t="shared" si="23"/>
        <v/>
      </c>
      <c r="Z34" s="1710" t="str">
        <f t="shared" si="24"/>
        <v/>
      </c>
      <c r="AA34" s="1235" t="str">
        <f t="shared" si="25"/>
        <v/>
      </c>
      <c r="AB34" s="1215" t="str">
        <f t="shared" si="26"/>
        <v/>
      </c>
      <c r="AC34" s="1222" t="str">
        <f t="shared" si="27"/>
        <v/>
      </c>
      <c r="AD34" s="1217" t="str">
        <f t="shared" ca="1" si="28"/>
        <v/>
      </c>
      <c r="AE34" s="1221" t="str">
        <f t="shared" ca="1" si="29"/>
        <v/>
      </c>
      <c r="AF34" s="1222" t="str">
        <f t="shared" ca="1" si="30"/>
        <v/>
      </c>
      <c r="AG34" s="1217" t="str">
        <f t="shared" ca="1" si="31"/>
        <v/>
      </c>
      <c r="AH34" s="1221" t="str">
        <f t="shared" ca="1" si="32"/>
        <v/>
      </c>
      <c r="AI34" s="1217" t="str">
        <f t="shared" ca="1" si="33"/>
        <v/>
      </c>
      <c r="AJ34" s="1221" t="str">
        <f t="shared" ca="1" si="34"/>
        <v/>
      </c>
      <c r="AK34" s="1742" t="str">
        <f t="shared" si="35"/>
        <v/>
      </c>
      <c r="AL34" s="1743" t="str">
        <f t="shared" si="36"/>
        <v/>
      </c>
      <c r="AM34" s="1744" t="str">
        <f t="shared" si="35"/>
        <v/>
      </c>
      <c r="AN34" s="1222" t="str">
        <f t="shared" si="35"/>
        <v/>
      </c>
      <c r="AO34" s="1225" t="str">
        <f t="shared" si="35"/>
        <v/>
      </c>
      <c r="AP34" s="1224" t="str">
        <f t="shared" si="37"/>
        <v/>
      </c>
      <c r="AQ34" s="1746" t="str">
        <f t="shared" si="38"/>
        <v/>
      </c>
      <c r="AR34" s="1220" t="str">
        <f t="shared" si="39"/>
        <v/>
      </c>
      <c r="AS34" s="1221" t="str">
        <f t="shared" si="40"/>
        <v/>
      </c>
      <c r="AT34" s="1747" t="str">
        <f t="shared" si="41"/>
        <v/>
      </c>
      <c r="AU34" s="1748" t="str">
        <f t="shared" si="42"/>
        <v/>
      </c>
      <c r="AV34" s="1226" t="str">
        <f t="shared" si="43"/>
        <v/>
      </c>
      <c r="AW34" s="1221" t="str">
        <f t="shared" si="44"/>
        <v/>
      </c>
      <c r="AX34" s="1747" t="str">
        <f t="shared" si="45"/>
        <v/>
      </c>
      <c r="AY34" s="1748" t="str">
        <f t="shared" si="46"/>
        <v/>
      </c>
      <c r="AZ34" s="1226" t="str">
        <f t="shared" si="47"/>
        <v/>
      </c>
      <c r="BA34" s="1221" t="str">
        <f t="shared" si="48"/>
        <v/>
      </c>
      <c r="BB34" s="1747" t="str">
        <f t="shared" si="49"/>
        <v/>
      </c>
      <c r="BC34" s="1748" t="str">
        <f t="shared" si="50"/>
        <v/>
      </c>
      <c r="BD34" s="1226" t="str">
        <f t="shared" si="51"/>
        <v/>
      </c>
      <c r="BE34" s="1221" t="str">
        <f t="shared" si="52"/>
        <v/>
      </c>
      <c r="BF34" s="1747" t="str">
        <f t="shared" si="53"/>
        <v/>
      </c>
      <c r="BG34" s="1748" t="str">
        <f t="shared" si="54"/>
        <v/>
      </c>
      <c r="BH34" s="1417"/>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3">
        <f t="shared" si="62"/>
        <v>6</v>
      </c>
      <c r="BT34" s="990" t="str">
        <f t="shared" si="63"/>
        <v>No</v>
      </c>
      <c r="BU34" s="1303">
        <f t="shared" si="64"/>
        <v>6</v>
      </c>
      <c r="BV34" s="990" t="str">
        <f t="shared" si="65"/>
        <v>No</v>
      </c>
      <c r="BW34" s="991">
        <f t="shared" ca="1" si="66"/>
        <v>0</v>
      </c>
      <c r="BX34" s="991" t="str">
        <f t="shared" ca="1" si="67"/>
        <v/>
      </c>
      <c r="BY34" s="991" t="b">
        <f t="shared" ca="1" si="68"/>
        <v>0</v>
      </c>
      <c r="BZ34" s="991" t="b">
        <f t="shared" si="90"/>
        <v>0</v>
      </c>
      <c r="CB34" s="672"/>
      <c r="CC34" s="1685"/>
      <c r="CD34" s="699"/>
      <c r="CE34" s="700"/>
      <c r="CF34" s="701"/>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725"/>
      <c r="DE34" s="726"/>
      <c r="DF34" s="141"/>
      <c r="DG34" s="141"/>
      <c r="DH34" s="672"/>
      <c r="DI34" s="673"/>
      <c r="DJ34" s="692"/>
      <c r="DK34" s="1332"/>
      <c r="DL34" s="674"/>
      <c r="DM34" s="693"/>
      <c r="DN34" s="1335"/>
      <c r="DO34" s="675"/>
      <c r="DP34" s="676"/>
      <c r="DQ34" s="1420"/>
      <c r="DR34" s="677"/>
      <c r="DS34" s="1420"/>
      <c r="DT34" s="1422"/>
      <c r="DU34" s="1423"/>
      <c r="DV34" s="678"/>
      <c r="DW34" s="1337"/>
      <c r="DX34" s="679"/>
      <c r="DY34" s="674"/>
      <c r="DZ34" s="678"/>
      <c r="EA34" s="1337"/>
      <c r="EB34" s="679"/>
      <c r="EC34" s="674"/>
      <c r="ED34" s="678"/>
      <c r="EE34" s="1337"/>
      <c r="EF34" s="679"/>
      <c r="EG34" s="674"/>
      <c r="EH34" s="678"/>
      <c r="EI34" s="1337"/>
      <c r="EJ34" s="679"/>
      <c r="EK34" s="680"/>
      <c r="EL34" s="241"/>
      <c r="EM34" s="1632" t="str">
        <f t="shared" si="69"/>
        <v/>
      </c>
      <c r="EN34" s="1429" t="str">
        <f t="shared" si="70"/>
        <v/>
      </c>
      <c r="EO34" s="1430" t="str">
        <f t="shared" si="71"/>
        <v/>
      </c>
      <c r="EP34" s="1431" t="str">
        <f t="shared" si="72"/>
        <v/>
      </c>
      <c r="EQ34" s="1435" t="str">
        <f t="shared" si="73"/>
        <v/>
      </c>
      <c r="ER34" s="1441" t="str">
        <f t="shared" si="74"/>
        <v/>
      </c>
      <c r="ES34" s="1442" t="str">
        <f t="shared" si="75"/>
        <v/>
      </c>
      <c r="ET34" s="1443" t="str">
        <f t="shared" si="76"/>
        <v/>
      </c>
      <c r="EU34" s="1444"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581" t="str">
        <f t="shared" si="82"/>
        <v/>
      </c>
      <c r="GB34" s="623" t="str">
        <f t="shared" si="83"/>
        <v/>
      </c>
      <c r="GC34" s="625" t="str">
        <f t="shared" si="84"/>
        <v/>
      </c>
      <c r="GD34" s="626" t="str">
        <f t="shared" si="85"/>
        <v/>
      </c>
      <c r="GE34" s="624" t="str">
        <f t="shared" si="86"/>
        <v/>
      </c>
      <c r="GF34" s="582" t="str">
        <f t="shared" si="87"/>
        <v/>
      </c>
      <c r="GG34" s="692"/>
      <c r="GH34" s="1136"/>
      <c r="GI34" s="692"/>
      <c r="GJ34" s="1136"/>
      <c r="GK34" s="1641">
        <f t="shared" si="88"/>
        <v>0</v>
      </c>
      <c r="GL34" s="1641" t="e">
        <f t="shared" si="89"/>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9"/>
        <v>0</v>
      </c>
    </row>
    <row r="35" spans="1:272" ht="12.6" customHeight="1" x14ac:dyDescent="0.25">
      <c r="A35" s="1215" t="str">
        <f t="shared" si="0"/>
        <v/>
      </c>
      <c r="B35" s="1709" t="str">
        <f t="shared" si="1"/>
        <v/>
      </c>
      <c r="C35" s="1216" t="str">
        <f t="shared" si="2"/>
        <v/>
      </c>
      <c r="D35" s="1217" t="str">
        <f t="shared" si="3"/>
        <v/>
      </c>
      <c r="E35" s="1218" t="str">
        <f t="shared" si="4"/>
        <v/>
      </c>
      <c r="F35" s="1219" t="str">
        <f t="shared" si="5"/>
        <v/>
      </c>
      <c r="G35" s="1220" t="str">
        <f t="shared" si="6"/>
        <v/>
      </c>
      <c r="H35" s="1221" t="str">
        <f t="shared" si="7"/>
        <v/>
      </c>
      <c r="I35" s="1222" t="str">
        <f t="shared" si="8"/>
        <v/>
      </c>
      <c r="J35" s="1217" t="str">
        <f t="shared" si="9"/>
        <v/>
      </c>
      <c r="K35" s="1221" t="str">
        <f t="shared" si="10"/>
        <v/>
      </c>
      <c r="L35" s="1223" t="str">
        <f t="shared" si="11"/>
        <v/>
      </c>
      <c r="M35" s="1224" t="str">
        <f t="shared" si="12"/>
        <v/>
      </c>
      <c r="N35" s="1225" t="str">
        <f t="shared" si="12"/>
        <v/>
      </c>
      <c r="O35" s="1220" t="str">
        <f t="shared" si="13"/>
        <v/>
      </c>
      <c r="P35" s="1221" t="str">
        <f t="shared" si="14"/>
        <v/>
      </c>
      <c r="Q35" s="1217" t="str">
        <f t="shared" si="15"/>
        <v/>
      </c>
      <c r="R35" s="1218" t="str">
        <f t="shared" si="16"/>
        <v/>
      </c>
      <c r="S35" s="1226" t="str">
        <f t="shared" si="17"/>
        <v/>
      </c>
      <c r="T35" s="1221" t="str">
        <f t="shared" si="18"/>
        <v/>
      </c>
      <c r="U35" s="1217" t="str">
        <f t="shared" si="19"/>
        <v/>
      </c>
      <c r="V35" s="1221" t="str">
        <f t="shared" si="20"/>
        <v/>
      </c>
      <c r="W35" s="1225">
        <f t="shared" si="21"/>
        <v>0</v>
      </c>
      <c r="X35" s="1227" t="str">
        <f t="shared" si="22"/>
        <v/>
      </c>
      <c r="Y35" s="1228" t="str">
        <f t="shared" si="23"/>
        <v/>
      </c>
      <c r="Z35" s="1710" t="str">
        <f t="shared" si="24"/>
        <v/>
      </c>
      <c r="AA35" s="1235" t="str">
        <f t="shared" si="25"/>
        <v/>
      </c>
      <c r="AB35" s="1215" t="str">
        <f t="shared" si="26"/>
        <v/>
      </c>
      <c r="AC35" s="1222" t="str">
        <f t="shared" si="27"/>
        <v/>
      </c>
      <c r="AD35" s="1217" t="str">
        <f t="shared" ca="1" si="28"/>
        <v/>
      </c>
      <c r="AE35" s="1221" t="str">
        <f t="shared" ca="1" si="29"/>
        <v/>
      </c>
      <c r="AF35" s="1222" t="str">
        <f t="shared" ca="1" si="30"/>
        <v/>
      </c>
      <c r="AG35" s="1217" t="str">
        <f t="shared" ca="1" si="31"/>
        <v/>
      </c>
      <c r="AH35" s="1221" t="str">
        <f t="shared" ca="1" si="32"/>
        <v/>
      </c>
      <c r="AI35" s="1217" t="str">
        <f t="shared" ca="1" si="33"/>
        <v/>
      </c>
      <c r="AJ35" s="1221" t="str">
        <f t="shared" ca="1" si="34"/>
        <v/>
      </c>
      <c r="AK35" s="1742" t="str">
        <f t="shared" si="35"/>
        <v/>
      </c>
      <c r="AL35" s="1743" t="str">
        <f t="shared" si="36"/>
        <v/>
      </c>
      <c r="AM35" s="1744" t="str">
        <f t="shared" si="35"/>
        <v/>
      </c>
      <c r="AN35" s="1222" t="str">
        <f t="shared" si="35"/>
        <v/>
      </c>
      <c r="AO35" s="1225" t="str">
        <f t="shared" si="35"/>
        <v/>
      </c>
      <c r="AP35" s="1224" t="str">
        <f t="shared" si="37"/>
        <v/>
      </c>
      <c r="AQ35" s="1746" t="str">
        <f t="shared" si="38"/>
        <v/>
      </c>
      <c r="AR35" s="1220" t="str">
        <f t="shared" si="39"/>
        <v/>
      </c>
      <c r="AS35" s="1221" t="str">
        <f t="shared" si="40"/>
        <v/>
      </c>
      <c r="AT35" s="1747" t="str">
        <f t="shared" si="41"/>
        <v/>
      </c>
      <c r="AU35" s="1748" t="str">
        <f t="shared" si="42"/>
        <v/>
      </c>
      <c r="AV35" s="1226" t="str">
        <f t="shared" si="43"/>
        <v/>
      </c>
      <c r="AW35" s="1221" t="str">
        <f t="shared" si="44"/>
        <v/>
      </c>
      <c r="AX35" s="1747" t="str">
        <f t="shared" si="45"/>
        <v/>
      </c>
      <c r="AY35" s="1748" t="str">
        <f t="shared" si="46"/>
        <v/>
      </c>
      <c r="AZ35" s="1226" t="str">
        <f t="shared" si="47"/>
        <v/>
      </c>
      <c r="BA35" s="1221" t="str">
        <f t="shared" si="48"/>
        <v/>
      </c>
      <c r="BB35" s="1747" t="str">
        <f t="shared" si="49"/>
        <v/>
      </c>
      <c r="BC35" s="1748" t="str">
        <f t="shared" si="50"/>
        <v/>
      </c>
      <c r="BD35" s="1226" t="str">
        <f t="shared" si="51"/>
        <v/>
      </c>
      <c r="BE35" s="1221" t="str">
        <f t="shared" si="52"/>
        <v/>
      </c>
      <c r="BF35" s="1747" t="str">
        <f t="shared" si="53"/>
        <v/>
      </c>
      <c r="BG35" s="1748" t="str">
        <f t="shared" si="54"/>
        <v/>
      </c>
      <c r="BH35" s="1417"/>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3">
        <f t="shared" si="62"/>
        <v>6</v>
      </c>
      <c r="BT35" s="990" t="str">
        <f t="shared" si="63"/>
        <v>No</v>
      </c>
      <c r="BU35" s="1303">
        <f t="shared" si="64"/>
        <v>6</v>
      </c>
      <c r="BV35" s="990" t="str">
        <f t="shared" si="65"/>
        <v>No</v>
      </c>
      <c r="BW35" s="991">
        <f t="shared" ca="1" si="66"/>
        <v>0</v>
      </c>
      <c r="BX35" s="991" t="str">
        <f t="shared" ca="1" si="67"/>
        <v/>
      </c>
      <c r="BY35" s="991" t="b">
        <f t="shared" ca="1" si="68"/>
        <v>0</v>
      </c>
      <c r="BZ35" s="991" t="b">
        <f t="shared" si="90"/>
        <v>0</v>
      </c>
      <c r="CB35" s="672"/>
      <c r="CC35" s="1685"/>
      <c r="CD35" s="699"/>
      <c r="CE35" s="700"/>
      <c r="CF35" s="701"/>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725"/>
      <c r="DE35" s="726"/>
      <c r="DF35" s="141"/>
      <c r="DG35" s="141"/>
      <c r="DH35" s="672"/>
      <c r="DI35" s="673"/>
      <c r="DJ35" s="692"/>
      <c r="DK35" s="1332"/>
      <c r="DL35" s="674"/>
      <c r="DM35" s="693"/>
      <c r="DN35" s="1335"/>
      <c r="DO35" s="675"/>
      <c r="DP35" s="676"/>
      <c r="DQ35" s="1420"/>
      <c r="DR35" s="677"/>
      <c r="DS35" s="1420"/>
      <c r="DT35" s="1422"/>
      <c r="DU35" s="1423"/>
      <c r="DV35" s="678"/>
      <c r="DW35" s="1337"/>
      <c r="DX35" s="679"/>
      <c r="DY35" s="674"/>
      <c r="DZ35" s="678"/>
      <c r="EA35" s="1337"/>
      <c r="EB35" s="679"/>
      <c r="EC35" s="674"/>
      <c r="ED35" s="678"/>
      <c r="EE35" s="1337"/>
      <c r="EF35" s="679"/>
      <c r="EG35" s="674"/>
      <c r="EH35" s="678"/>
      <c r="EI35" s="1337"/>
      <c r="EJ35" s="679"/>
      <c r="EK35" s="680"/>
      <c r="EL35" s="241"/>
      <c r="EM35" s="1632" t="str">
        <f t="shared" si="69"/>
        <v/>
      </c>
      <c r="EN35" s="1429" t="str">
        <f t="shared" si="70"/>
        <v/>
      </c>
      <c r="EO35" s="1430" t="str">
        <f t="shared" si="71"/>
        <v/>
      </c>
      <c r="EP35" s="1431" t="str">
        <f t="shared" si="72"/>
        <v/>
      </c>
      <c r="EQ35" s="1435" t="str">
        <f t="shared" si="73"/>
        <v/>
      </c>
      <c r="ER35" s="1441" t="str">
        <f t="shared" si="74"/>
        <v/>
      </c>
      <c r="ES35" s="1442" t="str">
        <f t="shared" si="75"/>
        <v/>
      </c>
      <c r="ET35" s="1443" t="str">
        <f t="shared" si="76"/>
        <v/>
      </c>
      <c r="EU35" s="1444"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581" t="str">
        <f t="shared" si="82"/>
        <v/>
      </c>
      <c r="GB35" s="623" t="str">
        <f t="shared" si="83"/>
        <v/>
      </c>
      <c r="GC35" s="625" t="str">
        <f t="shared" si="84"/>
        <v/>
      </c>
      <c r="GD35" s="626" t="str">
        <f t="shared" si="85"/>
        <v/>
      </c>
      <c r="GE35" s="624" t="str">
        <f t="shared" si="86"/>
        <v/>
      </c>
      <c r="GF35" s="582" t="str">
        <f t="shared" si="87"/>
        <v/>
      </c>
      <c r="GG35" s="692"/>
      <c r="GH35" s="1136"/>
      <c r="GI35" s="692"/>
      <c r="GJ35" s="1136"/>
      <c r="GK35" s="1641">
        <f t="shared" si="88"/>
        <v>0</v>
      </c>
      <c r="GL35" s="1641" t="e">
        <f t="shared" si="89"/>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9"/>
        <v>0</v>
      </c>
    </row>
    <row r="36" spans="1:272" ht="12.6" customHeight="1" x14ac:dyDescent="0.25">
      <c r="A36" s="1215" t="str">
        <f t="shared" si="0"/>
        <v/>
      </c>
      <c r="B36" s="1709" t="str">
        <f t="shared" si="1"/>
        <v/>
      </c>
      <c r="C36" s="1216" t="str">
        <f t="shared" si="2"/>
        <v/>
      </c>
      <c r="D36" s="1217" t="str">
        <f t="shared" si="3"/>
        <v/>
      </c>
      <c r="E36" s="1218" t="str">
        <f t="shared" si="4"/>
        <v/>
      </c>
      <c r="F36" s="1219" t="str">
        <f t="shared" si="5"/>
        <v/>
      </c>
      <c r="G36" s="1220" t="str">
        <f t="shared" si="6"/>
        <v/>
      </c>
      <c r="H36" s="1221" t="str">
        <f t="shared" si="7"/>
        <v/>
      </c>
      <c r="I36" s="1222" t="str">
        <f t="shared" si="8"/>
        <v/>
      </c>
      <c r="J36" s="1217" t="str">
        <f t="shared" si="9"/>
        <v/>
      </c>
      <c r="K36" s="1221" t="str">
        <f t="shared" si="10"/>
        <v/>
      </c>
      <c r="L36" s="1223" t="str">
        <f t="shared" si="11"/>
        <v/>
      </c>
      <c r="M36" s="1224" t="str">
        <f t="shared" si="12"/>
        <v/>
      </c>
      <c r="N36" s="1225" t="str">
        <f t="shared" si="12"/>
        <v/>
      </c>
      <c r="O36" s="1220" t="str">
        <f t="shared" si="13"/>
        <v/>
      </c>
      <c r="P36" s="1221" t="str">
        <f t="shared" si="14"/>
        <v/>
      </c>
      <c r="Q36" s="1217" t="str">
        <f t="shared" si="15"/>
        <v/>
      </c>
      <c r="R36" s="1218" t="str">
        <f t="shared" si="16"/>
        <v/>
      </c>
      <c r="S36" s="1226" t="str">
        <f t="shared" si="17"/>
        <v/>
      </c>
      <c r="T36" s="1221" t="str">
        <f t="shared" si="18"/>
        <v/>
      </c>
      <c r="U36" s="1217" t="str">
        <f t="shared" si="19"/>
        <v/>
      </c>
      <c r="V36" s="1221" t="str">
        <f t="shared" si="20"/>
        <v/>
      </c>
      <c r="W36" s="1225">
        <f t="shared" si="21"/>
        <v>0</v>
      </c>
      <c r="X36" s="1227" t="str">
        <f t="shared" si="22"/>
        <v/>
      </c>
      <c r="Y36" s="1228" t="str">
        <f t="shared" si="23"/>
        <v/>
      </c>
      <c r="Z36" s="1710" t="str">
        <f t="shared" si="24"/>
        <v/>
      </c>
      <c r="AA36" s="1235" t="str">
        <f t="shared" si="25"/>
        <v/>
      </c>
      <c r="AB36" s="1215" t="str">
        <f t="shared" si="26"/>
        <v/>
      </c>
      <c r="AC36" s="1222" t="str">
        <f t="shared" si="27"/>
        <v/>
      </c>
      <c r="AD36" s="1217" t="str">
        <f t="shared" ca="1" si="28"/>
        <v/>
      </c>
      <c r="AE36" s="1221" t="str">
        <f t="shared" ca="1" si="29"/>
        <v/>
      </c>
      <c r="AF36" s="1222" t="str">
        <f t="shared" ca="1" si="30"/>
        <v/>
      </c>
      <c r="AG36" s="1217" t="str">
        <f t="shared" ca="1" si="31"/>
        <v/>
      </c>
      <c r="AH36" s="1221" t="str">
        <f t="shared" ca="1" si="32"/>
        <v/>
      </c>
      <c r="AI36" s="1217" t="str">
        <f t="shared" ca="1" si="33"/>
        <v/>
      </c>
      <c r="AJ36" s="1221" t="str">
        <f t="shared" ca="1" si="34"/>
        <v/>
      </c>
      <c r="AK36" s="1742" t="str">
        <f t="shared" si="35"/>
        <v/>
      </c>
      <c r="AL36" s="1743" t="str">
        <f t="shared" si="36"/>
        <v/>
      </c>
      <c r="AM36" s="1744" t="str">
        <f t="shared" si="35"/>
        <v/>
      </c>
      <c r="AN36" s="1222" t="str">
        <f t="shared" si="35"/>
        <v/>
      </c>
      <c r="AO36" s="1225" t="str">
        <f t="shared" si="35"/>
        <v/>
      </c>
      <c r="AP36" s="1224" t="str">
        <f t="shared" si="37"/>
        <v/>
      </c>
      <c r="AQ36" s="1746" t="str">
        <f t="shared" si="38"/>
        <v/>
      </c>
      <c r="AR36" s="1220" t="str">
        <f t="shared" si="39"/>
        <v/>
      </c>
      <c r="AS36" s="1221" t="str">
        <f t="shared" si="40"/>
        <v/>
      </c>
      <c r="AT36" s="1747" t="str">
        <f t="shared" si="41"/>
        <v/>
      </c>
      <c r="AU36" s="1748" t="str">
        <f t="shared" si="42"/>
        <v/>
      </c>
      <c r="AV36" s="1226" t="str">
        <f t="shared" si="43"/>
        <v/>
      </c>
      <c r="AW36" s="1221" t="str">
        <f t="shared" si="44"/>
        <v/>
      </c>
      <c r="AX36" s="1747" t="str">
        <f t="shared" si="45"/>
        <v/>
      </c>
      <c r="AY36" s="1748" t="str">
        <f t="shared" si="46"/>
        <v/>
      </c>
      <c r="AZ36" s="1226" t="str">
        <f t="shared" si="47"/>
        <v/>
      </c>
      <c r="BA36" s="1221" t="str">
        <f t="shared" si="48"/>
        <v/>
      </c>
      <c r="BB36" s="1747" t="str">
        <f t="shared" si="49"/>
        <v/>
      </c>
      <c r="BC36" s="1748" t="str">
        <f t="shared" si="50"/>
        <v/>
      </c>
      <c r="BD36" s="1226" t="str">
        <f t="shared" si="51"/>
        <v/>
      </c>
      <c r="BE36" s="1221" t="str">
        <f t="shared" si="52"/>
        <v/>
      </c>
      <c r="BF36" s="1747" t="str">
        <f t="shared" si="53"/>
        <v/>
      </c>
      <c r="BG36" s="1748" t="str">
        <f t="shared" si="54"/>
        <v/>
      </c>
      <c r="BH36" s="1417"/>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3">
        <f t="shared" si="62"/>
        <v>6</v>
      </c>
      <c r="BT36" s="990" t="str">
        <f t="shared" si="63"/>
        <v>No</v>
      </c>
      <c r="BU36" s="1303">
        <f t="shared" si="64"/>
        <v>6</v>
      </c>
      <c r="BV36" s="990" t="str">
        <f t="shared" si="65"/>
        <v>No</v>
      </c>
      <c r="BW36" s="991">
        <f t="shared" ca="1" si="66"/>
        <v>0</v>
      </c>
      <c r="BX36" s="991" t="str">
        <f t="shared" ca="1" si="67"/>
        <v/>
      </c>
      <c r="BY36" s="991" t="b">
        <f t="shared" ca="1" si="68"/>
        <v>0</v>
      </c>
      <c r="BZ36" s="991" t="b">
        <f t="shared" si="90"/>
        <v>0</v>
      </c>
      <c r="CB36" s="672"/>
      <c r="CC36" s="1685"/>
      <c r="CD36" s="699"/>
      <c r="CE36" s="700"/>
      <c r="CF36" s="701"/>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725"/>
      <c r="DE36" s="726"/>
      <c r="DF36" s="141"/>
      <c r="DG36" s="141"/>
      <c r="DH36" s="672"/>
      <c r="DI36" s="673"/>
      <c r="DJ36" s="692"/>
      <c r="DK36" s="1332"/>
      <c r="DL36" s="674"/>
      <c r="DM36" s="693"/>
      <c r="DN36" s="1335"/>
      <c r="DO36" s="675"/>
      <c r="DP36" s="676"/>
      <c r="DQ36" s="1420"/>
      <c r="DR36" s="677"/>
      <c r="DS36" s="1420"/>
      <c r="DT36" s="1422"/>
      <c r="DU36" s="1423"/>
      <c r="DV36" s="678"/>
      <c r="DW36" s="1337"/>
      <c r="DX36" s="679"/>
      <c r="DY36" s="674"/>
      <c r="DZ36" s="678"/>
      <c r="EA36" s="1337"/>
      <c r="EB36" s="679"/>
      <c r="EC36" s="674"/>
      <c r="ED36" s="678"/>
      <c r="EE36" s="1337"/>
      <c r="EF36" s="679"/>
      <c r="EG36" s="674"/>
      <c r="EH36" s="678"/>
      <c r="EI36" s="1337"/>
      <c r="EJ36" s="679"/>
      <c r="EK36" s="680"/>
      <c r="EL36" s="241"/>
      <c r="EM36" s="1632" t="str">
        <f t="shared" si="69"/>
        <v/>
      </c>
      <c r="EN36" s="1429" t="str">
        <f t="shared" si="70"/>
        <v/>
      </c>
      <c r="EO36" s="1430" t="str">
        <f t="shared" si="71"/>
        <v/>
      </c>
      <c r="EP36" s="1431" t="str">
        <f t="shared" si="72"/>
        <v/>
      </c>
      <c r="EQ36" s="1435" t="str">
        <f t="shared" si="73"/>
        <v/>
      </c>
      <c r="ER36" s="1441" t="str">
        <f t="shared" si="74"/>
        <v/>
      </c>
      <c r="ES36" s="1442" t="str">
        <f t="shared" si="75"/>
        <v/>
      </c>
      <c r="ET36" s="1443" t="str">
        <f t="shared" si="76"/>
        <v/>
      </c>
      <c r="EU36" s="1444"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581" t="str">
        <f t="shared" si="82"/>
        <v/>
      </c>
      <c r="GB36" s="623" t="str">
        <f t="shared" si="83"/>
        <v/>
      </c>
      <c r="GC36" s="625" t="str">
        <f t="shared" si="84"/>
        <v/>
      </c>
      <c r="GD36" s="626" t="str">
        <f t="shared" si="85"/>
        <v/>
      </c>
      <c r="GE36" s="624" t="str">
        <f t="shared" si="86"/>
        <v/>
      </c>
      <c r="GF36" s="582" t="str">
        <f t="shared" si="87"/>
        <v/>
      </c>
      <c r="GG36" s="692"/>
      <c r="GH36" s="1136"/>
      <c r="GI36" s="692"/>
      <c r="GJ36" s="1136"/>
      <c r="GK36" s="1641">
        <f t="shared" si="88"/>
        <v>0</v>
      </c>
      <c r="GL36" s="1641" t="e">
        <f t="shared" si="89"/>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9"/>
        <v>0</v>
      </c>
    </row>
    <row r="37" spans="1:272" ht="12.6" customHeight="1" x14ac:dyDescent="0.25">
      <c r="A37" s="1215" t="str">
        <f t="shared" si="0"/>
        <v/>
      </c>
      <c r="B37" s="1709" t="str">
        <f t="shared" si="1"/>
        <v/>
      </c>
      <c r="C37" s="1216" t="str">
        <f t="shared" si="2"/>
        <v/>
      </c>
      <c r="D37" s="1217" t="str">
        <f t="shared" si="3"/>
        <v/>
      </c>
      <c r="E37" s="1218" t="str">
        <f t="shared" si="4"/>
        <v/>
      </c>
      <c r="F37" s="1219" t="str">
        <f t="shared" si="5"/>
        <v/>
      </c>
      <c r="G37" s="1220" t="str">
        <f t="shared" si="6"/>
        <v/>
      </c>
      <c r="H37" s="1221" t="str">
        <f t="shared" si="7"/>
        <v/>
      </c>
      <c r="I37" s="1222" t="str">
        <f t="shared" si="8"/>
        <v/>
      </c>
      <c r="J37" s="1217" t="str">
        <f t="shared" si="9"/>
        <v/>
      </c>
      <c r="K37" s="1221" t="str">
        <f t="shared" si="10"/>
        <v/>
      </c>
      <c r="L37" s="1223" t="str">
        <f t="shared" si="11"/>
        <v/>
      </c>
      <c r="M37" s="1224" t="str">
        <f t="shared" si="12"/>
        <v/>
      </c>
      <c r="N37" s="1225" t="str">
        <f t="shared" si="12"/>
        <v/>
      </c>
      <c r="O37" s="1220" t="str">
        <f t="shared" si="13"/>
        <v/>
      </c>
      <c r="P37" s="1221" t="str">
        <f t="shared" si="14"/>
        <v/>
      </c>
      <c r="Q37" s="1217" t="str">
        <f t="shared" si="15"/>
        <v/>
      </c>
      <c r="R37" s="1218" t="str">
        <f t="shared" si="16"/>
        <v/>
      </c>
      <c r="S37" s="1226" t="str">
        <f t="shared" si="17"/>
        <v/>
      </c>
      <c r="T37" s="1221" t="str">
        <f t="shared" si="18"/>
        <v/>
      </c>
      <c r="U37" s="1217" t="str">
        <f t="shared" si="19"/>
        <v/>
      </c>
      <c r="V37" s="1221" t="str">
        <f t="shared" si="20"/>
        <v/>
      </c>
      <c r="W37" s="1225">
        <f t="shared" si="21"/>
        <v>0</v>
      </c>
      <c r="X37" s="1227" t="str">
        <f t="shared" si="22"/>
        <v/>
      </c>
      <c r="Y37" s="1228" t="str">
        <f t="shared" si="23"/>
        <v/>
      </c>
      <c r="Z37" s="1710" t="str">
        <f t="shared" si="24"/>
        <v/>
      </c>
      <c r="AA37" s="1235" t="str">
        <f t="shared" si="25"/>
        <v/>
      </c>
      <c r="AB37" s="1215" t="str">
        <f t="shared" si="26"/>
        <v/>
      </c>
      <c r="AC37" s="1222" t="str">
        <f t="shared" si="27"/>
        <v/>
      </c>
      <c r="AD37" s="1217" t="str">
        <f t="shared" ca="1" si="28"/>
        <v/>
      </c>
      <c r="AE37" s="1221" t="str">
        <f t="shared" ca="1" si="29"/>
        <v/>
      </c>
      <c r="AF37" s="1222" t="str">
        <f t="shared" ca="1" si="30"/>
        <v/>
      </c>
      <c r="AG37" s="1217" t="str">
        <f t="shared" ca="1" si="31"/>
        <v/>
      </c>
      <c r="AH37" s="1221" t="str">
        <f t="shared" ca="1" si="32"/>
        <v/>
      </c>
      <c r="AI37" s="1217" t="str">
        <f t="shared" ca="1" si="33"/>
        <v/>
      </c>
      <c r="AJ37" s="1221" t="str">
        <f t="shared" ca="1" si="34"/>
        <v/>
      </c>
      <c r="AK37" s="1742" t="str">
        <f t="shared" si="35"/>
        <v/>
      </c>
      <c r="AL37" s="1743" t="str">
        <f t="shared" si="36"/>
        <v/>
      </c>
      <c r="AM37" s="1744" t="str">
        <f t="shared" si="35"/>
        <v/>
      </c>
      <c r="AN37" s="1222" t="str">
        <f t="shared" si="35"/>
        <v/>
      </c>
      <c r="AO37" s="1225" t="str">
        <f t="shared" si="35"/>
        <v/>
      </c>
      <c r="AP37" s="1224" t="str">
        <f t="shared" si="37"/>
        <v/>
      </c>
      <c r="AQ37" s="1746" t="str">
        <f t="shared" si="38"/>
        <v/>
      </c>
      <c r="AR37" s="1220" t="str">
        <f t="shared" si="39"/>
        <v/>
      </c>
      <c r="AS37" s="1221" t="str">
        <f t="shared" si="40"/>
        <v/>
      </c>
      <c r="AT37" s="1747" t="str">
        <f t="shared" si="41"/>
        <v/>
      </c>
      <c r="AU37" s="1748" t="str">
        <f t="shared" si="42"/>
        <v/>
      </c>
      <c r="AV37" s="1226" t="str">
        <f t="shared" si="43"/>
        <v/>
      </c>
      <c r="AW37" s="1221" t="str">
        <f t="shared" si="44"/>
        <v/>
      </c>
      <c r="AX37" s="1747" t="str">
        <f t="shared" si="45"/>
        <v/>
      </c>
      <c r="AY37" s="1748" t="str">
        <f t="shared" si="46"/>
        <v/>
      </c>
      <c r="AZ37" s="1226" t="str">
        <f t="shared" si="47"/>
        <v/>
      </c>
      <c r="BA37" s="1221" t="str">
        <f t="shared" si="48"/>
        <v/>
      </c>
      <c r="BB37" s="1747" t="str">
        <f t="shared" si="49"/>
        <v/>
      </c>
      <c r="BC37" s="1748" t="str">
        <f t="shared" si="50"/>
        <v/>
      </c>
      <c r="BD37" s="1226" t="str">
        <f t="shared" si="51"/>
        <v/>
      </c>
      <c r="BE37" s="1221" t="str">
        <f t="shared" si="52"/>
        <v/>
      </c>
      <c r="BF37" s="1747" t="str">
        <f t="shared" si="53"/>
        <v/>
      </c>
      <c r="BG37" s="1748" t="str">
        <f t="shared" si="54"/>
        <v/>
      </c>
      <c r="BH37" s="1417"/>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3">
        <f t="shared" si="62"/>
        <v>6</v>
      </c>
      <c r="BT37" s="990" t="str">
        <f t="shared" si="63"/>
        <v>No</v>
      </c>
      <c r="BU37" s="1303">
        <f t="shared" si="64"/>
        <v>6</v>
      </c>
      <c r="BV37" s="990" t="str">
        <f t="shared" si="65"/>
        <v>No</v>
      </c>
      <c r="BW37" s="991">
        <f t="shared" ca="1" si="66"/>
        <v>0</v>
      </c>
      <c r="BX37" s="991" t="str">
        <f t="shared" ca="1" si="67"/>
        <v/>
      </c>
      <c r="BY37" s="991" t="b">
        <f t="shared" ca="1" si="68"/>
        <v>0</v>
      </c>
      <c r="BZ37" s="991" t="b">
        <f t="shared" si="90"/>
        <v>0</v>
      </c>
      <c r="CB37" s="672"/>
      <c r="CC37" s="1685"/>
      <c r="CD37" s="699"/>
      <c r="CE37" s="700"/>
      <c r="CF37" s="701"/>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725"/>
      <c r="DE37" s="726"/>
      <c r="DF37" s="141"/>
      <c r="DG37" s="141"/>
      <c r="DH37" s="672"/>
      <c r="DI37" s="673"/>
      <c r="DJ37" s="692"/>
      <c r="DK37" s="1332"/>
      <c r="DL37" s="674"/>
      <c r="DM37" s="693"/>
      <c r="DN37" s="1335"/>
      <c r="DO37" s="675"/>
      <c r="DP37" s="676"/>
      <c r="DQ37" s="1420"/>
      <c r="DR37" s="677"/>
      <c r="DS37" s="1420"/>
      <c r="DT37" s="1422"/>
      <c r="DU37" s="1423"/>
      <c r="DV37" s="678"/>
      <c r="DW37" s="1337"/>
      <c r="DX37" s="679"/>
      <c r="DY37" s="674"/>
      <c r="DZ37" s="678"/>
      <c r="EA37" s="1337"/>
      <c r="EB37" s="679"/>
      <c r="EC37" s="674"/>
      <c r="ED37" s="678"/>
      <c r="EE37" s="1337"/>
      <c r="EF37" s="679"/>
      <c r="EG37" s="674"/>
      <c r="EH37" s="678"/>
      <c r="EI37" s="1337"/>
      <c r="EJ37" s="679"/>
      <c r="EK37" s="680"/>
      <c r="EL37" s="241"/>
      <c r="EM37" s="1632" t="str">
        <f t="shared" si="69"/>
        <v/>
      </c>
      <c r="EN37" s="1429" t="str">
        <f t="shared" si="70"/>
        <v/>
      </c>
      <c r="EO37" s="1430" t="str">
        <f t="shared" si="71"/>
        <v/>
      </c>
      <c r="EP37" s="1431" t="str">
        <f t="shared" si="72"/>
        <v/>
      </c>
      <c r="EQ37" s="1435" t="str">
        <f t="shared" si="73"/>
        <v/>
      </c>
      <c r="ER37" s="1441" t="str">
        <f t="shared" si="74"/>
        <v/>
      </c>
      <c r="ES37" s="1442" t="str">
        <f t="shared" si="75"/>
        <v/>
      </c>
      <c r="ET37" s="1443" t="str">
        <f t="shared" si="76"/>
        <v/>
      </c>
      <c r="EU37" s="1444"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581" t="str">
        <f t="shared" si="82"/>
        <v/>
      </c>
      <c r="GB37" s="623" t="str">
        <f t="shared" si="83"/>
        <v/>
      </c>
      <c r="GC37" s="625" t="str">
        <f t="shared" si="84"/>
        <v/>
      </c>
      <c r="GD37" s="626" t="str">
        <f t="shared" si="85"/>
        <v/>
      </c>
      <c r="GE37" s="624" t="str">
        <f t="shared" si="86"/>
        <v/>
      </c>
      <c r="GF37" s="582" t="str">
        <f t="shared" si="87"/>
        <v/>
      </c>
      <c r="GG37" s="692"/>
      <c r="GH37" s="1136"/>
      <c r="GI37" s="692"/>
      <c r="GJ37" s="1136"/>
      <c r="GK37" s="1641">
        <f t="shared" si="88"/>
        <v>0</v>
      </c>
      <c r="GL37" s="1641" t="e">
        <f t="shared" si="89"/>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9"/>
        <v>0</v>
      </c>
    </row>
    <row r="38" spans="1:272" ht="12.6" customHeight="1" x14ac:dyDescent="0.25">
      <c r="A38" s="1215" t="str">
        <f t="shared" si="0"/>
        <v/>
      </c>
      <c r="B38" s="1709" t="str">
        <f t="shared" si="1"/>
        <v/>
      </c>
      <c r="C38" s="1216" t="str">
        <f t="shared" si="2"/>
        <v/>
      </c>
      <c r="D38" s="1217" t="str">
        <f t="shared" si="3"/>
        <v/>
      </c>
      <c r="E38" s="1218" t="str">
        <f t="shared" si="4"/>
        <v/>
      </c>
      <c r="F38" s="1219" t="str">
        <f t="shared" si="5"/>
        <v/>
      </c>
      <c r="G38" s="1220" t="str">
        <f t="shared" si="6"/>
        <v/>
      </c>
      <c r="H38" s="1221" t="str">
        <f t="shared" si="7"/>
        <v/>
      </c>
      <c r="I38" s="1222" t="str">
        <f t="shared" si="8"/>
        <v/>
      </c>
      <c r="J38" s="1217" t="str">
        <f t="shared" si="9"/>
        <v/>
      </c>
      <c r="K38" s="1221" t="str">
        <f t="shared" si="10"/>
        <v/>
      </c>
      <c r="L38" s="1223" t="str">
        <f t="shared" si="11"/>
        <v/>
      </c>
      <c r="M38" s="1224" t="str">
        <f t="shared" si="12"/>
        <v/>
      </c>
      <c r="N38" s="1225" t="str">
        <f t="shared" si="12"/>
        <v/>
      </c>
      <c r="O38" s="1220" t="str">
        <f t="shared" si="13"/>
        <v/>
      </c>
      <c r="P38" s="1221" t="str">
        <f t="shared" si="14"/>
        <v/>
      </c>
      <c r="Q38" s="1217" t="str">
        <f t="shared" si="15"/>
        <v/>
      </c>
      <c r="R38" s="1218" t="str">
        <f t="shared" si="16"/>
        <v/>
      </c>
      <c r="S38" s="1226" t="str">
        <f t="shared" si="17"/>
        <v/>
      </c>
      <c r="T38" s="1221" t="str">
        <f t="shared" si="18"/>
        <v/>
      </c>
      <c r="U38" s="1217" t="str">
        <f t="shared" si="19"/>
        <v/>
      </c>
      <c r="V38" s="1221" t="str">
        <f t="shared" si="20"/>
        <v/>
      </c>
      <c r="W38" s="1225">
        <f t="shared" si="21"/>
        <v>0</v>
      </c>
      <c r="X38" s="1227" t="str">
        <f t="shared" si="22"/>
        <v/>
      </c>
      <c r="Y38" s="1228" t="str">
        <f t="shared" si="23"/>
        <v/>
      </c>
      <c r="Z38" s="1710" t="str">
        <f t="shared" si="24"/>
        <v/>
      </c>
      <c r="AA38" s="1235" t="str">
        <f t="shared" si="25"/>
        <v/>
      </c>
      <c r="AB38" s="1215" t="str">
        <f t="shared" si="26"/>
        <v/>
      </c>
      <c r="AC38" s="1222" t="str">
        <f t="shared" si="27"/>
        <v/>
      </c>
      <c r="AD38" s="1217" t="str">
        <f t="shared" ca="1" si="28"/>
        <v/>
      </c>
      <c r="AE38" s="1221" t="str">
        <f t="shared" ca="1" si="29"/>
        <v/>
      </c>
      <c r="AF38" s="1222" t="str">
        <f t="shared" ca="1" si="30"/>
        <v/>
      </c>
      <c r="AG38" s="1217" t="str">
        <f t="shared" ca="1" si="31"/>
        <v/>
      </c>
      <c r="AH38" s="1221" t="str">
        <f t="shared" ca="1" si="32"/>
        <v/>
      </c>
      <c r="AI38" s="1217" t="str">
        <f t="shared" ca="1" si="33"/>
        <v/>
      </c>
      <c r="AJ38" s="1221" t="str">
        <f t="shared" ca="1" si="34"/>
        <v/>
      </c>
      <c r="AK38" s="1742" t="str">
        <f t="shared" si="35"/>
        <v/>
      </c>
      <c r="AL38" s="1743" t="str">
        <f t="shared" si="36"/>
        <v/>
      </c>
      <c r="AM38" s="1744" t="str">
        <f t="shared" si="35"/>
        <v/>
      </c>
      <c r="AN38" s="1222" t="str">
        <f t="shared" si="35"/>
        <v/>
      </c>
      <c r="AO38" s="1225" t="str">
        <f t="shared" si="35"/>
        <v/>
      </c>
      <c r="AP38" s="1224" t="str">
        <f t="shared" si="37"/>
        <v/>
      </c>
      <c r="AQ38" s="1746" t="str">
        <f t="shared" si="38"/>
        <v/>
      </c>
      <c r="AR38" s="1220" t="str">
        <f t="shared" si="39"/>
        <v/>
      </c>
      <c r="AS38" s="1221" t="str">
        <f t="shared" si="40"/>
        <v/>
      </c>
      <c r="AT38" s="1747" t="str">
        <f t="shared" si="41"/>
        <v/>
      </c>
      <c r="AU38" s="1748" t="str">
        <f t="shared" si="42"/>
        <v/>
      </c>
      <c r="AV38" s="1226" t="str">
        <f t="shared" si="43"/>
        <v/>
      </c>
      <c r="AW38" s="1221" t="str">
        <f t="shared" si="44"/>
        <v/>
      </c>
      <c r="AX38" s="1747" t="str">
        <f t="shared" si="45"/>
        <v/>
      </c>
      <c r="AY38" s="1748" t="str">
        <f t="shared" si="46"/>
        <v/>
      </c>
      <c r="AZ38" s="1226" t="str">
        <f t="shared" si="47"/>
        <v/>
      </c>
      <c r="BA38" s="1221" t="str">
        <f t="shared" si="48"/>
        <v/>
      </c>
      <c r="BB38" s="1747" t="str">
        <f t="shared" si="49"/>
        <v/>
      </c>
      <c r="BC38" s="1748" t="str">
        <f t="shared" si="50"/>
        <v/>
      </c>
      <c r="BD38" s="1226" t="str">
        <f t="shared" si="51"/>
        <v/>
      </c>
      <c r="BE38" s="1221" t="str">
        <f t="shared" si="52"/>
        <v/>
      </c>
      <c r="BF38" s="1747" t="str">
        <f t="shared" si="53"/>
        <v/>
      </c>
      <c r="BG38" s="1748" t="str">
        <f t="shared" si="54"/>
        <v/>
      </c>
      <c r="BH38" s="1417"/>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3">
        <f t="shared" si="62"/>
        <v>6</v>
      </c>
      <c r="BT38" s="990" t="str">
        <f t="shared" si="63"/>
        <v>No</v>
      </c>
      <c r="BU38" s="1303">
        <f t="shared" si="64"/>
        <v>6</v>
      </c>
      <c r="BV38" s="990" t="str">
        <f t="shared" si="65"/>
        <v>No</v>
      </c>
      <c r="BW38" s="991">
        <f t="shared" ca="1" si="66"/>
        <v>0</v>
      </c>
      <c r="BX38" s="991" t="str">
        <f t="shared" ca="1" si="67"/>
        <v/>
      </c>
      <c r="BY38" s="991" t="b">
        <f t="shared" ca="1" si="68"/>
        <v>0</v>
      </c>
      <c r="BZ38" s="991" t="b">
        <f t="shared" si="90"/>
        <v>0</v>
      </c>
      <c r="CB38" s="672"/>
      <c r="CC38" s="1685"/>
      <c r="CD38" s="699"/>
      <c r="CE38" s="700"/>
      <c r="CF38" s="701"/>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725"/>
      <c r="DE38" s="726"/>
      <c r="DF38" s="141"/>
      <c r="DG38" s="141"/>
      <c r="DH38" s="672"/>
      <c r="DI38" s="673"/>
      <c r="DJ38" s="692"/>
      <c r="DK38" s="1332"/>
      <c r="DL38" s="674"/>
      <c r="DM38" s="693"/>
      <c r="DN38" s="1335"/>
      <c r="DO38" s="675"/>
      <c r="DP38" s="676"/>
      <c r="DQ38" s="1420"/>
      <c r="DR38" s="677"/>
      <c r="DS38" s="1420"/>
      <c r="DT38" s="1422"/>
      <c r="DU38" s="1423"/>
      <c r="DV38" s="678"/>
      <c r="DW38" s="1337"/>
      <c r="DX38" s="679"/>
      <c r="DY38" s="674"/>
      <c r="DZ38" s="678"/>
      <c r="EA38" s="1337"/>
      <c r="EB38" s="679"/>
      <c r="EC38" s="674"/>
      <c r="ED38" s="678"/>
      <c r="EE38" s="1337"/>
      <c r="EF38" s="679"/>
      <c r="EG38" s="674"/>
      <c r="EH38" s="678"/>
      <c r="EI38" s="1337"/>
      <c r="EJ38" s="679"/>
      <c r="EK38" s="680"/>
      <c r="EL38" s="241"/>
      <c r="EM38" s="1632" t="str">
        <f t="shared" si="69"/>
        <v/>
      </c>
      <c r="EN38" s="1429" t="str">
        <f t="shared" si="70"/>
        <v/>
      </c>
      <c r="EO38" s="1430" t="str">
        <f t="shared" si="71"/>
        <v/>
      </c>
      <c r="EP38" s="1431" t="str">
        <f t="shared" si="72"/>
        <v/>
      </c>
      <c r="EQ38" s="1435" t="str">
        <f t="shared" si="73"/>
        <v/>
      </c>
      <c r="ER38" s="1441" t="str">
        <f t="shared" si="74"/>
        <v/>
      </c>
      <c r="ES38" s="1442" t="str">
        <f t="shared" si="75"/>
        <v/>
      </c>
      <c r="ET38" s="1443" t="str">
        <f t="shared" si="76"/>
        <v/>
      </c>
      <c r="EU38" s="1444"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581" t="str">
        <f t="shared" si="82"/>
        <v/>
      </c>
      <c r="GB38" s="623" t="str">
        <f t="shared" si="83"/>
        <v/>
      </c>
      <c r="GC38" s="625" t="str">
        <f t="shared" si="84"/>
        <v/>
      </c>
      <c r="GD38" s="626" t="str">
        <f t="shared" si="85"/>
        <v/>
      </c>
      <c r="GE38" s="624" t="str">
        <f t="shared" si="86"/>
        <v/>
      </c>
      <c r="GF38" s="582" t="str">
        <f t="shared" si="87"/>
        <v/>
      </c>
      <c r="GG38" s="692"/>
      <c r="GH38" s="1136"/>
      <c r="GI38" s="692"/>
      <c r="GJ38" s="1136"/>
      <c r="GK38" s="1641">
        <f t="shared" si="88"/>
        <v>0</v>
      </c>
      <c r="GL38" s="1641" t="e">
        <f t="shared" si="89"/>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9"/>
        <v>0</v>
      </c>
    </row>
    <row r="39" spans="1:272" ht="12.6" customHeight="1" x14ac:dyDescent="0.25">
      <c r="A39" s="1215" t="str">
        <f t="shared" si="0"/>
        <v/>
      </c>
      <c r="B39" s="1709" t="str">
        <f t="shared" si="1"/>
        <v/>
      </c>
      <c r="C39" s="1216" t="str">
        <f t="shared" si="2"/>
        <v/>
      </c>
      <c r="D39" s="1217" t="str">
        <f t="shared" si="3"/>
        <v/>
      </c>
      <c r="E39" s="1218" t="str">
        <f t="shared" si="4"/>
        <v/>
      </c>
      <c r="F39" s="1219" t="str">
        <f t="shared" si="5"/>
        <v/>
      </c>
      <c r="G39" s="1220" t="str">
        <f t="shared" si="6"/>
        <v/>
      </c>
      <c r="H39" s="1221" t="str">
        <f t="shared" si="7"/>
        <v/>
      </c>
      <c r="I39" s="1222" t="str">
        <f t="shared" si="8"/>
        <v/>
      </c>
      <c r="J39" s="1217" t="str">
        <f t="shared" si="9"/>
        <v/>
      </c>
      <c r="K39" s="1221" t="str">
        <f t="shared" si="10"/>
        <v/>
      </c>
      <c r="L39" s="1223" t="str">
        <f t="shared" si="11"/>
        <v/>
      </c>
      <c r="M39" s="1224" t="str">
        <f t="shared" si="12"/>
        <v/>
      </c>
      <c r="N39" s="1225" t="str">
        <f t="shared" si="12"/>
        <v/>
      </c>
      <c r="O39" s="1220" t="str">
        <f t="shared" si="13"/>
        <v/>
      </c>
      <c r="P39" s="1221" t="str">
        <f t="shared" si="14"/>
        <v/>
      </c>
      <c r="Q39" s="1217" t="str">
        <f t="shared" si="15"/>
        <v/>
      </c>
      <c r="R39" s="1218" t="str">
        <f t="shared" si="16"/>
        <v/>
      </c>
      <c r="S39" s="1226" t="str">
        <f t="shared" si="17"/>
        <v/>
      </c>
      <c r="T39" s="1221" t="str">
        <f t="shared" si="18"/>
        <v/>
      </c>
      <c r="U39" s="1217" t="str">
        <f t="shared" si="19"/>
        <v/>
      </c>
      <c r="V39" s="1221" t="str">
        <f t="shared" si="20"/>
        <v/>
      </c>
      <c r="W39" s="1225">
        <f t="shared" si="21"/>
        <v>0</v>
      </c>
      <c r="X39" s="1227" t="str">
        <f t="shared" si="22"/>
        <v/>
      </c>
      <c r="Y39" s="1228" t="str">
        <f t="shared" si="23"/>
        <v/>
      </c>
      <c r="Z39" s="1710" t="str">
        <f t="shared" si="24"/>
        <v/>
      </c>
      <c r="AA39" s="1235" t="str">
        <f t="shared" si="25"/>
        <v/>
      </c>
      <c r="AB39" s="1215" t="str">
        <f t="shared" si="26"/>
        <v/>
      </c>
      <c r="AC39" s="1222" t="str">
        <f t="shared" si="27"/>
        <v/>
      </c>
      <c r="AD39" s="1217" t="str">
        <f t="shared" ca="1" si="28"/>
        <v/>
      </c>
      <c r="AE39" s="1221" t="str">
        <f t="shared" ca="1" si="29"/>
        <v/>
      </c>
      <c r="AF39" s="1222" t="str">
        <f t="shared" ca="1" si="30"/>
        <v/>
      </c>
      <c r="AG39" s="1217" t="str">
        <f t="shared" ca="1" si="31"/>
        <v/>
      </c>
      <c r="AH39" s="1221" t="str">
        <f t="shared" ca="1" si="32"/>
        <v/>
      </c>
      <c r="AI39" s="1217" t="str">
        <f t="shared" ca="1" si="33"/>
        <v/>
      </c>
      <c r="AJ39" s="1221" t="str">
        <f t="shared" ca="1" si="34"/>
        <v/>
      </c>
      <c r="AK39" s="1742" t="str">
        <f t="shared" si="35"/>
        <v/>
      </c>
      <c r="AL39" s="1743" t="str">
        <f t="shared" si="36"/>
        <v/>
      </c>
      <c r="AM39" s="1744" t="str">
        <f t="shared" si="35"/>
        <v/>
      </c>
      <c r="AN39" s="1222" t="str">
        <f t="shared" si="35"/>
        <v/>
      </c>
      <c r="AO39" s="1225" t="str">
        <f t="shared" si="35"/>
        <v/>
      </c>
      <c r="AP39" s="1224" t="str">
        <f t="shared" si="37"/>
        <v/>
      </c>
      <c r="AQ39" s="1746" t="str">
        <f t="shared" si="38"/>
        <v/>
      </c>
      <c r="AR39" s="1220" t="str">
        <f t="shared" si="39"/>
        <v/>
      </c>
      <c r="AS39" s="1221" t="str">
        <f t="shared" si="40"/>
        <v/>
      </c>
      <c r="AT39" s="1747" t="str">
        <f t="shared" si="41"/>
        <v/>
      </c>
      <c r="AU39" s="1748" t="str">
        <f t="shared" si="42"/>
        <v/>
      </c>
      <c r="AV39" s="1226" t="str">
        <f t="shared" si="43"/>
        <v/>
      </c>
      <c r="AW39" s="1221" t="str">
        <f t="shared" si="44"/>
        <v/>
      </c>
      <c r="AX39" s="1747" t="str">
        <f t="shared" si="45"/>
        <v/>
      </c>
      <c r="AY39" s="1748" t="str">
        <f t="shared" si="46"/>
        <v/>
      </c>
      <c r="AZ39" s="1226" t="str">
        <f t="shared" si="47"/>
        <v/>
      </c>
      <c r="BA39" s="1221" t="str">
        <f t="shared" si="48"/>
        <v/>
      </c>
      <c r="BB39" s="1747" t="str">
        <f t="shared" si="49"/>
        <v/>
      </c>
      <c r="BC39" s="1748" t="str">
        <f t="shared" si="50"/>
        <v/>
      </c>
      <c r="BD39" s="1226" t="str">
        <f t="shared" si="51"/>
        <v/>
      </c>
      <c r="BE39" s="1221" t="str">
        <f t="shared" si="52"/>
        <v/>
      </c>
      <c r="BF39" s="1747" t="str">
        <f t="shared" si="53"/>
        <v/>
      </c>
      <c r="BG39" s="1748" t="str">
        <f t="shared" si="54"/>
        <v/>
      </c>
      <c r="BH39" s="1417"/>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3">
        <f t="shared" si="62"/>
        <v>6</v>
      </c>
      <c r="BT39" s="990" t="str">
        <f t="shared" si="63"/>
        <v>No</v>
      </c>
      <c r="BU39" s="1303">
        <f t="shared" si="64"/>
        <v>6</v>
      </c>
      <c r="BV39" s="990" t="str">
        <f t="shared" si="65"/>
        <v>No</v>
      </c>
      <c r="BW39" s="991">
        <f t="shared" ca="1" si="66"/>
        <v>0</v>
      </c>
      <c r="BX39" s="991" t="str">
        <f t="shared" ca="1" si="67"/>
        <v/>
      </c>
      <c r="BY39" s="991" t="b">
        <f t="shared" ca="1" si="68"/>
        <v>0</v>
      </c>
      <c r="BZ39" s="991" t="b">
        <f t="shared" si="90"/>
        <v>0</v>
      </c>
      <c r="CB39" s="672"/>
      <c r="CC39" s="1685"/>
      <c r="CD39" s="699"/>
      <c r="CE39" s="700"/>
      <c r="CF39" s="701"/>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725"/>
      <c r="DE39" s="726"/>
      <c r="DF39" s="141"/>
      <c r="DG39" s="141"/>
      <c r="DH39" s="672"/>
      <c r="DI39" s="673"/>
      <c r="DJ39" s="692"/>
      <c r="DK39" s="1332"/>
      <c r="DL39" s="674"/>
      <c r="DM39" s="693"/>
      <c r="DN39" s="1335"/>
      <c r="DO39" s="675"/>
      <c r="DP39" s="676"/>
      <c r="DQ39" s="1420"/>
      <c r="DR39" s="677"/>
      <c r="DS39" s="1420"/>
      <c r="DT39" s="1422"/>
      <c r="DU39" s="1423"/>
      <c r="DV39" s="678"/>
      <c r="DW39" s="1337"/>
      <c r="DX39" s="679"/>
      <c r="DY39" s="674"/>
      <c r="DZ39" s="678"/>
      <c r="EA39" s="1337"/>
      <c r="EB39" s="679"/>
      <c r="EC39" s="674"/>
      <c r="ED39" s="678"/>
      <c r="EE39" s="1337"/>
      <c r="EF39" s="679"/>
      <c r="EG39" s="674"/>
      <c r="EH39" s="678"/>
      <c r="EI39" s="1337"/>
      <c r="EJ39" s="679"/>
      <c r="EK39" s="680"/>
      <c r="EL39" s="241"/>
      <c r="EM39" s="1632" t="str">
        <f t="shared" si="69"/>
        <v/>
      </c>
      <c r="EN39" s="1429" t="str">
        <f t="shared" si="70"/>
        <v/>
      </c>
      <c r="EO39" s="1430" t="str">
        <f t="shared" si="71"/>
        <v/>
      </c>
      <c r="EP39" s="1431" t="str">
        <f t="shared" si="72"/>
        <v/>
      </c>
      <c r="EQ39" s="1435" t="str">
        <f t="shared" si="73"/>
        <v/>
      </c>
      <c r="ER39" s="1441" t="str">
        <f t="shared" si="74"/>
        <v/>
      </c>
      <c r="ES39" s="1442" t="str">
        <f t="shared" si="75"/>
        <v/>
      </c>
      <c r="ET39" s="1443" t="str">
        <f t="shared" si="76"/>
        <v/>
      </c>
      <c r="EU39" s="1444"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581" t="str">
        <f t="shared" si="82"/>
        <v/>
      </c>
      <c r="GB39" s="623" t="str">
        <f t="shared" si="83"/>
        <v/>
      </c>
      <c r="GC39" s="625" t="str">
        <f t="shared" si="84"/>
        <v/>
      </c>
      <c r="GD39" s="626" t="str">
        <f t="shared" si="85"/>
        <v/>
      </c>
      <c r="GE39" s="624" t="str">
        <f t="shared" si="86"/>
        <v/>
      </c>
      <c r="GF39" s="582" t="str">
        <f t="shared" si="87"/>
        <v/>
      </c>
      <c r="GG39" s="692"/>
      <c r="GH39" s="1136"/>
      <c r="GI39" s="692"/>
      <c r="GJ39" s="1136"/>
      <c r="GK39" s="1641">
        <f t="shared" si="88"/>
        <v>0</v>
      </c>
      <c r="GL39" s="1641" t="e">
        <f t="shared" si="89"/>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9"/>
        <v>0</v>
      </c>
    </row>
    <row r="40" spans="1:272" ht="12.6" customHeight="1" x14ac:dyDescent="0.25">
      <c r="A40" s="1215" t="str">
        <f t="shared" si="0"/>
        <v/>
      </c>
      <c r="B40" s="1709" t="str">
        <f t="shared" si="1"/>
        <v/>
      </c>
      <c r="C40" s="1216" t="str">
        <f t="shared" si="2"/>
        <v/>
      </c>
      <c r="D40" s="1217" t="str">
        <f t="shared" si="3"/>
        <v/>
      </c>
      <c r="E40" s="1218" t="str">
        <f t="shared" si="4"/>
        <v/>
      </c>
      <c r="F40" s="1219" t="str">
        <f t="shared" si="5"/>
        <v/>
      </c>
      <c r="G40" s="1220" t="str">
        <f t="shared" si="6"/>
        <v/>
      </c>
      <c r="H40" s="1221" t="str">
        <f t="shared" si="7"/>
        <v/>
      </c>
      <c r="I40" s="1222" t="str">
        <f t="shared" si="8"/>
        <v/>
      </c>
      <c r="J40" s="1217" t="str">
        <f t="shared" si="9"/>
        <v/>
      </c>
      <c r="K40" s="1221" t="str">
        <f t="shared" si="10"/>
        <v/>
      </c>
      <c r="L40" s="1223" t="str">
        <f t="shared" si="11"/>
        <v/>
      </c>
      <c r="M40" s="1224" t="str">
        <f t="shared" si="12"/>
        <v/>
      </c>
      <c r="N40" s="1225" t="str">
        <f t="shared" si="12"/>
        <v/>
      </c>
      <c r="O40" s="1220" t="str">
        <f t="shared" si="13"/>
        <v/>
      </c>
      <c r="P40" s="1221" t="str">
        <f t="shared" si="14"/>
        <v/>
      </c>
      <c r="Q40" s="1217" t="str">
        <f t="shared" si="15"/>
        <v/>
      </c>
      <c r="R40" s="1218" t="str">
        <f t="shared" si="16"/>
        <v/>
      </c>
      <c r="S40" s="1226" t="str">
        <f t="shared" si="17"/>
        <v/>
      </c>
      <c r="T40" s="1221" t="str">
        <f t="shared" si="18"/>
        <v/>
      </c>
      <c r="U40" s="1217" t="str">
        <f t="shared" si="19"/>
        <v/>
      </c>
      <c r="V40" s="1221" t="str">
        <f t="shared" si="20"/>
        <v/>
      </c>
      <c r="W40" s="1225">
        <f t="shared" si="21"/>
        <v>0</v>
      </c>
      <c r="X40" s="1227" t="str">
        <f t="shared" si="22"/>
        <v/>
      </c>
      <c r="Y40" s="1228" t="str">
        <f t="shared" si="23"/>
        <v/>
      </c>
      <c r="Z40" s="1710" t="str">
        <f t="shared" si="24"/>
        <v/>
      </c>
      <c r="AA40" s="1235" t="str">
        <f t="shared" si="25"/>
        <v/>
      </c>
      <c r="AB40" s="1215" t="str">
        <f t="shared" si="26"/>
        <v/>
      </c>
      <c r="AC40" s="1222" t="str">
        <f t="shared" si="27"/>
        <v/>
      </c>
      <c r="AD40" s="1217" t="str">
        <f t="shared" ca="1" si="28"/>
        <v/>
      </c>
      <c r="AE40" s="1221" t="str">
        <f t="shared" ca="1" si="29"/>
        <v/>
      </c>
      <c r="AF40" s="1222" t="str">
        <f t="shared" ca="1" si="30"/>
        <v/>
      </c>
      <c r="AG40" s="1217" t="str">
        <f t="shared" ca="1" si="31"/>
        <v/>
      </c>
      <c r="AH40" s="1221" t="str">
        <f t="shared" ca="1" si="32"/>
        <v/>
      </c>
      <c r="AI40" s="1217" t="str">
        <f t="shared" ca="1" si="33"/>
        <v/>
      </c>
      <c r="AJ40" s="1221" t="str">
        <f t="shared" ca="1" si="34"/>
        <v/>
      </c>
      <c r="AK40" s="1742" t="str">
        <f t="shared" si="35"/>
        <v/>
      </c>
      <c r="AL40" s="1743" t="str">
        <f t="shared" si="36"/>
        <v/>
      </c>
      <c r="AM40" s="1744" t="str">
        <f t="shared" si="35"/>
        <v/>
      </c>
      <c r="AN40" s="1222" t="str">
        <f t="shared" si="35"/>
        <v/>
      </c>
      <c r="AO40" s="1225" t="str">
        <f t="shared" si="35"/>
        <v/>
      </c>
      <c r="AP40" s="1224" t="str">
        <f t="shared" si="37"/>
        <v/>
      </c>
      <c r="AQ40" s="1746" t="str">
        <f t="shared" si="38"/>
        <v/>
      </c>
      <c r="AR40" s="1220" t="str">
        <f t="shared" si="39"/>
        <v/>
      </c>
      <c r="AS40" s="1221" t="str">
        <f t="shared" si="40"/>
        <v/>
      </c>
      <c r="AT40" s="1747" t="str">
        <f t="shared" si="41"/>
        <v/>
      </c>
      <c r="AU40" s="1748" t="str">
        <f t="shared" si="42"/>
        <v/>
      </c>
      <c r="AV40" s="1226" t="str">
        <f t="shared" si="43"/>
        <v/>
      </c>
      <c r="AW40" s="1221" t="str">
        <f t="shared" si="44"/>
        <v/>
      </c>
      <c r="AX40" s="1747" t="str">
        <f t="shared" si="45"/>
        <v/>
      </c>
      <c r="AY40" s="1748" t="str">
        <f t="shared" si="46"/>
        <v/>
      </c>
      <c r="AZ40" s="1226" t="str">
        <f t="shared" si="47"/>
        <v/>
      </c>
      <c r="BA40" s="1221" t="str">
        <f t="shared" si="48"/>
        <v/>
      </c>
      <c r="BB40" s="1747" t="str">
        <f t="shared" si="49"/>
        <v/>
      </c>
      <c r="BC40" s="1748" t="str">
        <f t="shared" si="50"/>
        <v/>
      </c>
      <c r="BD40" s="1226" t="str">
        <f t="shared" si="51"/>
        <v/>
      </c>
      <c r="BE40" s="1221" t="str">
        <f t="shared" si="52"/>
        <v/>
      </c>
      <c r="BF40" s="1747" t="str">
        <f t="shared" si="53"/>
        <v/>
      </c>
      <c r="BG40" s="1748" t="str">
        <f t="shared" si="54"/>
        <v/>
      </c>
      <c r="BH40" s="1417"/>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3">
        <f t="shared" si="62"/>
        <v>6</v>
      </c>
      <c r="BT40" s="990" t="str">
        <f t="shared" si="63"/>
        <v>No</v>
      </c>
      <c r="BU40" s="1303">
        <f t="shared" si="64"/>
        <v>6</v>
      </c>
      <c r="BV40" s="990" t="str">
        <f t="shared" si="65"/>
        <v>No</v>
      </c>
      <c r="BW40" s="991">
        <f t="shared" ca="1" si="66"/>
        <v>0</v>
      </c>
      <c r="BX40" s="991" t="str">
        <f t="shared" ca="1" si="67"/>
        <v/>
      </c>
      <c r="BY40" s="991" t="b">
        <f t="shared" ca="1" si="68"/>
        <v>0</v>
      </c>
      <c r="BZ40" s="991" t="b">
        <f t="shared" si="90"/>
        <v>0</v>
      </c>
      <c r="CB40" s="672"/>
      <c r="CC40" s="1685"/>
      <c r="CD40" s="699"/>
      <c r="CE40" s="700"/>
      <c r="CF40" s="701"/>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725"/>
      <c r="DE40" s="726"/>
      <c r="DF40" s="141"/>
      <c r="DG40" s="141"/>
      <c r="DH40" s="672"/>
      <c r="DI40" s="673"/>
      <c r="DJ40" s="692"/>
      <c r="DK40" s="1332"/>
      <c r="DL40" s="674"/>
      <c r="DM40" s="693"/>
      <c r="DN40" s="1335"/>
      <c r="DO40" s="675"/>
      <c r="DP40" s="676"/>
      <c r="DQ40" s="1420"/>
      <c r="DR40" s="677"/>
      <c r="DS40" s="1420"/>
      <c r="DT40" s="1422"/>
      <c r="DU40" s="1423"/>
      <c r="DV40" s="678"/>
      <c r="DW40" s="1337"/>
      <c r="DX40" s="679"/>
      <c r="DY40" s="674"/>
      <c r="DZ40" s="678"/>
      <c r="EA40" s="1337"/>
      <c r="EB40" s="679"/>
      <c r="EC40" s="674"/>
      <c r="ED40" s="678"/>
      <c r="EE40" s="1337"/>
      <c r="EF40" s="679"/>
      <c r="EG40" s="674"/>
      <c r="EH40" s="678"/>
      <c r="EI40" s="1337"/>
      <c r="EJ40" s="679"/>
      <c r="EK40" s="680"/>
      <c r="EL40" s="241"/>
      <c r="EM40" s="1632" t="str">
        <f t="shared" si="69"/>
        <v/>
      </c>
      <c r="EN40" s="1429" t="str">
        <f t="shared" si="70"/>
        <v/>
      </c>
      <c r="EO40" s="1430" t="str">
        <f t="shared" si="71"/>
        <v/>
      </c>
      <c r="EP40" s="1431" t="str">
        <f t="shared" si="72"/>
        <v/>
      </c>
      <c r="EQ40" s="1435" t="str">
        <f t="shared" si="73"/>
        <v/>
      </c>
      <c r="ER40" s="1441" t="str">
        <f t="shared" si="74"/>
        <v/>
      </c>
      <c r="ES40" s="1442" t="str">
        <f t="shared" si="75"/>
        <v/>
      </c>
      <c r="ET40" s="1443" t="str">
        <f t="shared" si="76"/>
        <v/>
      </c>
      <c r="EU40" s="1444"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581" t="str">
        <f t="shared" si="82"/>
        <v/>
      </c>
      <c r="GB40" s="623" t="str">
        <f t="shared" si="83"/>
        <v/>
      </c>
      <c r="GC40" s="625" t="str">
        <f t="shared" si="84"/>
        <v/>
      </c>
      <c r="GD40" s="626" t="str">
        <f t="shared" si="85"/>
        <v/>
      </c>
      <c r="GE40" s="624" t="str">
        <f t="shared" si="86"/>
        <v/>
      </c>
      <c r="GF40" s="582" t="str">
        <f t="shared" si="87"/>
        <v/>
      </c>
      <c r="GG40" s="692"/>
      <c r="GH40" s="1136"/>
      <c r="GI40" s="692"/>
      <c r="GJ40" s="1136"/>
      <c r="GK40" s="1641">
        <f t="shared" si="88"/>
        <v>0</v>
      </c>
      <c r="GL40" s="1641" t="e">
        <f t="shared" si="89"/>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9"/>
        <v>0</v>
      </c>
    </row>
    <row r="41" spans="1:272" ht="12.6" customHeight="1" x14ac:dyDescent="0.25">
      <c r="A41" s="1215" t="str">
        <f t="shared" si="0"/>
        <v/>
      </c>
      <c r="B41" s="1709" t="str">
        <f t="shared" si="1"/>
        <v/>
      </c>
      <c r="C41" s="1216" t="str">
        <f t="shared" si="2"/>
        <v/>
      </c>
      <c r="D41" s="1217" t="str">
        <f t="shared" si="3"/>
        <v/>
      </c>
      <c r="E41" s="1218" t="str">
        <f t="shared" si="4"/>
        <v/>
      </c>
      <c r="F41" s="1219" t="str">
        <f t="shared" si="5"/>
        <v/>
      </c>
      <c r="G41" s="1220" t="str">
        <f t="shared" si="6"/>
        <v/>
      </c>
      <c r="H41" s="1221" t="str">
        <f t="shared" si="7"/>
        <v/>
      </c>
      <c r="I41" s="1222" t="str">
        <f t="shared" si="8"/>
        <v/>
      </c>
      <c r="J41" s="1217" t="str">
        <f t="shared" si="9"/>
        <v/>
      </c>
      <c r="K41" s="1221" t="str">
        <f t="shared" si="10"/>
        <v/>
      </c>
      <c r="L41" s="1223" t="str">
        <f t="shared" si="11"/>
        <v/>
      </c>
      <c r="M41" s="1224" t="str">
        <f t="shared" si="12"/>
        <v/>
      </c>
      <c r="N41" s="1225" t="str">
        <f t="shared" si="12"/>
        <v/>
      </c>
      <c r="O41" s="1220" t="str">
        <f t="shared" si="13"/>
        <v/>
      </c>
      <c r="P41" s="1221" t="str">
        <f t="shared" si="14"/>
        <v/>
      </c>
      <c r="Q41" s="1217" t="str">
        <f t="shared" si="15"/>
        <v/>
      </c>
      <c r="R41" s="1218" t="str">
        <f t="shared" si="16"/>
        <v/>
      </c>
      <c r="S41" s="1226" t="str">
        <f t="shared" si="17"/>
        <v/>
      </c>
      <c r="T41" s="1221" t="str">
        <f t="shared" si="18"/>
        <v/>
      </c>
      <c r="U41" s="1217" t="str">
        <f t="shared" si="19"/>
        <v/>
      </c>
      <c r="V41" s="1221" t="str">
        <f t="shared" si="20"/>
        <v/>
      </c>
      <c r="W41" s="1225">
        <f t="shared" si="21"/>
        <v>0</v>
      </c>
      <c r="X41" s="1227" t="str">
        <f t="shared" si="22"/>
        <v/>
      </c>
      <c r="Y41" s="1228" t="str">
        <f t="shared" si="23"/>
        <v/>
      </c>
      <c r="Z41" s="1710" t="str">
        <f t="shared" si="24"/>
        <v/>
      </c>
      <c r="AA41" s="1235" t="str">
        <f t="shared" si="25"/>
        <v/>
      </c>
      <c r="AB41" s="1215" t="str">
        <f t="shared" si="26"/>
        <v/>
      </c>
      <c r="AC41" s="1222" t="str">
        <f t="shared" si="27"/>
        <v/>
      </c>
      <c r="AD41" s="1217" t="str">
        <f t="shared" ca="1" si="28"/>
        <v/>
      </c>
      <c r="AE41" s="1221" t="str">
        <f t="shared" ca="1" si="29"/>
        <v/>
      </c>
      <c r="AF41" s="1222" t="str">
        <f t="shared" ca="1" si="30"/>
        <v/>
      </c>
      <c r="AG41" s="1217" t="str">
        <f t="shared" ca="1" si="31"/>
        <v/>
      </c>
      <c r="AH41" s="1221" t="str">
        <f t="shared" ca="1" si="32"/>
        <v/>
      </c>
      <c r="AI41" s="1217" t="str">
        <f t="shared" ca="1" si="33"/>
        <v/>
      </c>
      <c r="AJ41" s="1221" t="str">
        <f t="shared" ca="1" si="34"/>
        <v/>
      </c>
      <c r="AK41" s="1742" t="str">
        <f t="shared" si="35"/>
        <v/>
      </c>
      <c r="AL41" s="1743" t="str">
        <f t="shared" si="36"/>
        <v/>
      </c>
      <c r="AM41" s="1744" t="str">
        <f t="shared" si="35"/>
        <v/>
      </c>
      <c r="AN41" s="1222" t="str">
        <f t="shared" si="35"/>
        <v/>
      </c>
      <c r="AO41" s="1225" t="str">
        <f t="shared" si="35"/>
        <v/>
      </c>
      <c r="AP41" s="1224" t="str">
        <f t="shared" si="37"/>
        <v/>
      </c>
      <c r="AQ41" s="1746" t="str">
        <f t="shared" si="38"/>
        <v/>
      </c>
      <c r="AR41" s="1220" t="str">
        <f t="shared" si="39"/>
        <v/>
      </c>
      <c r="AS41" s="1221" t="str">
        <f t="shared" si="40"/>
        <v/>
      </c>
      <c r="AT41" s="1747" t="str">
        <f t="shared" si="41"/>
        <v/>
      </c>
      <c r="AU41" s="1748" t="str">
        <f t="shared" si="42"/>
        <v/>
      </c>
      <c r="AV41" s="1226" t="str">
        <f t="shared" si="43"/>
        <v/>
      </c>
      <c r="AW41" s="1221" t="str">
        <f t="shared" si="44"/>
        <v/>
      </c>
      <c r="AX41" s="1747" t="str">
        <f t="shared" si="45"/>
        <v/>
      </c>
      <c r="AY41" s="1748" t="str">
        <f t="shared" si="46"/>
        <v/>
      </c>
      <c r="AZ41" s="1226" t="str">
        <f t="shared" si="47"/>
        <v/>
      </c>
      <c r="BA41" s="1221" t="str">
        <f t="shared" si="48"/>
        <v/>
      </c>
      <c r="BB41" s="1747" t="str">
        <f t="shared" si="49"/>
        <v/>
      </c>
      <c r="BC41" s="1748" t="str">
        <f t="shared" si="50"/>
        <v/>
      </c>
      <c r="BD41" s="1226" t="str">
        <f t="shared" si="51"/>
        <v/>
      </c>
      <c r="BE41" s="1221" t="str">
        <f t="shared" si="52"/>
        <v/>
      </c>
      <c r="BF41" s="1747" t="str">
        <f t="shared" si="53"/>
        <v/>
      </c>
      <c r="BG41" s="1748" t="str">
        <f t="shared" si="54"/>
        <v/>
      </c>
      <c r="BH41" s="1417"/>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3">
        <f t="shared" si="62"/>
        <v>6</v>
      </c>
      <c r="BT41" s="990" t="str">
        <f t="shared" si="63"/>
        <v>No</v>
      </c>
      <c r="BU41" s="1303">
        <f t="shared" si="64"/>
        <v>6</v>
      </c>
      <c r="BV41" s="990" t="str">
        <f t="shared" si="65"/>
        <v>No</v>
      </c>
      <c r="BW41" s="991">
        <f t="shared" ca="1" si="66"/>
        <v>0</v>
      </c>
      <c r="BX41" s="991" t="str">
        <f t="shared" ca="1" si="67"/>
        <v/>
      </c>
      <c r="BY41" s="991" t="b">
        <f t="shared" ca="1" si="68"/>
        <v>0</v>
      </c>
      <c r="BZ41" s="991" t="b">
        <f t="shared" si="90"/>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9"/>
        <v/>
      </c>
      <c r="EN41" s="1429" t="str">
        <f t="shared" si="70"/>
        <v/>
      </c>
      <c r="EO41" s="1430" t="str">
        <f t="shared" si="71"/>
        <v/>
      </c>
      <c r="EP41" s="1431" t="str">
        <f t="shared" si="72"/>
        <v/>
      </c>
      <c r="EQ41" s="1435" t="str">
        <f t="shared" si="73"/>
        <v/>
      </c>
      <c r="ER41" s="1441" t="str">
        <f t="shared" si="74"/>
        <v/>
      </c>
      <c r="ES41" s="1442" t="str">
        <f t="shared" si="75"/>
        <v/>
      </c>
      <c r="ET41" s="1443" t="str">
        <f t="shared" si="76"/>
        <v/>
      </c>
      <c r="EU41" s="1444"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581" t="str">
        <f t="shared" si="82"/>
        <v/>
      </c>
      <c r="GB41" s="623" t="str">
        <f t="shared" si="83"/>
        <v/>
      </c>
      <c r="GC41" s="625" t="str">
        <f t="shared" si="84"/>
        <v/>
      </c>
      <c r="GD41" s="626" t="str">
        <f t="shared" si="85"/>
        <v/>
      </c>
      <c r="GE41" s="624" t="str">
        <f t="shared" si="86"/>
        <v/>
      </c>
      <c r="GF41" s="582" t="str">
        <f t="shared" si="87"/>
        <v/>
      </c>
      <c r="GG41" s="692"/>
      <c r="GH41" s="1136"/>
      <c r="GI41" s="692"/>
      <c r="GJ41" s="1136"/>
      <c r="GK41" s="1641">
        <f t="shared" si="88"/>
        <v>0</v>
      </c>
      <c r="GL41" s="1641" t="e">
        <f t="shared" si="89"/>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9"/>
        <v>0</v>
      </c>
    </row>
    <row r="42" spans="1:272" ht="12.6" customHeight="1" x14ac:dyDescent="0.25">
      <c r="A42" s="1215" t="str">
        <f t="shared" si="0"/>
        <v/>
      </c>
      <c r="B42" s="1709" t="str">
        <f t="shared" si="1"/>
        <v/>
      </c>
      <c r="C42" s="1216" t="str">
        <f t="shared" si="2"/>
        <v/>
      </c>
      <c r="D42" s="1217" t="str">
        <f t="shared" si="3"/>
        <v/>
      </c>
      <c r="E42" s="1218" t="str">
        <f t="shared" si="4"/>
        <v/>
      </c>
      <c r="F42" s="1219" t="str">
        <f t="shared" si="5"/>
        <v/>
      </c>
      <c r="G42" s="1220" t="str">
        <f t="shared" si="6"/>
        <v/>
      </c>
      <c r="H42" s="1221" t="str">
        <f t="shared" si="7"/>
        <v/>
      </c>
      <c r="I42" s="1222" t="str">
        <f t="shared" si="8"/>
        <v/>
      </c>
      <c r="J42" s="1217" t="str">
        <f t="shared" si="9"/>
        <v/>
      </c>
      <c r="K42" s="1221" t="str">
        <f t="shared" si="10"/>
        <v/>
      </c>
      <c r="L42" s="1223" t="str">
        <f t="shared" si="11"/>
        <v/>
      </c>
      <c r="M42" s="1224" t="str">
        <f t="shared" si="12"/>
        <v/>
      </c>
      <c r="N42" s="1225" t="str">
        <f t="shared" si="12"/>
        <v/>
      </c>
      <c r="O42" s="1220" t="str">
        <f t="shared" si="13"/>
        <v/>
      </c>
      <c r="P42" s="1221" t="str">
        <f t="shared" si="14"/>
        <v/>
      </c>
      <c r="Q42" s="1217" t="str">
        <f t="shared" si="15"/>
        <v/>
      </c>
      <c r="R42" s="1218" t="str">
        <f t="shared" si="16"/>
        <v/>
      </c>
      <c r="S42" s="1226" t="str">
        <f t="shared" si="17"/>
        <v/>
      </c>
      <c r="T42" s="1221" t="str">
        <f t="shared" si="18"/>
        <v/>
      </c>
      <c r="U42" s="1217" t="str">
        <f t="shared" si="19"/>
        <v/>
      </c>
      <c r="V42" s="1221" t="str">
        <f t="shared" si="20"/>
        <v/>
      </c>
      <c r="W42" s="1225">
        <f t="shared" si="21"/>
        <v>0</v>
      </c>
      <c r="X42" s="1227" t="str">
        <f t="shared" si="22"/>
        <v/>
      </c>
      <c r="Y42" s="1228" t="str">
        <f t="shared" si="23"/>
        <v/>
      </c>
      <c r="Z42" s="1710" t="str">
        <f t="shared" si="24"/>
        <v/>
      </c>
      <c r="AA42" s="1235" t="str">
        <f t="shared" si="25"/>
        <v/>
      </c>
      <c r="AB42" s="1215" t="str">
        <f t="shared" si="26"/>
        <v/>
      </c>
      <c r="AC42" s="1222" t="str">
        <f t="shared" si="27"/>
        <v/>
      </c>
      <c r="AD42" s="1217" t="str">
        <f t="shared" ca="1" si="28"/>
        <v/>
      </c>
      <c r="AE42" s="1221" t="str">
        <f t="shared" ca="1" si="29"/>
        <v/>
      </c>
      <c r="AF42" s="1222" t="str">
        <f t="shared" ca="1" si="30"/>
        <v/>
      </c>
      <c r="AG42" s="1217" t="str">
        <f t="shared" ca="1" si="31"/>
        <v/>
      </c>
      <c r="AH42" s="1221" t="str">
        <f t="shared" ca="1" si="32"/>
        <v/>
      </c>
      <c r="AI42" s="1217" t="str">
        <f t="shared" ca="1" si="33"/>
        <v/>
      </c>
      <c r="AJ42" s="1221" t="str">
        <f t="shared" ca="1" si="34"/>
        <v/>
      </c>
      <c r="AK42" s="1742" t="str">
        <f t="shared" si="35"/>
        <v/>
      </c>
      <c r="AL42" s="1743" t="str">
        <f t="shared" si="36"/>
        <v/>
      </c>
      <c r="AM42" s="1744" t="str">
        <f t="shared" si="35"/>
        <v/>
      </c>
      <c r="AN42" s="1222" t="str">
        <f t="shared" si="35"/>
        <v/>
      </c>
      <c r="AO42" s="1225" t="str">
        <f t="shared" si="35"/>
        <v/>
      </c>
      <c r="AP42" s="1224" t="str">
        <f t="shared" si="37"/>
        <v/>
      </c>
      <c r="AQ42" s="1746" t="str">
        <f t="shared" si="38"/>
        <v/>
      </c>
      <c r="AR42" s="1220" t="str">
        <f t="shared" si="39"/>
        <v/>
      </c>
      <c r="AS42" s="1221" t="str">
        <f t="shared" si="40"/>
        <v/>
      </c>
      <c r="AT42" s="1747" t="str">
        <f t="shared" si="41"/>
        <v/>
      </c>
      <c r="AU42" s="1748" t="str">
        <f t="shared" si="42"/>
        <v/>
      </c>
      <c r="AV42" s="1226" t="str">
        <f t="shared" si="43"/>
        <v/>
      </c>
      <c r="AW42" s="1221" t="str">
        <f t="shared" si="44"/>
        <v/>
      </c>
      <c r="AX42" s="1747" t="str">
        <f t="shared" si="45"/>
        <v/>
      </c>
      <c r="AY42" s="1748" t="str">
        <f t="shared" si="46"/>
        <v/>
      </c>
      <c r="AZ42" s="1226" t="str">
        <f t="shared" si="47"/>
        <v/>
      </c>
      <c r="BA42" s="1221" t="str">
        <f t="shared" si="48"/>
        <v/>
      </c>
      <c r="BB42" s="1747" t="str">
        <f t="shared" si="49"/>
        <v/>
      </c>
      <c r="BC42" s="1748" t="str">
        <f t="shared" si="50"/>
        <v/>
      </c>
      <c r="BD42" s="1226" t="str">
        <f t="shared" si="51"/>
        <v/>
      </c>
      <c r="BE42" s="1221" t="str">
        <f t="shared" si="52"/>
        <v/>
      </c>
      <c r="BF42" s="1747" t="str">
        <f t="shared" si="53"/>
        <v/>
      </c>
      <c r="BG42" s="1748" t="str">
        <f t="shared" si="54"/>
        <v/>
      </c>
      <c r="BH42" s="1417"/>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3">
        <f t="shared" si="62"/>
        <v>6</v>
      </c>
      <c r="BT42" s="990" t="str">
        <f t="shared" si="63"/>
        <v>No</v>
      </c>
      <c r="BU42" s="1303">
        <f t="shared" si="64"/>
        <v>6</v>
      </c>
      <c r="BV42" s="990" t="str">
        <f t="shared" si="65"/>
        <v>No</v>
      </c>
      <c r="BW42" s="991">
        <f t="shared" ca="1" si="66"/>
        <v>0</v>
      </c>
      <c r="BX42" s="991" t="str">
        <f t="shared" ca="1" si="67"/>
        <v/>
      </c>
      <c r="BY42" s="991" t="b">
        <f t="shared" ca="1" si="68"/>
        <v>0</v>
      </c>
      <c r="BZ42" s="991" t="b">
        <f t="shared" si="90"/>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9"/>
        <v/>
      </c>
      <c r="EN42" s="1429" t="str">
        <f t="shared" si="70"/>
        <v/>
      </c>
      <c r="EO42" s="1430" t="str">
        <f t="shared" si="71"/>
        <v/>
      </c>
      <c r="EP42" s="1431" t="str">
        <f t="shared" si="72"/>
        <v/>
      </c>
      <c r="EQ42" s="1435" t="str">
        <f t="shared" si="73"/>
        <v/>
      </c>
      <c r="ER42" s="1441" t="str">
        <f t="shared" si="74"/>
        <v/>
      </c>
      <c r="ES42" s="1442" t="str">
        <f t="shared" si="75"/>
        <v/>
      </c>
      <c r="ET42" s="1443" t="str">
        <f t="shared" si="76"/>
        <v/>
      </c>
      <c r="EU42" s="1444"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581" t="str">
        <f t="shared" si="82"/>
        <v/>
      </c>
      <c r="GB42" s="623" t="str">
        <f t="shared" si="83"/>
        <v/>
      </c>
      <c r="GC42" s="625" t="str">
        <f t="shared" si="84"/>
        <v/>
      </c>
      <c r="GD42" s="626" t="str">
        <f t="shared" si="85"/>
        <v/>
      </c>
      <c r="GE42" s="624" t="str">
        <f t="shared" si="86"/>
        <v/>
      </c>
      <c r="GF42" s="582" t="str">
        <f t="shared" si="87"/>
        <v/>
      </c>
      <c r="GG42" s="692"/>
      <c r="GH42" s="1136"/>
      <c r="GI42" s="692"/>
      <c r="GJ42" s="1136"/>
      <c r="GK42" s="1641">
        <f t="shared" si="88"/>
        <v>0</v>
      </c>
      <c r="GL42" s="1641" t="e">
        <f t="shared" si="89"/>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9"/>
        <v>0</v>
      </c>
    </row>
    <row r="43" spans="1:272" ht="12.6" customHeight="1" x14ac:dyDescent="0.25">
      <c r="A43" s="1215" t="str">
        <f t="shared" si="0"/>
        <v/>
      </c>
      <c r="B43" s="1709" t="str">
        <f t="shared" si="1"/>
        <v/>
      </c>
      <c r="C43" s="1216" t="str">
        <f t="shared" si="2"/>
        <v/>
      </c>
      <c r="D43" s="1217" t="str">
        <f t="shared" si="3"/>
        <v/>
      </c>
      <c r="E43" s="1218" t="str">
        <f t="shared" si="4"/>
        <v/>
      </c>
      <c r="F43" s="1219" t="str">
        <f t="shared" si="5"/>
        <v/>
      </c>
      <c r="G43" s="1220" t="str">
        <f t="shared" si="6"/>
        <v/>
      </c>
      <c r="H43" s="1221" t="str">
        <f t="shared" si="7"/>
        <v/>
      </c>
      <c r="I43" s="1222" t="str">
        <f t="shared" si="8"/>
        <v/>
      </c>
      <c r="J43" s="1217" t="str">
        <f t="shared" si="9"/>
        <v/>
      </c>
      <c r="K43" s="1221" t="str">
        <f t="shared" si="10"/>
        <v/>
      </c>
      <c r="L43" s="1223" t="str">
        <f t="shared" si="11"/>
        <v/>
      </c>
      <c r="M43" s="1224" t="str">
        <f t="shared" si="12"/>
        <v/>
      </c>
      <c r="N43" s="1225" t="str">
        <f t="shared" si="12"/>
        <v/>
      </c>
      <c r="O43" s="1220" t="str">
        <f t="shared" si="13"/>
        <v/>
      </c>
      <c r="P43" s="1221" t="str">
        <f t="shared" si="14"/>
        <v/>
      </c>
      <c r="Q43" s="1217" t="str">
        <f t="shared" si="15"/>
        <v/>
      </c>
      <c r="R43" s="1218" t="str">
        <f t="shared" si="16"/>
        <v/>
      </c>
      <c r="S43" s="1226" t="str">
        <f t="shared" si="17"/>
        <v/>
      </c>
      <c r="T43" s="1221" t="str">
        <f t="shared" si="18"/>
        <v/>
      </c>
      <c r="U43" s="1217" t="str">
        <f t="shared" si="19"/>
        <v/>
      </c>
      <c r="V43" s="1221" t="str">
        <f t="shared" si="20"/>
        <v/>
      </c>
      <c r="W43" s="1225">
        <f t="shared" si="21"/>
        <v>0</v>
      </c>
      <c r="X43" s="1227" t="str">
        <f t="shared" si="22"/>
        <v/>
      </c>
      <c r="Y43" s="1228" t="str">
        <f t="shared" si="23"/>
        <v/>
      </c>
      <c r="Z43" s="1710" t="str">
        <f t="shared" si="24"/>
        <v/>
      </c>
      <c r="AA43" s="1235" t="str">
        <f t="shared" si="25"/>
        <v/>
      </c>
      <c r="AB43" s="1215" t="str">
        <f t="shared" si="26"/>
        <v/>
      </c>
      <c r="AC43" s="1222" t="str">
        <f t="shared" si="27"/>
        <v/>
      </c>
      <c r="AD43" s="1217" t="str">
        <f t="shared" ca="1" si="28"/>
        <v/>
      </c>
      <c r="AE43" s="1221" t="str">
        <f t="shared" ca="1" si="29"/>
        <v/>
      </c>
      <c r="AF43" s="1222" t="str">
        <f t="shared" ca="1" si="30"/>
        <v/>
      </c>
      <c r="AG43" s="1217" t="str">
        <f t="shared" ca="1" si="31"/>
        <v/>
      </c>
      <c r="AH43" s="1221" t="str">
        <f t="shared" ca="1" si="32"/>
        <v/>
      </c>
      <c r="AI43" s="1217" t="str">
        <f t="shared" ca="1" si="33"/>
        <v/>
      </c>
      <c r="AJ43" s="1221" t="str">
        <f t="shared" ca="1" si="34"/>
        <v/>
      </c>
      <c r="AK43" s="1742" t="str">
        <f t="shared" si="35"/>
        <v/>
      </c>
      <c r="AL43" s="1743" t="str">
        <f t="shared" si="36"/>
        <v/>
      </c>
      <c r="AM43" s="1744" t="str">
        <f t="shared" si="35"/>
        <v/>
      </c>
      <c r="AN43" s="1222" t="str">
        <f t="shared" si="35"/>
        <v/>
      </c>
      <c r="AO43" s="1225" t="str">
        <f t="shared" si="35"/>
        <v/>
      </c>
      <c r="AP43" s="1224" t="str">
        <f t="shared" si="37"/>
        <v/>
      </c>
      <c r="AQ43" s="1746" t="str">
        <f t="shared" si="38"/>
        <v/>
      </c>
      <c r="AR43" s="1220" t="str">
        <f t="shared" si="39"/>
        <v/>
      </c>
      <c r="AS43" s="1221" t="str">
        <f t="shared" si="40"/>
        <v/>
      </c>
      <c r="AT43" s="1747" t="str">
        <f t="shared" si="41"/>
        <v/>
      </c>
      <c r="AU43" s="1748" t="str">
        <f t="shared" si="42"/>
        <v/>
      </c>
      <c r="AV43" s="1226" t="str">
        <f t="shared" si="43"/>
        <v/>
      </c>
      <c r="AW43" s="1221" t="str">
        <f t="shared" si="44"/>
        <v/>
      </c>
      <c r="AX43" s="1747" t="str">
        <f t="shared" si="45"/>
        <v/>
      </c>
      <c r="AY43" s="1748" t="str">
        <f t="shared" si="46"/>
        <v/>
      </c>
      <c r="AZ43" s="1226" t="str">
        <f t="shared" si="47"/>
        <v/>
      </c>
      <c r="BA43" s="1221" t="str">
        <f t="shared" si="48"/>
        <v/>
      </c>
      <c r="BB43" s="1747" t="str">
        <f t="shared" si="49"/>
        <v/>
      </c>
      <c r="BC43" s="1748" t="str">
        <f t="shared" si="50"/>
        <v/>
      </c>
      <c r="BD43" s="1226" t="str">
        <f t="shared" si="51"/>
        <v/>
      </c>
      <c r="BE43" s="1221" t="str">
        <f t="shared" si="52"/>
        <v/>
      </c>
      <c r="BF43" s="1747" t="str">
        <f t="shared" si="53"/>
        <v/>
      </c>
      <c r="BG43" s="1748" t="str">
        <f t="shared" si="54"/>
        <v/>
      </c>
      <c r="BH43" s="1417"/>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3">
        <f t="shared" si="62"/>
        <v>6</v>
      </c>
      <c r="BT43" s="990" t="str">
        <f t="shared" si="63"/>
        <v>No</v>
      </c>
      <c r="BU43" s="1303">
        <f t="shared" si="64"/>
        <v>6</v>
      </c>
      <c r="BV43" s="990" t="str">
        <f t="shared" si="65"/>
        <v>No</v>
      </c>
      <c r="BW43" s="991">
        <f t="shared" ca="1" si="66"/>
        <v>0</v>
      </c>
      <c r="BX43" s="991" t="str">
        <f t="shared" ca="1" si="67"/>
        <v/>
      </c>
      <c r="BY43" s="991" t="b">
        <f t="shared" ca="1" si="68"/>
        <v>0</v>
      </c>
      <c r="BZ43" s="991" t="b">
        <f t="shared" si="90"/>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9"/>
        <v/>
      </c>
      <c r="EN43" s="1429" t="str">
        <f t="shared" si="70"/>
        <v/>
      </c>
      <c r="EO43" s="1430" t="str">
        <f t="shared" si="71"/>
        <v/>
      </c>
      <c r="EP43" s="1431" t="str">
        <f t="shared" si="72"/>
        <v/>
      </c>
      <c r="EQ43" s="1435" t="str">
        <f t="shared" si="73"/>
        <v/>
      </c>
      <c r="ER43" s="1441" t="str">
        <f t="shared" si="74"/>
        <v/>
      </c>
      <c r="ES43" s="1442" t="str">
        <f t="shared" si="75"/>
        <v/>
      </c>
      <c r="ET43" s="1443" t="str">
        <f t="shared" si="76"/>
        <v/>
      </c>
      <c r="EU43" s="1444"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581" t="str">
        <f t="shared" si="82"/>
        <v/>
      </c>
      <c r="GB43" s="623" t="str">
        <f t="shared" si="83"/>
        <v/>
      </c>
      <c r="GC43" s="625" t="str">
        <f t="shared" si="84"/>
        <v/>
      </c>
      <c r="GD43" s="626" t="str">
        <f t="shared" si="85"/>
        <v/>
      </c>
      <c r="GE43" s="624" t="str">
        <f t="shared" si="86"/>
        <v/>
      </c>
      <c r="GF43" s="582" t="str">
        <f t="shared" si="87"/>
        <v/>
      </c>
      <c r="GG43" s="692"/>
      <c r="GH43" s="1136"/>
      <c r="GI43" s="692"/>
      <c r="GJ43" s="1136"/>
      <c r="GK43" s="1641">
        <f t="shared" si="88"/>
        <v>0</v>
      </c>
      <c r="GL43" s="1641" t="e">
        <f t="shared" si="89"/>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9"/>
        <v>0</v>
      </c>
    </row>
    <row r="44" spans="1:272" ht="12.6" customHeight="1" x14ac:dyDescent="0.25">
      <c r="A44" s="1215" t="str">
        <f t="shared" si="0"/>
        <v/>
      </c>
      <c r="B44" s="1709" t="str">
        <f t="shared" si="1"/>
        <v/>
      </c>
      <c r="C44" s="1216" t="str">
        <f t="shared" si="2"/>
        <v/>
      </c>
      <c r="D44" s="1217" t="str">
        <f t="shared" si="3"/>
        <v/>
      </c>
      <c r="E44" s="1218" t="str">
        <f t="shared" si="4"/>
        <v/>
      </c>
      <c r="F44" s="1219" t="str">
        <f t="shared" si="5"/>
        <v/>
      </c>
      <c r="G44" s="1220" t="str">
        <f t="shared" si="6"/>
        <v/>
      </c>
      <c r="H44" s="1221" t="str">
        <f t="shared" si="7"/>
        <v/>
      </c>
      <c r="I44" s="1222" t="str">
        <f t="shared" si="8"/>
        <v/>
      </c>
      <c r="J44" s="1217" t="str">
        <f t="shared" si="9"/>
        <v/>
      </c>
      <c r="K44" s="1221" t="str">
        <f t="shared" si="10"/>
        <v/>
      </c>
      <c r="L44" s="1223" t="str">
        <f t="shared" si="11"/>
        <v/>
      </c>
      <c r="M44" s="1224" t="str">
        <f t="shared" si="12"/>
        <v/>
      </c>
      <c r="N44" s="1225" t="str">
        <f t="shared" si="12"/>
        <v/>
      </c>
      <c r="O44" s="1220" t="str">
        <f t="shared" si="13"/>
        <v/>
      </c>
      <c r="P44" s="1221" t="str">
        <f t="shared" si="14"/>
        <v/>
      </c>
      <c r="Q44" s="1217" t="str">
        <f t="shared" si="15"/>
        <v/>
      </c>
      <c r="R44" s="1218" t="str">
        <f t="shared" si="16"/>
        <v/>
      </c>
      <c r="S44" s="1226" t="str">
        <f t="shared" si="17"/>
        <v/>
      </c>
      <c r="T44" s="1221" t="str">
        <f t="shared" si="18"/>
        <v/>
      </c>
      <c r="U44" s="1217" t="str">
        <f t="shared" si="19"/>
        <v/>
      </c>
      <c r="V44" s="1221" t="str">
        <f t="shared" si="20"/>
        <v/>
      </c>
      <c r="W44" s="1225">
        <f t="shared" si="21"/>
        <v>0</v>
      </c>
      <c r="X44" s="1227" t="str">
        <f t="shared" si="22"/>
        <v/>
      </c>
      <c r="Y44" s="1228" t="str">
        <f t="shared" si="23"/>
        <v/>
      </c>
      <c r="Z44" s="1710" t="str">
        <f t="shared" si="24"/>
        <v/>
      </c>
      <c r="AA44" s="1235" t="str">
        <f t="shared" si="25"/>
        <v/>
      </c>
      <c r="AB44" s="1215" t="str">
        <f t="shared" si="26"/>
        <v/>
      </c>
      <c r="AC44" s="1222" t="str">
        <f t="shared" si="27"/>
        <v/>
      </c>
      <c r="AD44" s="1217" t="str">
        <f t="shared" ca="1" si="28"/>
        <v/>
      </c>
      <c r="AE44" s="1221" t="str">
        <f t="shared" ca="1" si="29"/>
        <v/>
      </c>
      <c r="AF44" s="1222" t="str">
        <f t="shared" ca="1" si="30"/>
        <v/>
      </c>
      <c r="AG44" s="1217" t="str">
        <f t="shared" ca="1" si="31"/>
        <v/>
      </c>
      <c r="AH44" s="1221" t="str">
        <f t="shared" ca="1" si="32"/>
        <v/>
      </c>
      <c r="AI44" s="1217" t="str">
        <f t="shared" ca="1" si="33"/>
        <v/>
      </c>
      <c r="AJ44" s="1221" t="str">
        <f t="shared" ca="1" si="34"/>
        <v/>
      </c>
      <c r="AK44" s="1742" t="str">
        <f t="shared" si="35"/>
        <v/>
      </c>
      <c r="AL44" s="1743" t="str">
        <f t="shared" si="36"/>
        <v/>
      </c>
      <c r="AM44" s="1744" t="str">
        <f t="shared" si="35"/>
        <v/>
      </c>
      <c r="AN44" s="1222" t="str">
        <f t="shared" si="35"/>
        <v/>
      </c>
      <c r="AO44" s="1225" t="str">
        <f t="shared" si="35"/>
        <v/>
      </c>
      <c r="AP44" s="1224" t="str">
        <f t="shared" si="37"/>
        <v/>
      </c>
      <c r="AQ44" s="1746" t="str">
        <f t="shared" si="38"/>
        <v/>
      </c>
      <c r="AR44" s="1220" t="str">
        <f t="shared" si="39"/>
        <v/>
      </c>
      <c r="AS44" s="1221" t="str">
        <f t="shared" si="40"/>
        <v/>
      </c>
      <c r="AT44" s="1747" t="str">
        <f t="shared" si="41"/>
        <v/>
      </c>
      <c r="AU44" s="1748" t="str">
        <f t="shared" si="42"/>
        <v/>
      </c>
      <c r="AV44" s="1226" t="str">
        <f t="shared" si="43"/>
        <v/>
      </c>
      <c r="AW44" s="1221" t="str">
        <f t="shared" si="44"/>
        <v/>
      </c>
      <c r="AX44" s="1747" t="str">
        <f t="shared" si="45"/>
        <v/>
      </c>
      <c r="AY44" s="1748" t="str">
        <f t="shared" si="46"/>
        <v/>
      </c>
      <c r="AZ44" s="1226" t="str">
        <f t="shared" si="47"/>
        <v/>
      </c>
      <c r="BA44" s="1221" t="str">
        <f t="shared" si="48"/>
        <v/>
      </c>
      <c r="BB44" s="1747" t="str">
        <f t="shared" si="49"/>
        <v/>
      </c>
      <c r="BC44" s="1748" t="str">
        <f t="shared" si="50"/>
        <v/>
      </c>
      <c r="BD44" s="1226" t="str">
        <f t="shared" si="51"/>
        <v/>
      </c>
      <c r="BE44" s="1221" t="str">
        <f t="shared" si="52"/>
        <v/>
      </c>
      <c r="BF44" s="1747" t="str">
        <f t="shared" si="53"/>
        <v/>
      </c>
      <c r="BG44" s="1748" t="str">
        <f t="shared" si="54"/>
        <v/>
      </c>
      <c r="BH44" s="1417"/>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3">
        <f t="shared" si="62"/>
        <v>6</v>
      </c>
      <c r="BT44" s="990" t="str">
        <f t="shared" si="63"/>
        <v>No</v>
      </c>
      <c r="BU44" s="1303">
        <f t="shared" si="64"/>
        <v>6</v>
      </c>
      <c r="BV44" s="990" t="str">
        <f t="shared" si="65"/>
        <v>No</v>
      </c>
      <c r="BW44" s="991">
        <f t="shared" ca="1" si="66"/>
        <v>0</v>
      </c>
      <c r="BX44" s="991" t="str">
        <f t="shared" ca="1" si="67"/>
        <v/>
      </c>
      <c r="BY44" s="991" t="b">
        <f t="shared" ca="1" si="68"/>
        <v>0</v>
      </c>
      <c r="BZ44" s="991" t="b">
        <f t="shared" si="90"/>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9"/>
        <v/>
      </c>
      <c r="EN44" s="1429" t="str">
        <f t="shared" si="70"/>
        <v/>
      </c>
      <c r="EO44" s="1430" t="str">
        <f t="shared" si="71"/>
        <v/>
      </c>
      <c r="EP44" s="1431" t="str">
        <f t="shared" si="72"/>
        <v/>
      </c>
      <c r="EQ44" s="1435" t="str">
        <f t="shared" si="73"/>
        <v/>
      </c>
      <c r="ER44" s="1441" t="str">
        <f t="shared" si="74"/>
        <v/>
      </c>
      <c r="ES44" s="1442" t="str">
        <f t="shared" si="75"/>
        <v/>
      </c>
      <c r="ET44" s="1443" t="str">
        <f t="shared" si="76"/>
        <v/>
      </c>
      <c r="EU44" s="1444"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581" t="str">
        <f t="shared" si="82"/>
        <v/>
      </c>
      <c r="GB44" s="623" t="str">
        <f t="shared" si="83"/>
        <v/>
      </c>
      <c r="GC44" s="625" t="str">
        <f t="shared" si="84"/>
        <v/>
      </c>
      <c r="GD44" s="626" t="str">
        <f t="shared" si="85"/>
        <v/>
      </c>
      <c r="GE44" s="624" t="str">
        <f t="shared" si="86"/>
        <v/>
      </c>
      <c r="GF44" s="582" t="str">
        <f t="shared" si="87"/>
        <v/>
      </c>
      <c r="GG44" s="692"/>
      <c r="GH44" s="1136"/>
      <c r="GI44" s="692"/>
      <c r="GJ44" s="1136"/>
      <c r="GK44" s="1641">
        <f t="shared" si="88"/>
        <v>0</v>
      </c>
      <c r="GL44" s="1641" t="e">
        <f t="shared" si="89"/>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9"/>
        <v>0</v>
      </c>
    </row>
    <row r="45" spans="1:272" ht="12.6" customHeight="1" thickBot="1" x14ac:dyDescent="0.35">
      <c r="A45" s="1711" t="str">
        <f t="shared" si="0"/>
        <v/>
      </c>
      <c r="B45" s="1712" t="str">
        <f t="shared" si="1"/>
        <v/>
      </c>
      <c r="C45" s="1713" t="str">
        <f t="shared" si="2"/>
        <v/>
      </c>
      <c r="D45" s="1714" t="str">
        <f t="shared" si="3"/>
        <v/>
      </c>
      <c r="E45" s="1715" t="str">
        <f t="shared" si="4"/>
        <v/>
      </c>
      <c r="F45" s="1716" t="str">
        <f t="shared" si="5"/>
        <v/>
      </c>
      <c r="G45" s="1717" t="str">
        <f t="shared" si="6"/>
        <v/>
      </c>
      <c r="H45" s="1718" t="str">
        <f t="shared" si="7"/>
        <v/>
      </c>
      <c r="I45" s="1719" t="str">
        <f t="shared" si="8"/>
        <v/>
      </c>
      <c r="J45" s="1714" t="str">
        <f t="shared" si="9"/>
        <v/>
      </c>
      <c r="K45" s="1718" t="str">
        <f t="shared" si="10"/>
        <v/>
      </c>
      <c r="L45" s="1720" t="str">
        <f t="shared" si="11"/>
        <v/>
      </c>
      <c r="M45" s="1721" t="str">
        <f t="shared" si="12"/>
        <v/>
      </c>
      <c r="N45" s="1722" t="str">
        <f t="shared" si="12"/>
        <v/>
      </c>
      <c r="O45" s="1717" t="str">
        <f t="shared" si="13"/>
        <v/>
      </c>
      <c r="P45" s="1718" t="str">
        <f t="shared" si="14"/>
        <v/>
      </c>
      <c r="Q45" s="1714" t="str">
        <f t="shared" si="15"/>
        <v/>
      </c>
      <c r="R45" s="1715" t="str">
        <f t="shared" si="16"/>
        <v/>
      </c>
      <c r="S45" s="1723" t="str">
        <f t="shared" si="17"/>
        <v/>
      </c>
      <c r="T45" s="1718" t="str">
        <f t="shared" si="18"/>
        <v/>
      </c>
      <c r="U45" s="1714" t="str">
        <f t="shared" si="19"/>
        <v/>
      </c>
      <c r="V45" s="1718" t="str">
        <f t="shared" si="20"/>
        <v/>
      </c>
      <c r="W45" s="1722">
        <f t="shared" si="21"/>
        <v>0</v>
      </c>
      <c r="X45" s="1724" t="str">
        <f t="shared" si="22"/>
        <v/>
      </c>
      <c r="Y45" s="1725" t="str">
        <f t="shared" si="23"/>
        <v/>
      </c>
      <c r="Z45" s="1726" t="str">
        <f t="shared" si="24"/>
        <v/>
      </c>
      <c r="AA45" s="1766" t="str">
        <f t="shared" si="25"/>
        <v/>
      </c>
      <c r="AB45" s="1711" t="str">
        <f t="shared" si="26"/>
        <v/>
      </c>
      <c r="AC45" s="1719" t="str">
        <f t="shared" si="27"/>
        <v/>
      </c>
      <c r="AD45" s="1714" t="str">
        <f t="shared" ca="1" si="28"/>
        <v/>
      </c>
      <c r="AE45" s="1718" t="str">
        <f t="shared" ca="1" si="29"/>
        <v/>
      </c>
      <c r="AF45" s="1719" t="str">
        <f t="shared" ca="1" si="30"/>
        <v/>
      </c>
      <c r="AG45" s="1714" t="str">
        <f t="shared" ca="1" si="31"/>
        <v/>
      </c>
      <c r="AH45" s="1718" t="str">
        <f t="shared" ca="1" si="32"/>
        <v/>
      </c>
      <c r="AI45" s="1714" t="str">
        <f t="shared" ca="1" si="33"/>
        <v/>
      </c>
      <c r="AJ45" s="1718" t="str">
        <f t="shared" ca="1" si="34"/>
        <v/>
      </c>
      <c r="AK45" s="1749" t="str">
        <f t="shared" si="35"/>
        <v/>
      </c>
      <c r="AL45" s="1750" t="str">
        <f t="shared" si="36"/>
        <v/>
      </c>
      <c r="AM45" s="1751" t="str">
        <f t="shared" si="35"/>
        <v/>
      </c>
      <c r="AN45" s="1719" t="str">
        <f t="shared" si="35"/>
        <v/>
      </c>
      <c r="AO45" s="1722" t="str">
        <f t="shared" si="35"/>
        <v/>
      </c>
      <c r="AP45" s="1721" t="str">
        <f t="shared" si="37"/>
        <v/>
      </c>
      <c r="AQ45" s="1753" t="str">
        <f t="shared" si="38"/>
        <v/>
      </c>
      <c r="AR45" s="1717" t="str">
        <f t="shared" si="39"/>
        <v/>
      </c>
      <c r="AS45" s="1718" t="str">
        <f t="shared" si="40"/>
        <v/>
      </c>
      <c r="AT45" s="1754" t="str">
        <f t="shared" si="41"/>
        <v/>
      </c>
      <c r="AU45" s="1755" t="str">
        <f t="shared" si="42"/>
        <v/>
      </c>
      <c r="AV45" s="1723" t="str">
        <f t="shared" si="43"/>
        <v/>
      </c>
      <c r="AW45" s="1718" t="str">
        <f t="shared" si="44"/>
        <v/>
      </c>
      <c r="AX45" s="1754" t="str">
        <f t="shared" si="45"/>
        <v/>
      </c>
      <c r="AY45" s="1755" t="str">
        <f t="shared" si="46"/>
        <v/>
      </c>
      <c r="AZ45" s="1723" t="str">
        <f t="shared" si="47"/>
        <v/>
      </c>
      <c r="BA45" s="1718" t="str">
        <f t="shared" si="48"/>
        <v/>
      </c>
      <c r="BB45" s="1754" t="str">
        <f t="shared" si="49"/>
        <v/>
      </c>
      <c r="BC45" s="1755" t="str">
        <f t="shared" si="50"/>
        <v/>
      </c>
      <c r="BD45" s="1723" t="str">
        <f t="shared" si="51"/>
        <v/>
      </c>
      <c r="BE45" s="1718" t="str">
        <f t="shared" si="52"/>
        <v/>
      </c>
      <c r="BF45" s="1754" t="str">
        <f t="shared" si="53"/>
        <v/>
      </c>
      <c r="BG45" s="1755" t="str">
        <f t="shared" si="54"/>
        <v/>
      </c>
      <c r="BH45" s="1417"/>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3">
        <f t="shared" si="62"/>
        <v>6</v>
      </c>
      <c r="BT45" s="990" t="str">
        <f t="shared" si="63"/>
        <v>No</v>
      </c>
      <c r="BU45" s="1303">
        <f t="shared" si="64"/>
        <v>6</v>
      </c>
      <c r="BV45" s="990" t="str">
        <f t="shared" si="65"/>
        <v>No</v>
      </c>
      <c r="BW45" s="991">
        <f t="shared" ca="1" si="66"/>
        <v>0</v>
      </c>
      <c r="BX45" s="991" t="str">
        <f t="shared" ca="1" si="67"/>
        <v/>
      </c>
      <c r="BY45" s="991" t="b">
        <f t="shared" ca="1" si="68"/>
        <v>0</v>
      </c>
      <c r="BZ45" s="991" t="b">
        <f t="shared" si="90"/>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9"/>
        <v/>
      </c>
      <c r="EN45" s="1636" t="str">
        <f t="shared" si="70"/>
        <v/>
      </c>
      <c r="EO45" s="1432" t="str">
        <f t="shared" si="71"/>
        <v/>
      </c>
      <c r="EP45" s="1433" t="str">
        <f t="shared" si="72"/>
        <v/>
      </c>
      <c r="EQ45" s="1436" t="str">
        <f t="shared" si="73"/>
        <v/>
      </c>
      <c r="ER45" s="1445" t="str">
        <f t="shared" si="74"/>
        <v/>
      </c>
      <c r="ES45" s="1446" t="str">
        <f t="shared" si="75"/>
        <v/>
      </c>
      <c r="ET45" s="1447" t="str">
        <f t="shared" si="76"/>
        <v/>
      </c>
      <c r="EU45" s="1448"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581" t="str">
        <f t="shared" si="82"/>
        <v/>
      </c>
      <c r="GB45" s="623" t="str">
        <f t="shared" si="83"/>
        <v/>
      </c>
      <c r="GC45" s="625" t="str">
        <f t="shared" si="84"/>
        <v/>
      </c>
      <c r="GD45" s="626" t="str">
        <f t="shared" si="85"/>
        <v/>
      </c>
      <c r="GE45" s="624" t="str">
        <f t="shared" si="86"/>
        <v/>
      </c>
      <c r="GF45" s="582" t="str">
        <f t="shared" si="87"/>
        <v/>
      </c>
      <c r="GG45" s="1137"/>
      <c r="GH45" s="1138"/>
      <c r="GI45" s="1137"/>
      <c r="GJ45" s="1138"/>
      <c r="GK45" s="1641">
        <f t="shared" si="88"/>
        <v>0</v>
      </c>
      <c r="GL45" s="1641" t="e">
        <f t="shared" si="89"/>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246"/>
      <c r="FM50" s="246"/>
      <c r="FN50" s="1993" t="s">
        <v>616</v>
      </c>
      <c r="FO50" s="1994"/>
      <c r="FP50" s="1994"/>
      <c r="FQ50" s="1994"/>
      <c r="FR50" s="1994"/>
      <c r="FS50" s="1995"/>
      <c r="FT50" s="2040" t="s">
        <v>617</v>
      </c>
      <c r="FU50" s="2041"/>
      <c r="FV50" s="2041"/>
      <c r="FW50" s="2041"/>
      <c r="FX50" s="2041"/>
      <c r="FY50" s="2041"/>
      <c r="FZ50" s="2042"/>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77"/>
      <c r="EQ51" s="1977"/>
      <c r="ER51" s="1977"/>
      <c r="ES51" s="1977"/>
      <c r="ET51" s="1977"/>
      <c r="EU51" s="1977"/>
      <c r="EV51" s="293"/>
      <c r="EW51" s="293"/>
      <c r="EX51" s="1980" t="s">
        <v>618</v>
      </c>
      <c r="EY51" s="1978" t="s">
        <v>619</v>
      </c>
      <c r="EZ51" s="293"/>
      <c r="FA51" s="293"/>
      <c r="FB51" s="293"/>
      <c r="FC51" s="293"/>
      <c r="FD51" s="293"/>
      <c r="FF51" s="2070" t="s">
        <v>947</v>
      </c>
      <c r="FG51" s="2071"/>
      <c r="FH51" s="2071"/>
      <c r="FI51" s="2071"/>
      <c r="FL51" s="246"/>
      <c r="FM51" s="246"/>
      <c r="FN51" s="1996"/>
      <c r="FO51" s="1997"/>
      <c r="FP51" s="1997"/>
      <c r="FQ51" s="1997"/>
      <c r="FR51" s="1997"/>
      <c r="FS51" s="1998"/>
      <c r="FT51" s="2043"/>
      <c r="FU51" s="2044"/>
      <c r="FV51" s="2044"/>
      <c r="FW51" s="2044"/>
      <c r="FX51" s="2044"/>
      <c r="FY51" s="2044"/>
      <c r="FZ51" s="2045"/>
      <c r="GA51" s="245"/>
      <c r="GB51" s="245"/>
      <c r="GC51" s="245"/>
      <c r="GD51" s="245"/>
      <c r="GE51" s="245"/>
      <c r="GF51" s="245"/>
      <c r="GG51" s="245"/>
      <c r="GH51" s="245"/>
      <c r="GI51" s="245"/>
      <c r="GJ51" s="245"/>
      <c r="GK51" s="2"/>
    </row>
    <row r="52" spans="1:193" ht="12.6"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509</v>
      </c>
      <c r="DA52" s="2087"/>
      <c r="DB52" s="2140" t="s">
        <v>510</v>
      </c>
      <c r="DC52" s="2006" t="s">
        <v>513</v>
      </c>
      <c r="DD52" s="2006" t="s">
        <v>514</v>
      </c>
      <c r="DE52" s="2140" t="s">
        <v>544</v>
      </c>
      <c r="DF52" s="2086" t="s">
        <v>511</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77"/>
      <c r="EQ52" s="1977"/>
      <c r="ER52" s="1977"/>
      <c r="ES52" s="1977"/>
      <c r="ET52" s="1977"/>
      <c r="EU52" s="1977"/>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282" t="s">
        <v>493</v>
      </c>
      <c r="FP52" s="2271" t="s">
        <v>494</v>
      </c>
      <c r="FQ52" s="2271" t="s">
        <v>495</v>
      </c>
      <c r="FR52" s="2279" t="s">
        <v>496</v>
      </c>
      <c r="FS52" s="2276"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c r="GK52" s="2"/>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77"/>
      <c r="EQ53" s="1977"/>
      <c r="ER53" s="1977"/>
      <c r="ES53" s="1977"/>
      <c r="ET53" s="1977"/>
      <c r="EU53" s="1977"/>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272"/>
      <c r="FP53" s="2272"/>
      <c r="FQ53" s="2272"/>
      <c r="FR53" s="2272"/>
      <c r="FS53" s="2277"/>
      <c r="FT53" s="2278"/>
      <c r="FU53" s="2270"/>
      <c r="FV53" s="2270"/>
      <c r="FW53" s="2270"/>
      <c r="FX53" s="2270"/>
      <c r="FY53" s="2270"/>
      <c r="FZ53" s="2270"/>
      <c r="GA53" s="2273"/>
      <c r="GB53" s="2275"/>
      <c r="GC53" s="2269"/>
      <c r="GD53" s="208" t="s">
        <v>623</v>
      </c>
      <c r="GE53" s="142" t="s">
        <v>624</v>
      </c>
      <c r="GF53" s="135" t="s">
        <v>626</v>
      </c>
      <c r="GG53" s="135" t="s">
        <v>627</v>
      </c>
      <c r="GH53" s="135" t="s">
        <v>628</v>
      </c>
      <c r="GI53" s="136" t="s">
        <v>629</v>
      </c>
      <c r="GJ53" s="1986"/>
      <c r="GK53" s="757" t="s">
        <v>953</v>
      </c>
    </row>
    <row r="54" spans="1:193" ht="12.6" hidden="1" customHeight="1" thickTop="1" x14ac:dyDescent="0.2">
      <c r="BZ54" s="293"/>
      <c r="CA54" s="293"/>
      <c r="CB54" s="365" t="str">
        <f t="shared" ref="CB54:CB85" si="104">IF(CB14="","",CB14)</f>
        <v/>
      </c>
      <c r="CC54" s="366" t="str">
        <f>IF(CG14="","",VLOOKUP(CG14,SectInfo!$B:$N,12,FALSE))</f>
        <v/>
      </c>
      <c r="CD54" s="1306" t="str">
        <f>IF(ISBLANK(CN14),IF(CG14="","",VLOOKUP(CG14,SectInfo!$B:$N,13,FALSE)),CN14)</f>
        <v/>
      </c>
      <c r="CE54" s="1306" t="str">
        <f>IF(CG14="","",IF(VLOOKUP(CG14,SectInfo!$B:$N,5,FALSE)="","R",UPPER(VLOOKUP(CG14,SectInfo!$B:$N,5,FALSE))))</f>
        <v/>
      </c>
      <c r="CF54" s="1306" t="str">
        <f>IF(ISBLANK(CP14),IF(CG14="","",VLOOKUP(CG14,SectInfo!$B:$N,6,FALSE)),CP14)</f>
        <v/>
      </c>
      <c r="CG54" s="1306" t="str">
        <f>IF(CG14="","",IF(VLOOKUP(CG14,SectInfo!$B:$N,10,FALSE)="","",(VLOOKUP(CG14,SectInfo!$B:$N,10,FALSE)*-1)))</f>
        <v/>
      </c>
      <c r="CH54" s="1306" t="str">
        <f>IF(CG14="","",IF(VLOOKUP(CG14,SectInfo!$B:$N,7,FALSE)="","",(VLOOKUP(CG14,SectInfo!$B:$N,7,FALSE)*-1)))</f>
        <v/>
      </c>
      <c r="CI54" s="1306" t="str">
        <f>IF(CG14="","",IF(VLOOKUP(CG14,SectInfo!$B:$N,8,FALSE)="",$FC$4,(VLOOKUP(CG14,SectInfo!$B:$N,8,FALSE))))</f>
        <v/>
      </c>
      <c r="CJ54" s="1306" t="str">
        <f>IF(CG14="","",VLOOKUP(CG14,SectInfo!$B:$N,9,FALSE))</f>
        <v/>
      </c>
      <c r="CK54" s="1307">
        <f t="shared" ref="CK54:CK85" si="105">CM14*-1</f>
        <v>0</v>
      </c>
      <c r="CL54" s="1305" t="str">
        <f>IF(CQ14="","",VLOOKUP(CQ14,SectInfo!$B:$N,12,FALSE))</f>
        <v/>
      </c>
      <c r="CM54" s="1306" t="str">
        <f>IF(ISBLANK(CX14),IF(CQ14="","",VLOOKUP(CQ14,SectInfo!$B:$N,13,FALSE)),CX14)</f>
        <v/>
      </c>
      <c r="CN54" s="1306" t="str">
        <f>IF(CQ14="","",IF(VLOOKUP(CQ14,SectInfo!$B:$N,5,FALSE)="","R",UPPER(VLOOKUP(CQ14,SectInfo!$B:$N,5,FALSE))))</f>
        <v/>
      </c>
      <c r="CO54" s="1306" t="str">
        <f>IF(ISBLANK(CZ14),IF(CQ14="","",VLOOKUP(CQ14,SectInfo!$B:$N,6,FALSE)),CZ14)</f>
        <v/>
      </c>
      <c r="CP54" s="1306" t="str">
        <f>IF(CQ14="","",IF(VLOOKUP(CQ14,SectInfo!$B:$N,10,FALSE)="","",(VLOOKUP(CQ14,SectInfo!$B:$N,10,FALSE)*-1)))</f>
        <v/>
      </c>
      <c r="CQ54" s="1306" t="str">
        <f>IF(CQ14="","",IF(VLOOKUP(CQ14,SectInfo!$B:$N,7,FALSE)="","",(VLOOKUP(CQ14,SectInfo!$B:$N,7,FALSE)*-1)))</f>
        <v/>
      </c>
      <c r="CR54" s="1306" t="str">
        <f>IF(CQ14="","",IF(VLOOKUP(CQ14,SectInfo!$B:$N,8,FALSE)="",$FC$4,(VLOOKUP(CQ14,SectInfo!$B:$N,8,FALSE))))</f>
        <v/>
      </c>
      <c r="CS54" s="1306" t="str">
        <f>IF(CQ14="","",VLOOKUP(CQ14,SectInfo!$B:$N,9,FALSE))</f>
        <v/>
      </c>
      <c r="CT54" s="1307">
        <f t="shared" ref="CT54:CT85" si="106">CW14*-1</f>
        <v>0</v>
      </c>
      <c r="CU54" s="1317">
        <f t="shared" ref="CU54:CU85" si="107">IF(DA14="",0,ATAN(DA14/12))</f>
        <v>0</v>
      </c>
      <c r="CV54" s="1311" t="str">
        <f t="shared" ref="CV54:CV85" si="108">IF(OR(CD54="",CE14="",CM54=""),"",CEILING(IF(AND(CE14="",CF14=""),"",((CE14*12+CF14)+CD54+CM54)/COS(EU54))-0.0625,0.125))</f>
        <v/>
      </c>
      <c r="CW54" s="1311" t="str">
        <f t="shared" ref="CW54:CW85" si="109">IF(CF54="","",IF(ABS(EM54)&lt;ABS($FA$2),CF54,IF(EM54=0,CF54,CEILING((CF54+((DC54-CD54)/12)*EM54)-0.0625,0.125))))</f>
        <v/>
      </c>
      <c r="CX54" s="1311" t="str">
        <f t="shared" ref="CX54:CX85" si="110">IF(CO54="","",IF(ABS(ER54)&lt;ABS($FA$2),CO54,IF(ER54=0,CO54,CEILING((CO54+((DI54-CM54)/12)*ER54)-0.0625,0.125))))</f>
        <v/>
      </c>
      <c r="CY54" s="1313">
        <f t="shared" ref="CY54:CY85" si="111">RADIANS(ABS(CL14))</f>
        <v>0</v>
      </c>
      <c r="CZ54" s="1313">
        <f t="shared" ref="CZ54:CZ85" si="112">MIN(IF(CH14&gt;0,CH14/2,MAX(CI14/2,CJ54)),IF(CI14&gt;0,CI14/2,MAX(CH14/2,CJ54)),IF(CJ54&gt;0,CJ54,MAX(CI14/2,CH14/2)))/IF(OR(CC54="C",AND(CC54="M",$FG$1="N")),1,COS(CY54))</f>
        <v>0</v>
      </c>
      <c r="DA54" s="1313" t="str">
        <f t="shared" ref="DA54:DA85" si="113">IF(CD54="","",IF(CJ54&gt;=0,MAX(CH14/2,CI14/2,CJ54),CJ54)/IF(OR(CC54="C",AND(CC54="M",$FG$1="N")),1,COS(CY54)))</f>
        <v/>
      </c>
      <c r="DB54" s="1311" t="str">
        <f>IF(CD54="","",CD54+DA54+($EY$4*TAN(CY54)))</f>
        <v/>
      </c>
      <c r="DC54" s="1311"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1" t="str">
        <f>IF(CM54="","",CM54+DG54+($EY$4*TAN(DE54)))</f>
        <v/>
      </c>
      <c r="DI54" s="1311" t="str">
        <f t="shared" ref="DI54:DI85" si="118">IF(CM54="","",IF(NOT(ISBLANK(CY14)),CM54-CY14,MAX(IF(AND(DF54&gt;=$FB$4,DG54&lt;=$FA$4,OR($FA$1=1,$FA$1=4)),CM54,IF(OR($FA$1=3,$FA$1=4),DH54-$FA$4,DH54+MAX(($FA$4-$FB$4)-(DG54-DF54)-$EY$4/2*TAN(DE54),0)-$FA$4))-ET54,0)-CY14))</f>
        <v/>
      </c>
      <c r="DJ54" s="1312">
        <f>IF(CM54="",0,IF(DI54/COS(EU54)&lt;0.0625,0,CEILING(DI54/COS(EU54)-0.03125,0.125)))</f>
        <v>0</v>
      </c>
      <c r="DK54" s="1311" t="str">
        <f t="shared" ref="DK54:DK74" si="119">IF(CV54="","",CEILING(CV54-DD54-DJ54-0.0625,0.125))</f>
        <v/>
      </c>
      <c r="DL54" s="1311" t="str">
        <f t="shared" ref="DL54:DL74" si="120">IF(AND(EG54="",CH54=""),"",IF(EG54="ERR","ERR",IF(ISNUMBER(EG54),(EG54/2)*-1,CH54)))</f>
        <v/>
      </c>
      <c r="DM54" s="1311" t="str">
        <f t="shared" ref="DM54:DM85" si="121">IF(DL54="ERR","ERR",IF(DL54="","",IF(CR54*TAN(CY54)&lt;=($FE$4-($FD$4-0.0625)),CD54-(DL54-EO54)/IF(OR(CC54="C",AND(CC54="M",$FG$1="N")),1,COS(CY54))-IF(MID(CE54,1,1)="R",0,DC54),(ABS(DL54-EO54)/IF(OR(CC54="C",AND(CC54="M",$FG$1="N")),1,COS(CY54))+CD54)-((CR54/2)*TAN(CY54))-IF(MID(CE54,1,1)="R",0,DC54))))</f>
        <v/>
      </c>
      <c r="DN54" s="1311"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1" t="str">
        <f t="shared" ref="DQ54:DR85" si="125">IF(ISERROR(DM54),"ERR",IF(DM54="","",IF(DO54="ERR","ERR",CEILING(DO54-0.0625,0.125))))</f>
        <v/>
      </c>
      <c r="DR54" s="1311" t="str">
        <f t="shared" si="125"/>
        <v/>
      </c>
      <c r="DS54" s="1311" t="str">
        <f t="shared" ref="DS54:DS85" si="126">IF(AND(EJ54="",CQ54=""),"",IF(EJ54="ERR","ERR",IF(ISNUMBER(EJ54),(EJ54/2)*-1,CQ54)))</f>
        <v/>
      </c>
      <c r="DT54" s="1311" t="str">
        <f t="shared" ref="DT54:DT85" si="127">IF(DS54="ERR","ERR",IF(DS54="","",IF(CR54*TAN(DE54)&lt;=($FE$4-($FD$4-0.0625)),CM54-(DS54-ET54)/IF(OR(CL54="C",AND(CL54="M",$FG$1="N")),1,COS(DE54))-IF(MID(CN54,1,1)="R",0,DI54),(ABS(DS54-ET54)/IF(OR(CL54="C",AND(CL54="M",$FG$1="N")),1,COS(DE54))+CM54)-((CR54/2)*TAN(DE54))-IF(MID(CN54,1,1)="R",0,DI54))))</f>
        <v/>
      </c>
      <c r="DU54" s="1311"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6" t="str">
        <f>IF(ISBLANK(CN15),IF(CG15="","",VLOOKUP(CG15,SectInfo!$B:$N,13,FALSE)),CN15)</f>
        <v/>
      </c>
      <c r="CE55" s="1306" t="str">
        <f>IF(CG15="","",IF(VLOOKUP(CG15,SectInfo!$B:$N,5,FALSE)="","R",UPPER(VLOOKUP(CG15,SectInfo!$B:$N,5,FALSE))))</f>
        <v/>
      </c>
      <c r="CF55" s="1306" t="str">
        <f>IF(ISBLANK(CP15),IF(CG15="","",VLOOKUP(CG15,SectInfo!$B:$N,6,FALSE)),CP15)</f>
        <v/>
      </c>
      <c r="CG55" s="1306" t="str">
        <f>IF(CG15="","",IF(VLOOKUP(CG15,SectInfo!$B:$N,10,FALSE)="","",(VLOOKUP(CG15,SectInfo!$B:$N,10,FALSE)*-1)))</f>
        <v/>
      </c>
      <c r="CH55" s="1306" t="str">
        <f>IF(CG15="","",IF(VLOOKUP(CG15,SectInfo!$B:$N,7,FALSE)="","",(VLOOKUP(CG15,SectInfo!$B:$N,7,FALSE)*-1)))</f>
        <v/>
      </c>
      <c r="CI55" s="1306" t="str">
        <f>IF(CG15="","",IF(VLOOKUP(CG15,SectInfo!$B:$N,8,FALSE)="",$FC$4,(VLOOKUP(CG15,SectInfo!$B:$N,8,FALSE))))</f>
        <v/>
      </c>
      <c r="CJ55" s="1306" t="str">
        <f>IF(CG15="","",VLOOKUP(CG15,SectInfo!$B:$N,9,FALSE))</f>
        <v/>
      </c>
      <c r="CK55" s="1307">
        <f t="shared" si="105"/>
        <v>0</v>
      </c>
      <c r="CL55" s="1305" t="str">
        <f>IF(CQ15="","",VLOOKUP(CQ15,SectInfo!$B:$N,12,FALSE))</f>
        <v/>
      </c>
      <c r="CM55" s="1306" t="str">
        <f>IF(ISBLANK(CX15),IF(CQ15="","",VLOOKUP(CQ15,SectInfo!$B:$N,13,FALSE)),CX15)</f>
        <v/>
      </c>
      <c r="CN55" s="1306" t="str">
        <f>IF(CQ15="","",IF(VLOOKUP(CQ15,SectInfo!$B:$N,5,FALSE)="","R",UPPER(VLOOKUP(CQ15,SectInfo!$B:$N,5,FALSE))))</f>
        <v/>
      </c>
      <c r="CO55" s="1306" t="str">
        <f>IF(ISBLANK(CZ15),IF(CQ15="","",VLOOKUP(CQ15,SectInfo!$B:$N,6,FALSE)),CZ15)</f>
        <v/>
      </c>
      <c r="CP55" s="1306" t="str">
        <f>IF(CQ15="","",IF(VLOOKUP(CQ15,SectInfo!$B:$N,10,FALSE)="","",(VLOOKUP(CQ15,SectInfo!$B:$N,10,FALSE)*-1)))</f>
        <v/>
      </c>
      <c r="CQ55" s="1306" t="str">
        <f>IF(CQ15="","",IF(VLOOKUP(CQ15,SectInfo!$B:$N,7,FALSE)="","",(VLOOKUP(CQ15,SectInfo!$B:$N,7,FALSE)*-1)))</f>
        <v/>
      </c>
      <c r="CR55" s="1306" t="str">
        <f>IF(CQ15="","",IF(VLOOKUP(CQ15,SectInfo!$B:$N,8,FALSE)="",$FC$4,(VLOOKUP(CQ15,SectInfo!$B:$N,8,FALSE))))</f>
        <v/>
      </c>
      <c r="CS55" s="1306" t="str">
        <f>IF(CQ15="","",VLOOKUP(CQ15,SectInfo!$B:$N,9,FALSE))</f>
        <v/>
      </c>
      <c r="CT55" s="1307">
        <f t="shared" si="106"/>
        <v>0</v>
      </c>
      <c r="CU55" s="1317">
        <f t="shared" si="107"/>
        <v>0</v>
      </c>
      <c r="CV55" s="1311" t="str">
        <f t="shared" si="108"/>
        <v/>
      </c>
      <c r="CW55" s="1311" t="str">
        <f t="shared" si="109"/>
        <v/>
      </c>
      <c r="CX55" s="1311" t="str">
        <f t="shared" si="110"/>
        <v/>
      </c>
      <c r="CY55" s="1313">
        <f t="shared" si="111"/>
        <v>0</v>
      </c>
      <c r="CZ55" s="1313">
        <f t="shared" si="112"/>
        <v>0</v>
      </c>
      <c r="DA55" s="1313" t="str">
        <f t="shared" si="113"/>
        <v/>
      </c>
      <c r="DB55" s="1311" t="str">
        <f t="shared" ref="DB55:DB85" si="178">IF(CD55="","",CD55+DA55+($EY$4*TAN(CY55)))</f>
        <v/>
      </c>
      <c r="DC55" s="1311" t="str">
        <f t="shared" si="114"/>
        <v/>
      </c>
      <c r="DD55" s="875">
        <f t="shared" ref="DD55:DD85" si="179">IF(CD55="",0,IF(DC55/COS(EU55)&lt;0.0625,0,CEILING(DC55/COS(EU55)-0.03125,0.125)))</f>
        <v>0</v>
      </c>
      <c r="DE55" s="873">
        <f t="shared" si="115"/>
        <v>0</v>
      </c>
      <c r="DF55" s="874">
        <f t="shared" si="116"/>
        <v>0</v>
      </c>
      <c r="DG55" s="874" t="str">
        <f t="shared" si="117"/>
        <v/>
      </c>
      <c r="DH55" s="1311" t="str">
        <f t="shared" ref="DH55:DH85" si="180">IF(CM55="","",CM55+DG55+($EY$4*TAN(DE55)))</f>
        <v/>
      </c>
      <c r="DI55" s="1311" t="str">
        <f t="shared" si="118"/>
        <v/>
      </c>
      <c r="DJ55" s="1312">
        <f t="shared" ref="DJ55:DJ85" si="181">IF(CM55="",0,IF(DI55/COS(EU55)&lt;0.0625,0,CEILING(DI55/COS(EU55)-0.03125,0.125)))</f>
        <v>0</v>
      </c>
      <c r="DK55" s="1311" t="str">
        <f t="shared" si="119"/>
        <v/>
      </c>
      <c r="DL55" s="1311" t="str">
        <f t="shared" si="120"/>
        <v/>
      </c>
      <c r="DM55" s="1311" t="str">
        <f t="shared" si="121"/>
        <v/>
      </c>
      <c r="DN55" s="1311" t="str">
        <f t="shared" si="122"/>
        <v/>
      </c>
      <c r="DO55" s="889" t="str">
        <f t="shared" si="123"/>
        <v>ERR</v>
      </c>
      <c r="DP55" s="889" t="str">
        <f t="shared" si="124"/>
        <v>ERR</v>
      </c>
      <c r="DQ55" s="1311" t="str">
        <f t="shared" si="125"/>
        <v/>
      </c>
      <c r="DR55" s="1311" t="str">
        <f t="shared" si="125"/>
        <v/>
      </c>
      <c r="DS55" s="1311" t="str">
        <f t="shared" si="126"/>
        <v/>
      </c>
      <c r="DT55" s="1311" t="str">
        <f t="shared" si="127"/>
        <v/>
      </c>
      <c r="DU55" s="1311"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6" t="str">
        <f>IF(ISBLANK(CN16),IF(CG16="","",VLOOKUP(CG16,SectInfo!$B:$N,13,FALSE)),CN16)</f>
        <v/>
      </c>
      <c r="CE56" s="1306" t="str">
        <f>IF(CG16="","",IF(VLOOKUP(CG16,SectInfo!$B:$N,5,FALSE)="","R",UPPER(VLOOKUP(CG16,SectInfo!$B:$N,5,FALSE))))</f>
        <v/>
      </c>
      <c r="CF56" s="1306" t="str">
        <f>IF(ISBLANK(CP16),IF(CG16="","",VLOOKUP(CG16,SectInfo!$B:$N,6,FALSE)),CP16)</f>
        <v/>
      </c>
      <c r="CG56" s="1306" t="str">
        <f>IF(CG16="","",IF(VLOOKUP(CG16,SectInfo!$B:$N,10,FALSE)="","",(VLOOKUP(CG16,SectInfo!$B:$N,10,FALSE)*-1)))</f>
        <v/>
      </c>
      <c r="CH56" s="1306" t="str">
        <f>IF(CG16="","",IF(VLOOKUP(CG16,SectInfo!$B:$N,7,FALSE)="","",(VLOOKUP(CG16,SectInfo!$B:$N,7,FALSE)*-1)))</f>
        <v/>
      </c>
      <c r="CI56" s="1306" t="str">
        <f>IF(CG16="","",IF(VLOOKUP(CG16,SectInfo!$B:$N,8,FALSE)="",$FC$4,(VLOOKUP(CG16,SectInfo!$B:$N,8,FALSE))))</f>
        <v/>
      </c>
      <c r="CJ56" s="1306" t="str">
        <f>IF(CG16="","",VLOOKUP(CG16,SectInfo!$B:$N,9,FALSE))</f>
        <v/>
      </c>
      <c r="CK56" s="1307">
        <f t="shared" si="105"/>
        <v>0</v>
      </c>
      <c r="CL56" s="1305" t="str">
        <f>IF(CQ16="","",VLOOKUP(CQ16,SectInfo!$B:$N,12,FALSE))</f>
        <v/>
      </c>
      <c r="CM56" s="1306" t="str">
        <f>IF(ISBLANK(CX16),IF(CQ16="","",VLOOKUP(CQ16,SectInfo!$B:$N,13,FALSE)),CX16)</f>
        <v/>
      </c>
      <c r="CN56" s="1306" t="str">
        <f>IF(CQ16="","",IF(VLOOKUP(CQ16,SectInfo!$B:$N,5,FALSE)="","R",UPPER(VLOOKUP(CQ16,SectInfo!$B:$N,5,FALSE))))</f>
        <v/>
      </c>
      <c r="CO56" s="1306" t="str">
        <f>IF(ISBLANK(CZ16),IF(CQ16="","",VLOOKUP(CQ16,SectInfo!$B:$N,6,FALSE)),CZ16)</f>
        <v/>
      </c>
      <c r="CP56" s="1306" t="str">
        <f>IF(CQ16="","",IF(VLOOKUP(CQ16,SectInfo!$B:$N,10,FALSE)="","",(VLOOKUP(CQ16,SectInfo!$B:$N,10,FALSE)*-1)))</f>
        <v/>
      </c>
      <c r="CQ56" s="1306" t="str">
        <f>IF(CQ16="","",IF(VLOOKUP(CQ16,SectInfo!$B:$N,7,FALSE)="","",(VLOOKUP(CQ16,SectInfo!$B:$N,7,FALSE)*-1)))</f>
        <v/>
      </c>
      <c r="CR56" s="1306" t="str">
        <f>IF(CQ16="","",IF(VLOOKUP(CQ16,SectInfo!$B:$N,8,FALSE)="",$FC$4,(VLOOKUP(CQ16,SectInfo!$B:$N,8,FALSE))))</f>
        <v/>
      </c>
      <c r="CS56" s="1306" t="str">
        <f>IF(CQ16="","",VLOOKUP(CQ16,SectInfo!$B:$N,9,FALSE))</f>
        <v/>
      </c>
      <c r="CT56" s="1307">
        <f t="shared" si="106"/>
        <v>0</v>
      </c>
      <c r="CU56" s="1317">
        <f t="shared" si="107"/>
        <v>0</v>
      </c>
      <c r="CV56" s="1311" t="str">
        <f t="shared" si="108"/>
        <v/>
      </c>
      <c r="CW56" s="1311" t="str">
        <f t="shared" si="109"/>
        <v/>
      </c>
      <c r="CX56" s="1311" t="str">
        <f t="shared" si="110"/>
        <v/>
      </c>
      <c r="CY56" s="1313">
        <f t="shared" si="111"/>
        <v>0</v>
      </c>
      <c r="CZ56" s="1313">
        <f t="shared" si="112"/>
        <v>0</v>
      </c>
      <c r="DA56" s="1313" t="str">
        <f t="shared" si="113"/>
        <v/>
      </c>
      <c r="DB56" s="1311" t="str">
        <f t="shared" si="178"/>
        <v/>
      </c>
      <c r="DC56" s="1311" t="str">
        <f t="shared" si="114"/>
        <v/>
      </c>
      <c r="DD56" s="875">
        <f t="shared" si="179"/>
        <v>0</v>
      </c>
      <c r="DE56" s="873">
        <f t="shared" si="115"/>
        <v>0</v>
      </c>
      <c r="DF56" s="874">
        <f t="shared" si="116"/>
        <v>0</v>
      </c>
      <c r="DG56" s="874" t="str">
        <f t="shared" si="117"/>
        <v/>
      </c>
      <c r="DH56" s="1311" t="str">
        <f t="shared" si="180"/>
        <v/>
      </c>
      <c r="DI56" s="1311" t="str">
        <f t="shared" si="118"/>
        <v/>
      </c>
      <c r="DJ56" s="1312">
        <f t="shared" si="181"/>
        <v>0</v>
      </c>
      <c r="DK56" s="1311" t="str">
        <f t="shared" si="119"/>
        <v/>
      </c>
      <c r="DL56" s="1311" t="str">
        <f t="shared" si="120"/>
        <v/>
      </c>
      <c r="DM56" s="1311" t="str">
        <f t="shared" si="121"/>
        <v/>
      </c>
      <c r="DN56" s="1311" t="str">
        <f t="shared" si="122"/>
        <v/>
      </c>
      <c r="DO56" s="889" t="str">
        <f t="shared" si="123"/>
        <v>ERR</v>
      </c>
      <c r="DP56" s="889" t="str">
        <f t="shared" si="124"/>
        <v>ERR</v>
      </c>
      <c r="DQ56" s="1311" t="str">
        <f t="shared" si="125"/>
        <v/>
      </c>
      <c r="DR56" s="1311" t="str">
        <f t="shared" si="125"/>
        <v/>
      </c>
      <c r="DS56" s="1311" t="str">
        <f t="shared" si="126"/>
        <v/>
      </c>
      <c r="DT56" s="1311" t="str">
        <f t="shared" si="127"/>
        <v/>
      </c>
      <c r="DU56" s="1311"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6" t="str">
        <f>IF(ISBLANK(CN17),IF(CG17="","",VLOOKUP(CG17,SectInfo!$B:$N,13,FALSE)),CN17)</f>
        <v/>
      </c>
      <c r="CE57" s="1306" t="str">
        <f>IF(CG17="","",IF(VLOOKUP(CG17,SectInfo!$B:$N,5,FALSE)="","R",UPPER(VLOOKUP(CG17,SectInfo!$B:$N,5,FALSE))))</f>
        <v/>
      </c>
      <c r="CF57" s="1306" t="str">
        <f>IF(ISBLANK(CP17),IF(CG17="","",VLOOKUP(CG17,SectInfo!$B:$N,6,FALSE)),CP17)</f>
        <v/>
      </c>
      <c r="CG57" s="1306" t="str">
        <f>IF(CG17="","",IF(VLOOKUP(CG17,SectInfo!$B:$N,10,FALSE)="","",(VLOOKUP(CG17,SectInfo!$B:$N,10,FALSE)*-1)))</f>
        <v/>
      </c>
      <c r="CH57" s="1306" t="str">
        <f>IF(CG17="","",IF(VLOOKUP(CG17,SectInfo!$B:$N,7,FALSE)="","",(VLOOKUP(CG17,SectInfo!$B:$N,7,FALSE)*-1)))</f>
        <v/>
      </c>
      <c r="CI57" s="1306" t="str">
        <f>IF(CG17="","",IF(VLOOKUP(CG17,SectInfo!$B:$N,8,FALSE)="",$FC$4,(VLOOKUP(CG17,SectInfo!$B:$N,8,FALSE))))</f>
        <v/>
      </c>
      <c r="CJ57" s="1306" t="str">
        <f>IF(CG17="","",VLOOKUP(CG17,SectInfo!$B:$N,9,FALSE))</f>
        <v/>
      </c>
      <c r="CK57" s="1307">
        <f t="shared" si="105"/>
        <v>0</v>
      </c>
      <c r="CL57" s="1305" t="str">
        <f>IF(CQ17="","",VLOOKUP(CQ17,SectInfo!$B:$N,12,FALSE))</f>
        <v/>
      </c>
      <c r="CM57" s="1306" t="str">
        <f>IF(ISBLANK(CX17),IF(CQ17="","",VLOOKUP(CQ17,SectInfo!$B:$N,13,FALSE)),CX17)</f>
        <v/>
      </c>
      <c r="CN57" s="1306" t="str">
        <f>IF(CQ17="","",IF(VLOOKUP(CQ17,SectInfo!$B:$N,5,FALSE)="","R",UPPER(VLOOKUP(CQ17,SectInfo!$B:$N,5,FALSE))))</f>
        <v/>
      </c>
      <c r="CO57" s="1306" t="str">
        <f>IF(ISBLANK(CZ17),IF(CQ17="","",VLOOKUP(CQ17,SectInfo!$B:$N,6,FALSE)),CZ17)</f>
        <v/>
      </c>
      <c r="CP57" s="1306" t="str">
        <f>IF(CQ17="","",IF(VLOOKUP(CQ17,SectInfo!$B:$N,10,FALSE)="","",(VLOOKUP(CQ17,SectInfo!$B:$N,10,FALSE)*-1)))</f>
        <v/>
      </c>
      <c r="CQ57" s="1306" t="str">
        <f>IF(CQ17="","",IF(VLOOKUP(CQ17,SectInfo!$B:$N,7,FALSE)="","",(VLOOKUP(CQ17,SectInfo!$B:$N,7,FALSE)*-1)))</f>
        <v/>
      </c>
      <c r="CR57" s="1306" t="str">
        <f>IF(CQ17="","",IF(VLOOKUP(CQ17,SectInfo!$B:$N,8,FALSE)="",$FC$4,(VLOOKUP(CQ17,SectInfo!$B:$N,8,FALSE))))</f>
        <v/>
      </c>
      <c r="CS57" s="1306" t="str">
        <f>IF(CQ17="","",VLOOKUP(CQ17,SectInfo!$B:$N,9,FALSE))</f>
        <v/>
      </c>
      <c r="CT57" s="1307">
        <f t="shared" si="106"/>
        <v>0</v>
      </c>
      <c r="CU57" s="1317">
        <f t="shared" si="107"/>
        <v>0</v>
      </c>
      <c r="CV57" s="1311" t="str">
        <f t="shared" si="108"/>
        <v/>
      </c>
      <c r="CW57" s="1311" t="str">
        <f t="shared" si="109"/>
        <v/>
      </c>
      <c r="CX57" s="1311" t="str">
        <f t="shared" si="110"/>
        <v/>
      </c>
      <c r="CY57" s="1313">
        <f t="shared" si="111"/>
        <v>0</v>
      </c>
      <c r="CZ57" s="1313">
        <f t="shared" si="112"/>
        <v>0</v>
      </c>
      <c r="DA57" s="1313" t="str">
        <f t="shared" si="113"/>
        <v/>
      </c>
      <c r="DB57" s="1311" t="str">
        <f t="shared" si="178"/>
        <v/>
      </c>
      <c r="DC57" s="1311" t="str">
        <f t="shared" si="114"/>
        <v/>
      </c>
      <c r="DD57" s="875">
        <f t="shared" si="179"/>
        <v>0</v>
      </c>
      <c r="DE57" s="873">
        <f t="shared" si="115"/>
        <v>0</v>
      </c>
      <c r="DF57" s="874">
        <f t="shared" si="116"/>
        <v>0</v>
      </c>
      <c r="DG57" s="874" t="str">
        <f t="shared" si="117"/>
        <v/>
      </c>
      <c r="DH57" s="1311" t="str">
        <f t="shared" si="180"/>
        <v/>
      </c>
      <c r="DI57" s="1311" t="str">
        <f t="shared" si="118"/>
        <v/>
      </c>
      <c r="DJ57" s="1312">
        <f t="shared" si="181"/>
        <v>0</v>
      </c>
      <c r="DK57" s="1311" t="str">
        <f t="shared" si="119"/>
        <v/>
      </c>
      <c r="DL57" s="1311" t="str">
        <f t="shared" si="120"/>
        <v/>
      </c>
      <c r="DM57" s="1311" t="str">
        <f t="shared" si="121"/>
        <v/>
      </c>
      <c r="DN57" s="1311" t="str">
        <f t="shared" si="122"/>
        <v/>
      </c>
      <c r="DO57" s="889" t="str">
        <f t="shared" si="123"/>
        <v>ERR</v>
      </c>
      <c r="DP57" s="889" t="str">
        <f t="shared" si="124"/>
        <v>ERR</v>
      </c>
      <c r="DQ57" s="1311" t="str">
        <f t="shared" si="125"/>
        <v/>
      </c>
      <c r="DR57" s="1311" t="str">
        <f t="shared" si="125"/>
        <v/>
      </c>
      <c r="DS57" s="1311" t="str">
        <f t="shared" si="126"/>
        <v/>
      </c>
      <c r="DT57" s="1311" t="str">
        <f t="shared" si="127"/>
        <v/>
      </c>
      <c r="DU57" s="1311"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6" t="str">
        <f>IF(ISBLANK(CN18),IF(CG18="","",VLOOKUP(CG18,SectInfo!$B:$N,13,FALSE)),CN18)</f>
        <v/>
      </c>
      <c r="CE58" s="1306" t="str">
        <f>IF(CG18="","",IF(VLOOKUP(CG18,SectInfo!$B:$N,5,FALSE)="","R",UPPER(VLOOKUP(CG18,SectInfo!$B:$N,5,FALSE))))</f>
        <v/>
      </c>
      <c r="CF58" s="1306" t="str">
        <f>IF(ISBLANK(CP18),IF(CG18="","",VLOOKUP(CG18,SectInfo!$B:$N,6,FALSE)),CP18)</f>
        <v/>
      </c>
      <c r="CG58" s="1306" t="str">
        <f>IF(CG18="","",IF(VLOOKUP(CG18,SectInfo!$B:$N,10,FALSE)="","",(VLOOKUP(CG18,SectInfo!$B:$N,10,FALSE)*-1)))</f>
        <v/>
      </c>
      <c r="CH58" s="1306" t="str">
        <f>IF(CG18="","",IF(VLOOKUP(CG18,SectInfo!$B:$N,7,FALSE)="","",(VLOOKUP(CG18,SectInfo!$B:$N,7,FALSE)*-1)))</f>
        <v/>
      </c>
      <c r="CI58" s="1306" t="str">
        <f>IF(CG18="","",IF(VLOOKUP(CG18,SectInfo!$B:$N,8,FALSE)="",$FC$4,(VLOOKUP(CG18,SectInfo!$B:$N,8,FALSE))))</f>
        <v/>
      </c>
      <c r="CJ58" s="1306" t="str">
        <f>IF(CG18="","",VLOOKUP(CG18,SectInfo!$B:$N,9,FALSE))</f>
        <v/>
      </c>
      <c r="CK58" s="1307">
        <f t="shared" si="105"/>
        <v>0</v>
      </c>
      <c r="CL58" s="1305" t="str">
        <f>IF(CQ18="","",VLOOKUP(CQ18,SectInfo!$B:$N,12,FALSE))</f>
        <v/>
      </c>
      <c r="CM58" s="1306" t="str">
        <f>IF(ISBLANK(CX18),IF(CQ18="","",VLOOKUP(CQ18,SectInfo!$B:$N,13,FALSE)),CX18)</f>
        <v/>
      </c>
      <c r="CN58" s="1306" t="str">
        <f>IF(CQ18="","",IF(VLOOKUP(CQ18,SectInfo!$B:$N,5,FALSE)="","R",UPPER(VLOOKUP(CQ18,SectInfo!$B:$N,5,FALSE))))</f>
        <v/>
      </c>
      <c r="CO58" s="1306" t="str">
        <f>IF(ISBLANK(CZ18),IF(CQ18="","",VLOOKUP(CQ18,SectInfo!$B:$N,6,FALSE)),CZ18)</f>
        <v/>
      </c>
      <c r="CP58" s="1306" t="str">
        <f>IF(CQ18="","",IF(VLOOKUP(CQ18,SectInfo!$B:$N,10,FALSE)="","",(VLOOKUP(CQ18,SectInfo!$B:$N,10,FALSE)*-1)))</f>
        <v/>
      </c>
      <c r="CQ58" s="1306" t="str">
        <f>IF(CQ18="","",IF(VLOOKUP(CQ18,SectInfo!$B:$N,7,FALSE)="","",(VLOOKUP(CQ18,SectInfo!$B:$N,7,FALSE)*-1)))</f>
        <v/>
      </c>
      <c r="CR58" s="1306" t="str">
        <f>IF(CQ18="","",IF(VLOOKUP(CQ18,SectInfo!$B:$N,8,FALSE)="",$FC$4,(VLOOKUP(CQ18,SectInfo!$B:$N,8,FALSE))))</f>
        <v/>
      </c>
      <c r="CS58" s="1306" t="str">
        <f>IF(CQ18="","",VLOOKUP(CQ18,SectInfo!$B:$N,9,FALSE))</f>
        <v/>
      </c>
      <c r="CT58" s="1307">
        <f t="shared" si="106"/>
        <v>0</v>
      </c>
      <c r="CU58" s="1317">
        <f t="shared" si="107"/>
        <v>0</v>
      </c>
      <c r="CV58" s="1311" t="str">
        <f t="shared" si="108"/>
        <v/>
      </c>
      <c r="CW58" s="1311" t="str">
        <f t="shared" si="109"/>
        <v/>
      </c>
      <c r="CX58" s="1311" t="str">
        <f t="shared" si="110"/>
        <v/>
      </c>
      <c r="CY58" s="1313">
        <f t="shared" si="111"/>
        <v>0</v>
      </c>
      <c r="CZ58" s="1313">
        <f t="shared" si="112"/>
        <v>0</v>
      </c>
      <c r="DA58" s="1313" t="str">
        <f t="shared" si="113"/>
        <v/>
      </c>
      <c r="DB58" s="1311" t="str">
        <f t="shared" si="178"/>
        <v/>
      </c>
      <c r="DC58" s="1311" t="str">
        <f t="shared" si="114"/>
        <v/>
      </c>
      <c r="DD58" s="875">
        <f t="shared" si="179"/>
        <v>0</v>
      </c>
      <c r="DE58" s="873">
        <f t="shared" si="115"/>
        <v>0</v>
      </c>
      <c r="DF58" s="874">
        <f t="shared" si="116"/>
        <v>0</v>
      </c>
      <c r="DG58" s="874" t="str">
        <f t="shared" si="117"/>
        <v/>
      </c>
      <c r="DH58" s="1311" t="str">
        <f t="shared" si="180"/>
        <v/>
      </c>
      <c r="DI58" s="1311" t="str">
        <f t="shared" si="118"/>
        <v/>
      </c>
      <c r="DJ58" s="1312">
        <f t="shared" si="181"/>
        <v>0</v>
      </c>
      <c r="DK58" s="1311" t="str">
        <f t="shared" si="119"/>
        <v/>
      </c>
      <c r="DL58" s="1311" t="str">
        <f t="shared" si="120"/>
        <v/>
      </c>
      <c r="DM58" s="1311" t="str">
        <f t="shared" si="121"/>
        <v/>
      </c>
      <c r="DN58" s="1311" t="str">
        <f t="shared" si="122"/>
        <v/>
      </c>
      <c r="DO58" s="889" t="str">
        <f t="shared" si="123"/>
        <v>ERR</v>
      </c>
      <c r="DP58" s="889" t="str">
        <f t="shared" si="124"/>
        <v>ERR</v>
      </c>
      <c r="DQ58" s="1311" t="str">
        <f t="shared" si="125"/>
        <v/>
      </c>
      <c r="DR58" s="1311" t="str">
        <f t="shared" si="125"/>
        <v/>
      </c>
      <c r="DS58" s="1311" t="str">
        <f t="shared" si="126"/>
        <v/>
      </c>
      <c r="DT58" s="1311" t="str">
        <f t="shared" si="127"/>
        <v/>
      </c>
      <c r="DU58" s="1311"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6" t="str">
        <f>IF(ISBLANK(CN19),IF(CG19="","",VLOOKUP(CG19,SectInfo!$B:$N,13,FALSE)),CN19)</f>
        <v/>
      </c>
      <c r="CE59" s="1306" t="str">
        <f>IF(CG19="","",IF(VLOOKUP(CG19,SectInfo!$B:$N,5,FALSE)="","R",UPPER(VLOOKUP(CG19,SectInfo!$B:$N,5,FALSE))))</f>
        <v/>
      </c>
      <c r="CF59" s="1306" t="str">
        <f>IF(ISBLANK(CP19),IF(CG19="","",VLOOKUP(CG19,SectInfo!$B:$N,6,FALSE)),CP19)</f>
        <v/>
      </c>
      <c r="CG59" s="1306" t="str">
        <f>IF(CG19="","",IF(VLOOKUP(CG19,SectInfo!$B:$N,10,FALSE)="","",(VLOOKUP(CG19,SectInfo!$B:$N,10,FALSE)*-1)))</f>
        <v/>
      </c>
      <c r="CH59" s="1306" t="str">
        <f>IF(CG19="","",IF(VLOOKUP(CG19,SectInfo!$B:$N,7,FALSE)="","",(VLOOKUP(CG19,SectInfo!$B:$N,7,FALSE)*-1)))</f>
        <v/>
      </c>
      <c r="CI59" s="1306" t="str">
        <f>IF(CG19="","",IF(VLOOKUP(CG19,SectInfo!$B:$N,8,FALSE)="",$FC$4,(VLOOKUP(CG19,SectInfo!$B:$N,8,FALSE))))</f>
        <v/>
      </c>
      <c r="CJ59" s="1306" t="str">
        <f>IF(CG19="","",VLOOKUP(CG19,SectInfo!$B:$N,9,FALSE))</f>
        <v/>
      </c>
      <c r="CK59" s="1307">
        <f t="shared" si="105"/>
        <v>0</v>
      </c>
      <c r="CL59" s="1305" t="str">
        <f>IF(CQ19="","",VLOOKUP(CQ19,SectInfo!$B:$N,12,FALSE))</f>
        <v/>
      </c>
      <c r="CM59" s="1306" t="str">
        <f>IF(ISBLANK(CX19),IF(CQ19="","",VLOOKUP(CQ19,SectInfo!$B:$N,13,FALSE)),CX19)</f>
        <v/>
      </c>
      <c r="CN59" s="1306" t="str">
        <f>IF(CQ19="","",IF(VLOOKUP(CQ19,SectInfo!$B:$N,5,FALSE)="","R",UPPER(VLOOKUP(CQ19,SectInfo!$B:$N,5,FALSE))))</f>
        <v/>
      </c>
      <c r="CO59" s="1306" t="str">
        <f>IF(ISBLANK(CZ19),IF(CQ19="","",VLOOKUP(CQ19,SectInfo!$B:$N,6,FALSE)),CZ19)</f>
        <v/>
      </c>
      <c r="CP59" s="1306" t="str">
        <f>IF(CQ19="","",IF(VLOOKUP(CQ19,SectInfo!$B:$N,10,FALSE)="","",(VLOOKUP(CQ19,SectInfo!$B:$N,10,FALSE)*-1)))</f>
        <v/>
      </c>
      <c r="CQ59" s="1306" t="str">
        <f>IF(CQ19="","",IF(VLOOKUP(CQ19,SectInfo!$B:$N,7,FALSE)="","",(VLOOKUP(CQ19,SectInfo!$B:$N,7,FALSE)*-1)))</f>
        <v/>
      </c>
      <c r="CR59" s="1306" t="str">
        <f>IF(CQ19="","",IF(VLOOKUP(CQ19,SectInfo!$B:$N,8,FALSE)="",$FC$4,(VLOOKUP(CQ19,SectInfo!$B:$N,8,FALSE))))</f>
        <v/>
      </c>
      <c r="CS59" s="1306" t="str">
        <f>IF(CQ19="","",VLOOKUP(CQ19,SectInfo!$B:$N,9,FALSE))</f>
        <v/>
      </c>
      <c r="CT59" s="1307">
        <f t="shared" si="106"/>
        <v>0</v>
      </c>
      <c r="CU59" s="1317">
        <f t="shared" si="107"/>
        <v>0</v>
      </c>
      <c r="CV59" s="1311" t="str">
        <f t="shared" si="108"/>
        <v/>
      </c>
      <c r="CW59" s="1311" t="str">
        <f t="shared" si="109"/>
        <v/>
      </c>
      <c r="CX59" s="1311" t="str">
        <f t="shared" si="110"/>
        <v/>
      </c>
      <c r="CY59" s="1313">
        <f t="shared" si="111"/>
        <v>0</v>
      </c>
      <c r="CZ59" s="1313">
        <f t="shared" si="112"/>
        <v>0</v>
      </c>
      <c r="DA59" s="1313" t="str">
        <f t="shared" si="113"/>
        <v/>
      </c>
      <c r="DB59" s="1311" t="str">
        <f t="shared" si="178"/>
        <v/>
      </c>
      <c r="DC59" s="1311" t="str">
        <f t="shared" si="114"/>
        <v/>
      </c>
      <c r="DD59" s="875">
        <f t="shared" si="179"/>
        <v>0</v>
      </c>
      <c r="DE59" s="873">
        <f t="shared" si="115"/>
        <v>0</v>
      </c>
      <c r="DF59" s="874">
        <f t="shared" si="116"/>
        <v>0</v>
      </c>
      <c r="DG59" s="874" t="str">
        <f t="shared" si="117"/>
        <v/>
      </c>
      <c r="DH59" s="1311" t="str">
        <f t="shared" si="180"/>
        <v/>
      </c>
      <c r="DI59" s="1311" t="str">
        <f t="shared" si="118"/>
        <v/>
      </c>
      <c r="DJ59" s="1312">
        <f t="shared" si="181"/>
        <v>0</v>
      </c>
      <c r="DK59" s="1311" t="str">
        <f t="shared" si="119"/>
        <v/>
      </c>
      <c r="DL59" s="1311" t="str">
        <f t="shared" si="120"/>
        <v/>
      </c>
      <c r="DM59" s="1311" t="str">
        <f t="shared" si="121"/>
        <v/>
      </c>
      <c r="DN59" s="1311" t="str">
        <f t="shared" si="122"/>
        <v/>
      </c>
      <c r="DO59" s="889" t="str">
        <f t="shared" si="123"/>
        <v>ERR</v>
      </c>
      <c r="DP59" s="889" t="str">
        <f t="shared" si="124"/>
        <v>ERR</v>
      </c>
      <c r="DQ59" s="1311" t="str">
        <f t="shared" si="125"/>
        <v/>
      </c>
      <c r="DR59" s="1311" t="str">
        <f t="shared" si="125"/>
        <v/>
      </c>
      <c r="DS59" s="1311" t="str">
        <f t="shared" si="126"/>
        <v/>
      </c>
      <c r="DT59" s="1311" t="str">
        <f t="shared" si="127"/>
        <v/>
      </c>
      <c r="DU59" s="1311"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6" t="str">
        <f>IF(ISBLANK(CN20),IF(CG20="","",VLOOKUP(CG20,SectInfo!$B:$N,13,FALSE)),CN20)</f>
        <v/>
      </c>
      <c r="CE60" s="1306" t="str">
        <f>IF(CG20="","",IF(VLOOKUP(CG20,SectInfo!$B:$N,5,FALSE)="","R",UPPER(VLOOKUP(CG20,SectInfo!$B:$N,5,FALSE))))</f>
        <v/>
      </c>
      <c r="CF60" s="1306" t="str">
        <f>IF(ISBLANK(CP20),IF(CG20="","",VLOOKUP(CG20,SectInfo!$B:$N,6,FALSE)),CP20)</f>
        <v/>
      </c>
      <c r="CG60" s="1306" t="str">
        <f>IF(CG20="","",IF(VLOOKUP(CG20,SectInfo!$B:$N,10,FALSE)="","",(VLOOKUP(CG20,SectInfo!$B:$N,10,FALSE)*-1)))</f>
        <v/>
      </c>
      <c r="CH60" s="1306" t="str">
        <f>IF(CG20="","",IF(VLOOKUP(CG20,SectInfo!$B:$N,7,FALSE)="","",(VLOOKUP(CG20,SectInfo!$B:$N,7,FALSE)*-1)))</f>
        <v/>
      </c>
      <c r="CI60" s="1306" t="str">
        <f>IF(CG20="","",IF(VLOOKUP(CG20,SectInfo!$B:$N,8,FALSE)="",$FC$4,(VLOOKUP(CG20,SectInfo!$B:$N,8,FALSE))))</f>
        <v/>
      </c>
      <c r="CJ60" s="1306" t="str">
        <f>IF(CG20="","",VLOOKUP(CG20,SectInfo!$B:$N,9,FALSE))</f>
        <v/>
      </c>
      <c r="CK60" s="1307">
        <f t="shared" si="105"/>
        <v>0</v>
      </c>
      <c r="CL60" s="1305" t="str">
        <f>IF(CQ20="","",VLOOKUP(CQ20,SectInfo!$B:$N,12,FALSE))</f>
        <v/>
      </c>
      <c r="CM60" s="1306" t="str">
        <f>IF(ISBLANK(CX20),IF(CQ20="","",VLOOKUP(CQ20,SectInfo!$B:$N,13,FALSE)),CX20)</f>
        <v/>
      </c>
      <c r="CN60" s="1306" t="str">
        <f>IF(CQ20="","",IF(VLOOKUP(CQ20,SectInfo!$B:$N,5,FALSE)="","R",UPPER(VLOOKUP(CQ20,SectInfo!$B:$N,5,FALSE))))</f>
        <v/>
      </c>
      <c r="CO60" s="1306" t="str">
        <f>IF(ISBLANK(CZ20),IF(CQ20="","",VLOOKUP(CQ20,SectInfo!$B:$N,6,FALSE)),CZ20)</f>
        <v/>
      </c>
      <c r="CP60" s="1306" t="str">
        <f>IF(CQ20="","",IF(VLOOKUP(CQ20,SectInfo!$B:$N,10,FALSE)="","",(VLOOKUP(CQ20,SectInfo!$B:$N,10,FALSE)*-1)))</f>
        <v/>
      </c>
      <c r="CQ60" s="1306" t="str">
        <f>IF(CQ20="","",IF(VLOOKUP(CQ20,SectInfo!$B:$N,7,FALSE)="","",(VLOOKUP(CQ20,SectInfo!$B:$N,7,FALSE)*-1)))</f>
        <v/>
      </c>
      <c r="CR60" s="1306" t="str">
        <f>IF(CQ20="","",IF(VLOOKUP(CQ20,SectInfo!$B:$N,8,FALSE)="",$FC$4,(VLOOKUP(CQ20,SectInfo!$B:$N,8,FALSE))))</f>
        <v/>
      </c>
      <c r="CS60" s="1306" t="str">
        <f>IF(CQ20="","",VLOOKUP(CQ20,SectInfo!$B:$N,9,FALSE))</f>
        <v/>
      </c>
      <c r="CT60" s="1307">
        <f t="shared" si="106"/>
        <v>0</v>
      </c>
      <c r="CU60" s="1317">
        <f t="shared" si="107"/>
        <v>0</v>
      </c>
      <c r="CV60" s="1311" t="str">
        <f t="shared" si="108"/>
        <v/>
      </c>
      <c r="CW60" s="1311" t="str">
        <f t="shared" si="109"/>
        <v/>
      </c>
      <c r="CX60" s="1311" t="str">
        <f t="shared" si="110"/>
        <v/>
      </c>
      <c r="CY60" s="1313">
        <f t="shared" si="111"/>
        <v>0</v>
      </c>
      <c r="CZ60" s="1313">
        <f t="shared" si="112"/>
        <v>0</v>
      </c>
      <c r="DA60" s="1313" t="str">
        <f t="shared" si="113"/>
        <v/>
      </c>
      <c r="DB60" s="1311" t="str">
        <f t="shared" si="178"/>
        <v/>
      </c>
      <c r="DC60" s="1311" t="str">
        <f t="shared" si="114"/>
        <v/>
      </c>
      <c r="DD60" s="875">
        <f t="shared" si="179"/>
        <v>0</v>
      </c>
      <c r="DE60" s="873">
        <f t="shared" si="115"/>
        <v>0</v>
      </c>
      <c r="DF60" s="874">
        <f t="shared" si="116"/>
        <v>0</v>
      </c>
      <c r="DG60" s="874" t="str">
        <f t="shared" si="117"/>
        <v/>
      </c>
      <c r="DH60" s="1311" t="str">
        <f t="shared" si="180"/>
        <v/>
      </c>
      <c r="DI60" s="1311" t="str">
        <f t="shared" si="118"/>
        <v/>
      </c>
      <c r="DJ60" s="1312">
        <f t="shared" si="181"/>
        <v>0</v>
      </c>
      <c r="DK60" s="1311" t="str">
        <f t="shared" si="119"/>
        <v/>
      </c>
      <c r="DL60" s="1311" t="str">
        <f t="shared" si="120"/>
        <v/>
      </c>
      <c r="DM60" s="1311" t="str">
        <f t="shared" si="121"/>
        <v/>
      </c>
      <c r="DN60" s="1311" t="str">
        <f t="shared" si="122"/>
        <v/>
      </c>
      <c r="DO60" s="889" t="str">
        <f t="shared" si="123"/>
        <v>ERR</v>
      </c>
      <c r="DP60" s="889" t="str">
        <f t="shared" si="124"/>
        <v>ERR</v>
      </c>
      <c r="DQ60" s="1311" t="str">
        <f t="shared" si="125"/>
        <v/>
      </c>
      <c r="DR60" s="1311" t="str">
        <f t="shared" si="125"/>
        <v/>
      </c>
      <c r="DS60" s="1311" t="str">
        <f t="shared" si="126"/>
        <v/>
      </c>
      <c r="DT60" s="1311" t="str">
        <f t="shared" si="127"/>
        <v/>
      </c>
      <c r="DU60" s="1311"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6" t="str">
        <f>IF(ISBLANK(CN21),IF(CG21="","",VLOOKUP(CG21,SectInfo!$B:$N,13,FALSE)),CN21)</f>
        <v/>
      </c>
      <c r="CE61" s="1306" t="str">
        <f>IF(CG21="","",IF(VLOOKUP(CG21,SectInfo!$B:$N,5,FALSE)="","R",UPPER(VLOOKUP(CG21,SectInfo!$B:$N,5,FALSE))))</f>
        <v/>
      </c>
      <c r="CF61" s="1306" t="str">
        <f>IF(ISBLANK(CP21),IF(CG21="","",VLOOKUP(CG21,SectInfo!$B:$N,6,FALSE)),CP21)</f>
        <v/>
      </c>
      <c r="CG61" s="1306" t="str">
        <f>IF(CG21="","",IF(VLOOKUP(CG21,SectInfo!$B:$N,10,FALSE)="","",(VLOOKUP(CG21,SectInfo!$B:$N,10,FALSE)*-1)))</f>
        <v/>
      </c>
      <c r="CH61" s="1306" t="str">
        <f>IF(CG21="","",IF(VLOOKUP(CG21,SectInfo!$B:$N,7,FALSE)="","",(VLOOKUP(CG21,SectInfo!$B:$N,7,FALSE)*-1)))</f>
        <v/>
      </c>
      <c r="CI61" s="1306" t="str">
        <f>IF(CG21="","",IF(VLOOKUP(CG21,SectInfo!$B:$N,8,FALSE)="",$FC$4,(VLOOKUP(CG21,SectInfo!$B:$N,8,FALSE))))</f>
        <v/>
      </c>
      <c r="CJ61" s="1306" t="str">
        <f>IF(CG21="","",VLOOKUP(CG21,SectInfo!$B:$N,9,FALSE))</f>
        <v/>
      </c>
      <c r="CK61" s="1307">
        <f t="shared" si="105"/>
        <v>0</v>
      </c>
      <c r="CL61" s="1305" t="str">
        <f>IF(CQ21="","",VLOOKUP(CQ21,SectInfo!$B:$N,12,FALSE))</f>
        <v/>
      </c>
      <c r="CM61" s="1306" t="str">
        <f>IF(ISBLANK(CX21),IF(CQ21="","",VLOOKUP(CQ21,SectInfo!$B:$N,13,FALSE)),CX21)</f>
        <v/>
      </c>
      <c r="CN61" s="1306" t="str">
        <f>IF(CQ21="","",IF(VLOOKUP(CQ21,SectInfo!$B:$N,5,FALSE)="","R",UPPER(VLOOKUP(CQ21,SectInfo!$B:$N,5,FALSE))))</f>
        <v/>
      </c>
      <c r="CO61" s="1306" t="str">
        <f>IF(ISBLANK(CZ21),IF(CQ21="","",VLOOKUP(CQ21,SectInfo!$B:$N,6,FALSE)),CZ21)</f>
        <v/>
      </c>
      <c r="CP61" s="1306" t="str">
        <f>IF(CQ21="","",IF(VLOOKUP(CQ21,SectInfo!$B:$N,10,FALSE)="","",(VLOOKUP(CQ21,SectInfo!$B:$N,10,FALSE)*-1)))</f>
        <v/>
      </c>
      <c r="CQ61" s="1306" t="str">
        <f>IF(CQ21="","",IF(VLOOKUP(CQ21,SectInfo!$B:$N,7,FALSE)="","",(VLOOKUP(CQ21,SectInfo!$B:$N,7,FALSE)*-1)))</f>
        <v/>
      </c>
      <c r="CR61" s="1306" t="str">
        <f>IF(CQ21="","",IF(VLOOKUP(CQ21,SectInfo!$B:$N,8,FALSE)="",$FC$4,(VLOOKUP(CQ21,SectInfo!$B:$N,8,FALSE))))</f>
        <v/>
      </c>
      <c r="CS61" s="1306" t="str">
        <f>IF(CQ21="","",VLOOKUP(CQ21,SectInfo!$B:$N,9,FALSE))</f>
        <v/>
      </c>
      <c r="CT61" s="1307">
        <f t="shared" si="106"/>
        <v>0</v>
      </c>
      <c r="CU61" s="1317">
        <f t="shared" si="107"/>
        <v>0</v>
      </c>
      <c r="CV61" s="1311" t="str">
        <f t="shared" si="108"/>
        <v/>
      </c>
      <c r="CW61" s="1311" t="str">
        <f t="shared" si="109"/>
        <v/>
      </c>
      <c r="CX61" s="1311" t="str">
        <f t="shared" si="110"/>
        <v/>
      </c>
      <c r="CY61" s="1313">
        <f t="shared" si="111"/>
        <v>0</v>
      </c>
      <c r="CZ61" s="1313">
        <f t="shared" si="112"/>
        <v>0</v>
      </c>
      <c r="DA61" s="1313" t="str">
        <f t="shared" si="113"/>
        <v/>
      </c>
      <c r="DB61" s="1311" t="str">
        <f t="shared" si="178"/>
        <v/>
      </c>
      <c r="DC61" s="1311" t="str">
        <f t="shared" si="114"/>
        <v/>
      </c>
      <c r="DD61" s="875">
        <f t="shared" si="179"/>
        <v>0</v>
      </c>
      <c r="DE61" s="873">
        <f t="shared" si="115"/>
        <v>0</v>
      </c>
      <c r="DF61" s="874">
        <f t="shared" si="116"/>
        <v>0</v>
      </c>
      <c r="DG61" s="874" t="str">
        <f t="shared" si="117"/>
        <v/>
      </c>
      <c r="DH61" s="1311" t="str">
        <f t="shared" si="180"/>
        <v/>
      </c>
      <c r="DI61" s="1311" t="str">
        <f t="shared" si="118"/>
        <v/>
      </c>
      <c r="DJ61" s="1312">
        <f t="shared" si="181"/>
        <v>0</v>
      </c>
      <c r="DK61" s="1311" t="str">
        <f t="shared" si="119"/>
        <v/>
      </c>
      <c r="DL61" s="1311" t="str">
        <f t="shared" si="120"/>
        <v/>
      </c>
      <c r="DM61" s="1311" t="str">
        <f t="shared" si="121"/>
        <v/>
      </c>
      <c r="DN61" s="1311" t="str">
        <f t="shared" si="122"/>
        <v/>
      </c>
      <c r="DO61" s="889" t="str">
        <f t="shared" si="123"/>
        <v>ERR</v>
      </c>
      <c r="DP61" s="889" t="str">
        <f t="shared" si="124"/>
        <v>ERR</v>
      </c>
      <c r="DQ61" s="1311" t="str">
        <f t="shared" si="125"/>
        <v/>
      </c>
      <c r="DR61" s="1311" t="str">
        <f t="shared" si="125"/>
        <v/>
      </c>
      <c r="DS61" s="1311" t="str">
        <f t="shared" si="126"/>
        <v/>
      </c>
      <c r="DT61" s="1311" t="str">
        <f t="shared" si="127"/>
        <v/>
      </c>
      <c r="DU61" s="1311"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6" t="str">
        <f>IF(ISBLANK(CN22),IF(CG22="","",VLOOKUP(CG22,SectInfo!$B:$N,13,FALSE)),CN22)</f>
        <v/>
      </c>
      <c r="CE62" s="1306" t="str">
        <f>IF(CG22="","",IF(VLOOKUP(CG22,SectInfo!$B:$N,5,FALSE)="","R",UPPER(VLOOKUP(CG22,SectInfo!$B:$N,5,FALSE))))</f>
        <v/>
      </c>
      <c r="CF62" s="1306" t="str">
        <f>IF(ISBLANK(CP22),IF(CG22="","",VLOOKUP(CG22,SectInfo!$B:$N,6,FALSE)),CP22)</f>
        <v/>
      </c>
      <c r="CG62" s="1306" t="str">
        <f>IF(CG22="","",IF(VLOOKUP(CG22,SectInfo!$B:$N,10,FALSE)="","",(VLOOKUP(CG22,SectInfo!$B:$N,10,FALSE)*-1)))</f>
        <v/>
      </c>
      <c r="CH62" s="1306" t="str">
        <f>IF(CG22="","",IF(VLOOKUP(CG22,SectInfo!$B:$N,7,FALSE)="","",(VLOOKUP(CG22,SectInfo!$B:$N,7,FALSE)*-1)))</f>
        <v/>
      </c>
      <c r="CI62" s="1306" t="str">
        <f>IF(CG22="","",IF(VLOOKUP(CG22,SectInfo!$B:$N,8,FALSE)="",$FC$4,(VLOOKUP(CG22,SectInfo!$B:$N,8,FALSE))))</f>
        <v/>
      </c>
      <c r="CJ62" s="1306" t="str">
        <f>IF(CG22="","",VLOOKUP(CG22,SectInfo!$B:$N,9,FALSE))</f>
        <v/>
      </c>
      <c r="CK62" s="1307">
        <f t="shared" si="105"/>
        <v>0</v>
      </c>
      <c r="CL62" s="1305" t="str">
        <f>IF(CQ22="","",VLOOKUP(CQ22,SectInfo!$B:$N,12,FALSE))</f>
        <v/>
      </c>
      <c r="CM62" s="1306" t="str">
        <f>IF(ISBLANK(CX22),IF(CQ22="","",VLOOKUP(CQ22,SectInfo!$B:$N,13,FALSE)),CX22)</f>
        <v/>
      </c>
      <c r="CN62" s="1306" t="str">
        <f>IF(CQ22="","",IF(VLOOKUP(CQ22,SectInfo!$B:$N,5,FALSE)="","R",UPPER(VLOOKUP(CQ22,SectInfo!$B:$N,5,FALSE))))</f>
        <v/>
      </c>
      <c r="CO62" s="1306" t="str">
        <f>IF(ISBLANK(CZ22),IF(CQ22="","",VLOOKUP(CQ22,SectInfo!$B:$N,6,FALSE)),CZ22)</f>
        <v/>
      </c>
      <c r="CP62" s="1306" t="str">
        <f>IF(CQ22="","",IF(VLOOKUP(CQ22,SectInfo!$B:$N,10,FALSE)="","",(VLOOKUP(CQ22,SectInfo!$B:$N,10,FALSE)*-1)))</f>
        <v/>
      </c>
      <c r="CQ62" s="1306" t="str">
        <f>IF(CQ22="","",IF(VLOOKUP(CQ22,SectInfo!$B:$N,7,FALSE)="","",(VLOOKUP(CQ22,SectInfo!$B:$N,7,FALSE)*-1)))</f>
        <v/>
      </c>
      <c r="CR62" s="1306" t="str">
        <f>IF(CQ22="","",IF(VLOOKUP(CQ22,SectInfo!$B:$N,8,FALSE)="",$FC$4,(VLOOKUP(CQ22,SectInfo!$B:$N,8,FALSE))))</f>
        <v/>
      </c>
      <c r="CS62" s="1306" t="str">
        <f>IF(CQ22="","",VLOOKUP(CQ22,SectInfo!$B:$N,9,FALSE))</f>
        <v/>
      </c>
      <c r="CT62" s="1307">
        <f t="shared" si="106"/>
        <v>0</v>
      </c>
      <c r="CU62" s="1317">
        <f t="shared" si="107"/>
        <v>0</v>
      </c>
      <c r="CV62" s="1311" t="str">
        <f t="shared" si="108"/>
        <v/>
      </c>
      <c r="CW62" s="1311" t="str">
        <f t="shared" si="109"/>
        <v/>
      </c>
      <c r="CX62" s="1311" t="str">
        <f t="shared" si="110"/>
        <v/>
      </c>
      <c r="CY62" s="1313">
        <f t="shared" si="111"/>
        <v>0</v>
      </c>
      <c r="CZ62" s="1313">
        <f t="shared" si="112"/>
        <v>0</v>
      </c>
      <c r="DA62" s="1313" t="str">
        <f t="shared" si="113"/>
        <v/>
      </c>
      <c r="DB62" s="1311" t="str">
        <f t="shared" si="178"/>
        <v/>
      </c>
      <c r="DC62" s="1311" t="str">
        <f t="shared" si="114"/>
        <v/>
      </c>
      <c r="DD62" s="875">
        <f t="shared" si="179"/>
        <v>0</v>
      </c>
      <c r="DE62" s="873">
        <f t="shared" si="115"/>
        <v>0</v>
      </c>
      <c r="DF62" s="874">
        <f t="shared" si="116"/>
        <v>0</v>
      </c>
      <c r="DG62" s="874" t="str">
        <f t="shared" si="117"/>
        <v/>
      </c>
      <c r="DH62" s="1311" t="str">
        <f t="shared" si="180"/>
        <v/>
      </c>
      <c r="DI62" s="1311" t="str">
        <f t="shared" si="118"/>
        <v/>
      </c>
      <c r="DJ62" s="1312">
        <f t="shared" si="181"/>
        <v>0</v>
      </c>
      <c r="DK62" s="1311" t="str">
        <f t="shared" si="119"/>
        <v/>
      </c>
      <c r="DL62" s="1311" t="str">
        <f t="shared" si="120"/>
        <v/>
      </c>
      <c r="DM62" s="1311" t="str">
        <f t="shared" si="121"/>
        <v/>
      </c>
      <c r="DN62" s="1311" t="str">
        <f t="shared" si="122"/>
        <v/>
      </c>
      <c r="DO62" s="889" t="str">
        <f t="shared" si="123"/>
        <v>ERR</v>
      </c>
      <c r="DP62" s="889" t="str">
        <f t="shared" si="124"/>
        <v>ERR</v>
      </c>
      <c r="DQ62" s="1311" t="str">
        <f t="shared" si="125"/>
        <v/>
      </c>
      <c r="DR62" s="1311" t="str">
        <f t="shared" si="125"/>
        <v/>
      </c>
      <c r="DS62" s="1311" t="str">
        <f t="shared" si="126"/>
        <v/>
      </c>
      <c r="DT62" s="1311" t="str">
        <f t="shared" si="127"/>
        <v/>
      </c>
      <c r="DU62" s="1311"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6" t="str">
        <f>IF(ISBLANK(CN23),IF(CG23="","",VLOOKUP(CG23,SectInfo!$B:$N,13,FALSE)),CN23)</f>
        <v/>
      </c>
      <c r="CE63" s="1306" t="str">
        <f>IF(CG23="","",IF(VLOOKUP(CG23,SectInfo!$B:$N,5,FALSE)="","R",UPPER(VLOOKUP(CG23,SectInfo!$B:$N,5,FALSE))))</f>
        <v/>
      </c>
      <c r="CF63" s="1306" t="str">
        <f>IF(ISBLANK(CP23),IF(CG23="","",VLOOKUP(CG23,SectInfo!$B:$N,6,FALSE)),CP23)</f>
        <v/>
      </c>
      <c r="CG63" s="1306" t="str">
        <f>IF(CG23="","",IF(VLOOKUP(CG23,SectInfo!$B:$N,10,FALSE)="","",(VLOOKUP(CG23,SectInfo!$B:$N,10,FALSE)*-1)))</f>
        <v/>
      </c>
      <c r="CH63" s="1306" t="str">
        <f>IF(CG23="","",IF(VLOOKUP(CG23,SectInfo!$B:$N,7,FALSE)="","",(VLOOKUP(CG23,SectInfo!$B:$N,7,FALSE)*-1)))</f>
        <v/>
      </c>
      <c r="CI63" s="1306" t="str">
        <f>IF(CG23="","",IF(VLOOKUP(CG23,SectInfo!$B:$N,8,FALSE)="",$FC$4,(VLOOKUP(CG23,SectInfo!$B:$N,8,FALSE))))</f>
        <v/>
      </c>
      <c r="CJ63" s="1306" t="str">
        <f>IF(CG23="","",VLOOKUP(CG23,SectInfo!$B:$N,9,FALSE))</f>
        <v/>
      </c>
      <c r="CK63" s="1307">
        <f t="shared" si="105"/>
        <v>0</v>
      </c>
      <c r="CL63" s="1305" t="str">
        <f>IF(CQ23="","",VLOOKUP(CQ23,SectInfo!$B:$N,12,FALSE))</f>
        <v/>
      </c>
      <c r="CM63" s="1306" t="str">
        <f>IF(ISBLANK(CX23),IF(CQ23="","",VLOOKUP(CQ23,SectInfo!$B:$N,13,FALSE)),CX23)</f>
        <v/>
      </c>
      <c r="CN63" s="1306" t="str">
        <f>IF(CQ23="","",IF(VLOOKUP(CQ23,SectInfo!$B:$N,5,FALSE)="","R",UPPER(VLOOKUP(CQ23,SectInfo!$B:$N,5,FALSE))))</f>
        <v/>
      </c>
      <c r="CO63" s="1306" t="str">
        <f>IF(ISBLANK(CZ23),IF(CQ23="","",VLOOKUP(CQ23,SectInfo!$B:$N,6,FALSE)),CZ23)</f>
        <v/>
      </c>
      <c r="CP63" s="1306" t="str">
        <f>IF(CQ23="","",IF(VLOOKUP(CQ23,SectInfo!$B:$N,10,FALSE)="","",(VLOOKUP(CQ23,SectInfo!$B:$N,10,FALSE)*-1)))</f>
        <v/>
      </c>
      <c r="CQ63" s="1306" t="str">
        <f>IF(CQ23="","",IF(VLOOKUP(CQ23,SectInfo!$B:$N,7,FALSE)="","",(VLOOKUP(CQ23,SectInfo!$B:$N,7,FALSE)*-1)))</f>
        <v/>
      </c>
      <c r="CR63" s="1306" t="str">
        <f>IF(CQ23="","",IF(VLOOKUP(CQ23,SectInfo!$B:$N,8,FALSE)="",$FC$4,(VLOOKUP(CQ23,SectInfo!$B:$N,8,FALSE))))</f>
        <v/>
      </c>
      <c r="CS63" s="1306" t="str">
        <f>IF(CQ23="","",VLOOKUP(CQ23,SectInfo!$B:$N,9,FALSE))</f>
        <v/>
      </c>
      <c r="CT63" s="1307">
        <f t="shared" si="106"/>
        <v>0</v>
      </c>
      <c r="CU63" s="1317">
        <f t="shared" si="107"/>
        <v>0</v>
      </c>
      <c r="CV63" s="1311" t="str">
        <f t="shared" si="108"/>
        <v/>
      </c>
      <c r="CW63" s="1311" t="str">
        <f t="shared" si="109"/>
        <v/>
      </c>
      <c r="CX63" s="1311" t="str">
        <f t="shared" si="110"/>
        <v/>
      </c>
      <c r="CY63" s="1313">
        <f t="shared" si="111"/>
        <v>0</v>
      </c>
      <c r="CZ63" s="1313">
        <f t="shared" si="112"/>
        <v>0</v>
      </c>
      <c r="DA63" s="1313" t="str">
        <f t="shared" si="113"/>
        <v/>
      </c>
      <c r="DB63" s="1311" t="str">
        <f t="shared" si="178"/>
        <v/>
      </c>
      <c r="DC63" s="1311" t="str">
        <f t="shared" si="114"/>
        <v/>
      </c>
      <c r="DD63" s="875">
        <f t="shared" si="179"/>
        <v>0</v>
      </c>
      <c r="DE63" s="873">
        <f t="shared" si="115"/>
        <v>0</v>
      </c>
      <c r="DF63" s="874">
        <f t="shared" si="116"/>
        <v>0</v>
      </c>
      <c r="DG63" s="874" t="str">
        <f t="shared" si="117"/>
        <v/>
      </c>
      <c r="DH63" s="1311" t="str">
        <f t="shared" si="180"/>
        <v/>
      </c>
      <c r="DI63" s="1311" t="str">
        <f t="shared" si="118"/>
        <v/>
      </c>
      <c r="DJ63" s="1312">
        <f t="shared" si="181"/>
        <v>0</v>
      </c>
      <c r="DK63" s="1311" t="str">
        <f t="shared" si="119"/>
        <v/>
      </c>
      <c r="DL63" s="1311" t="str">
        <f t="shared" si="120"/>
        <v/>
      </c>
      <c r="DM63" s="1311" t="str">
        <f t="shared" si="121"/>
        <v/>
      </c>
      <c r="DN63" s="1311" t="str">
        <f t="shared" si="122"/>
        <v/>
      </c>
      <c r="DO63" s="889" t="str">
        <f t="shared" si="123"/>
        <v>ERR</v>
      </c>
      <c r="DP63" s="889" t="str">
        <f t="shared" si="124"/>
        <v>ERR</v>
      </c>
      <c r="DQ63" s="1311" t="str">
        <f t="shared" si="125"/>
        <v/>
      </c>
      <c r="DR63" s="1311" t="str">
        <f t="shared" si="125"/>
        <v/>
      </c>
      <c r="DS63" s="1311" t="str">
        <f t="shared" si="126"/>
        <v/>
      </c>
      <c r="DT63" s="1311" t="str">
        <f t="shared" si="127"/>
        <v/>
      </c>
      <c r="DU63" s="1311"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5"/>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6"/>
        <v>0</v>
      </c>
      <c r="CU64" s="1317">
        <f t="shared" si="107"/>
        <v>0</v>
      </c>
      <c r="CV64" s="1311" t="str">
        <f t="shared" si="108"/>
        <v/>
      </c>
      <c r="CW64" s="1311" t="str">
        <f t="shared" si="109"/>
        <v/>
      </c>
      <c r="CX64" s="1311" t="str">
        <f t="shared" si="110"/>
        <v/>
      </c>
      <c r="CY64" s="1313">
        <f t="shared" si="111"/>
        <v>0</v>
      </c>
      <c r="CZ64" s="1313">
        <f t="shared" si="112"/>
        <v>0</v>
      </c>
      <c r="DA64" s="1313" t="str">
        <f t="shared" si="113"/>
        <v/>
      </c>
      <c r="DB64" s="1311" t="str">
        <f t="shared" si="178"/>
        <v/>
      </c>
      <c r="DC64" s="1311" t="str">
        <f t="shared" si="114"/>
        <v/>
      </c>
      <c r="DD64" s="875">
        <f t="shared" si="179"/>
        <v>0</v>
      </c>
      <c r="DE64" s="873">
        <f t="shared" si="115"/>
        <v>0</v>
      </c>
      <c r="DF64" s="874">
        <f t="shared" si="116"/>
        <v>0</v>
      </c>
      <c r="DG64" s="874" t="str">
        <f t="shared" si="117"/>
        <v/>
      </c>
      <c r="DH64" s="1311" t="str">
        <f t="shared" si="180"/>
        <v/>
      </c>
      <c r="DI64" s="1311" t="str">
        <f t="shared" si="118"/>
        <v/>
      </c>
      <c r="DJ64" s="1312">
        <f t="shared" si="181"/>
        <v>0</v>
      </c>
      <c r="DK64" s="1311" t="str">
        <f t="shared" si="119"/>
        <v/>
      </c>
      <c r="DL64" s="1311" t="str">
        <f t="shared" si="120"/>
        <v/>
      </c>
      <c r="DM64" s="1311" t="str">
        <f t="shared" si="121"/>
        <v/>
      </c>
      <c r="DN64" s="1311" t="str">
        <f t="shared" si="122"/>
        <v/>
      </c>
      <c r="DO64" s="889" t="str">
        <f t="shared" si="123"/>
        <v>ERR</v>
      </c>
      <c r="DP64" s="889" t="str">
        <f t="shared" si="124"/>
        <v>ERR</v>
      </c>
      <c r="DQ64" s="1311" t="str">
        <f t="shared" si="125"/>
        <v/>
      </c>
      <c r="DR64" s="1311" t="str">
        <f t="shared" si="125"/>
        <v/>
      </c>
      <c r="DS64" s="1311" t="str">
        <f t="shared" si="126"/>
        <v/>
      </c>
      <c r="DT64" s="1311" t="str">
        <f t="shared" si="127"/>
        <v/>
      </c>
      <c r="DU64" s="1311"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6" t="str">
        <f>IF(ISBLANK(CN25),IF(CG25="","",VLOOKUP(CG25,SectInfo!$B:$N,13,FALSE)),CN25)</f>
        <v/>
      </c>
      <c r="CE65" s="1306" t="str">
        <f>IF(CG25="","",IF(VLOOKUP(CG25,SectInfo!$B:$N,5,FALSE)="","R",UPPER(VLOOKUP(CG25,SectInfo!$B:$N,5,FALSE))))</f>
        <v/>
      </c>
      <c r="CF65" s="1306" t="str">
        <f>IF(ISBLANK(CP25),IF(CG25="","",VLOOKUP(CG25,SectInfo!$B:$N,6,FALSE)),CP25)</f>
        <v/>
      </c>
      <c r="CG65" s="1306" t="str">
        <f>IF(CG25="","",IF(VLOOKUP(CG25,SectInfo!$B:$N,10,FALSE)="","",(VLOOKUP(CG25,SectInfo!$B:$N,10,FALSE)*-1)))</f>
        <v/>
      </c>
      <c r="CH65" s="1306" t="str">
        <f>IF(CG25="","",IF(VLOOKUP(CG25,SectInfo!$B:$N,7,FALSE)="","",(VLOOKUP(CG25,SectInfo!$B:$N,7,FALSE)*-1)))</f>
        <v/>
      </c>
      <c r="CI65" s="1306" t="str">
        <f>IF(CG25="","",IF(VLOOKUP(CG25,SectInfo!$B:$N,8,FALSE)="",$FC$4,(VLOOKUP(CG25,SectInfo!$B:$N,8,FALSE))))</f>
        <v/>
      </c>
      <c r="CJ65" s="1306" t="str">
        <f>IF(CG25="","",VLOOKUP(CG25,SectInfo!$B:$N,9,FALSE))</f>
        <v/>
      </c>
      <c r="CK65" s="1307">
        <f t="shared" si="105"/>
        <v>0</v>
      </c>
      <c r="CL65" s="1305" t="str">
        <f>IF(CQ25="","",VLOOKUP(CQ25,SectInfo!$B:$N,12,FALSE))</f>
        <v/>
      </c>
      <c r="CM65" s="1306" t="str">
        <f>IF(ISBLANK(CX25),IF(CQ25="","",VLOOKUP(CQ25,SectInfo!$B:$N,13,FALSE)),CX25)</f>
        <v/>
      </c>
      <c r="CN65" s="1306" t="str">
        <f>IF(CQ25="","",IF(VLOOKUP(CQ25,SectInfo!$B:$N,5,FALSE)="","R",UPPER(VLOOKUP(CQ25,SectInfo!$B:$N,5,FALSE))))</f>
        <v/>
      </c>
      <c r="CO65" s="1306" t="str">
        <f>IF(ISBLANK(CZ25),IF(CQ25="","",VLOOKUP(CQ25,SectInfo!$B:$N,6,FALSE)),CZ25)</f>
        <v/>
      </c>
      <c r="CP65" s="1306" t="str">
        <f>IF(CQ25="","",IF(VLOOKUP(CQ25,SectInfo!$B:$N,10,FALSE)="","",(VLOOKUP(CQ25,SectInfo!$B:$N,10,FALSE)*-1)))</f>
        <v/>
      </c>
      <c r="CQ65" s="1306" t="str">
        <f>IF(CQ25="","",IF(VLOOKUP(CQ25,SectInfo!$B:$N,7,FALSE)="","",(VLOOKUP(CQ25,SectInfo!$B:$N,7,FALSE)*-1)))</f>
        <v/>
      </c>
      <c r="CR65" s="1306" t="str">
        <f>IF(CQ25="","",IF(VLOOKUP(CQ25,SectInfo!$B:$N,8,FALSE)="",$FC$4,(VLOOKUP(CQ25,SectInfo!$B:$N,8,FALSE))))</f>
        <v/>
      </c>
      <c r="CS65" s="1306" t="str">
        <f>IF(CQ25="","",VLOOKUP(CQ25,SectInfo!$B:$N,9,FALSE))</f>
        <v/>
      </c>
      <c r="CT65" s="1307">
        <f t="shared" si="106"/>
        <v>0</v>
      </c>
      <c r="CU65" s="1317">
        <f t="shared" si="107"/>
        <v>0</v>
      </c>
      <c r="CV65" s="1311" t="str">
        <f t="shared" si="108"/>
        <v/>
      </c>
      <c r="CW65" s="1311" t="str">
        <f t="shared" si="109"/>
        <v/>
      </c>
      <c r="CX65" s="1311" t="str">
        <f t="shared" si="110"/>
        <v/>
      </c>
      <c r="CY65" s="1313">
        <f t="shared" si="111"/>
        <v>0</v>
      </c>
      <c r="CZ65" s="1313">
        <f t="shared" si="112"/>
        <v>0</v>
      </c>
      <c r="DA65" s="1313" t="str">
        <f t="shared" si="113"/>
        <v/>
      </c>
      <c r="DB65" s="1311" t="str">
        <f t="shared" si="178"/>
        <v/>
      </c>
      <c r="DC65" s="1311" t="str">
        <f t="shared" si="114"/>
        <v/>
      </c>
      <c r="DD65" s="875">
        <f t="shared" si="179"/>
        <v>0</v>
      </c>
      <c r="DE65" s="873">
        <f t="shared" si="115"/>
        <v>0</v>
      </c>
      <c r="DF65" s="874">
        <f t="shared" si="116"/>
        <v>0</v>
      </c>
      <c r="DG65" s="874" t="str">
        <f t="shared" si="117"/>
        <v/>
      </c>
      <c r="DH65" s="1311" t="str">
        <f t="shared" si="180"/>
        <v/>
      </c>
      <c r="DI65" s="1311" t="str">
        <f t="shared" si="118"/>
        <v/>
      </c>
      <c r="DJ65" s="1312">
        <f t="shared" si="181"/>
        <v>0</v>
      </c>
      <c r="DK65" s="1311" t="str">
        <f t="shared" si="119"/>
        <v/>
      </c>
      <c r="DL65" s="1311" t="str">
        <f t="shared" si="120"/>
        <v/>
      </c>
      <c r="DM65" s="1311" t="str">
        <f t="shared" si="121"/>
        <v/>
      </c>
      <c r="DN65" s="1311" t="str">
        <f t="shared" si="122"/>
        <v/>
      </c>
      <c r="DO65" s="889" t="str">
        <f t="shared" si="123"/>
        <v>ERR</v>
      </c>
      <c r="DP65" s="889" t="str">
        <f t="shared" si="124"/>
        <v>ERR</v>
      </c>
      <c r="DQ65" s="1311" t="str">
        <f t="shared" si="125"/>
        <v/>
      </c>
      <c r="DR65" s="1311" t="str">
        <f t="shared" si="125"/>
        <v/>
      </c>
      <c r="DS65" s="1311" t="str">
        <f t="shared" si="126"/>
        <v/>
      </c>
      <c r="DT65" s="1311" t="str">
        <f t="shared" si="127"/>
        <v/>
      </c>
      <c r="DU65" s="1311"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6" t="str">
        <f>IF(ISBLANK(CN26),IF(CG26="","",VLOOKUP(CG26,SectInfo!$B:$N,13,FALSE)),CN26)</f>
        <v/>
      </c>
      <c r="CE66" s="1306" t="str">
        <f>IF(CG26="","",IF(VLOOKUP(CG26,SectInfo!$B:$N,5,FALSE)="","R",UPPER(VLOOKUP(CG26,SectInfo!$B:$N,5,FALSE))))</f>
        <v/>
      </c>
      <c r="CF66" s="1306" t="str">
        <f>IF(ISBLANK(CP26),IF(CG26="","",VLOOKUP(CG26,SectInfo!$B:$N,6,FALSE)),CP26)</f>
        <v/>
      </c>
      <c r="CG66" s="1306" t="str">
        <f>IF(CG26="","",IF(VLOOKUP(CG26,SectInfo!$B:$N,10,FALSE)="","",(VLOOKUP(CG26,SectInfo!$B:$N,10,FALSE)*-1)))</f>
        <v/>
      </c>
      <c r="CH66" s="1306" t="str">
        <f>IF(CG26="","",IF(VLOOKUP(CG26,SectInfo!$B:$N,7,FALSE)="","",(VLOOKUP(CG26,SectInfo!$B:$N,7,FALSE)*-1)))</f>
        <v/>
      </c>
      <c r="CI66" s="1306" t="str">
        <f>IF(CG26="","",IF(VLOOKUP(CG26,SectInfo!$B:$N,8,FALSE)="",$FC$4,(VLOOKUP(CG26,SectInfo!$B:$N,8,FALSE))))</f>
        <v/>
      </c>
      <c r="CJ66" s="1306" t="str">
        <f>IF(CG26="","",VLOOKUP(CG26,SectInfo!$B:$N,9,FALSE))</f>
        <v/>
      </c>
      <c r="CK66" s="1307">
        <f t="shared" si="105"/>
        <v>0</v>
      </c>
      <c r="CL66" s="1305" t="str">
        <f>IF(CQ26="","",VLOOKUP(CQ26,SectInfo!$B:$N,12,FALSE))</f>
        <v/>
      </c>
      <c r="CM66" s="1306" t="str">
        <f>IF(ISBLANK(CX26),IF(CQ26="","",VLOOKUP(CQ26,SectInfo!$B:$N,13,FALSE)),CX26)</f>
        <v/>
      </c>
      <c r="CN66" s="1306" t="str">
        <f>IF(CQ26="","",IF(VLOOKUP(CQ26,SectInfo!$B:$N,5,FALSE)="","R",UPPER(VLOOKUP(CQ26,SectInfo!$B:$N,5,FALSE))))</f>
        <v/>
      </c>
      <c r="CO66" s="1306" t="str">
        <f>IF(ISBLANK(CZ26),IF(CQ26="","",VLOOKUP(CQ26,SectInfo!$B:$N,6,FALSE)),CZ26)</f>
        <v/>
      </c>
      <c r="CP66" s="1306" t="str">
        <f>IF(CQ26="","",IF(VLOOKUP(CQ26,SectInfo!$B:$N,10,FALSE)="","",(VLOOKUP(CQ26,SectInfo!$B:$N,10,FALSE)*-1)))</f>
        <v/>
      </c>
      <c r="CQ66" s="1306" t="str">
        <f>IF(CQ26="","",IF(VLOOKUP(CQ26,SectInfo!$B:$N,7,FALSE)="","",(VLOOKUP(CQ26,SectInfo!$B:$N,7,FALSE)*-1)))</f>
        <v/>
      </c>
      <c r="CR66" s="1306" t="str">
        <f>IF(CQ26="","",IF(VLOOKUP(CQ26,SectInfo!$B:$N,8,FALSE)="",$FC$4,(VLOOKUP(CQ26,SectInfo!$B:$N,8,FALSE))))</f>
        <v/>
      </c>
      <c r="CS66" s="1306" t="str">
        <f>IF(CQ26="","",VLOOKUP(CQ26,SectInfo!$B:$N,9,FALSE))</f>
        <v/>
      </c>
      <c r="CT66" s="1307">
        <f t="shared" si="106"/>
        <v>0</v>
      </c>
      <c r="CU66" s="1317">
        <f t="shared" si="107"/>
        <v>0</v>
      </c>
      <c r="CV66" s="1311" t="str">
        <f t="shared" si="108"/>
        <v/>
      </c>
      <c r="CW66" s="1311" t="str">
        <f t="shared" si="109"/>
        <v/>
      </c>
      <c r="CX66" s="1311" t="str">
        <f t="shared" si="110"/>
        <v/>
      </c>
      <c r="CY66" s="1313">
        <f t="shared" si="111"/>
        <v>0</v>
      </c>
      <c r="CZ66" s="1313">
        <f t="shared" si="112"/>
        <v>0</v>
      </c>
      <c r="DA66" s="1313" t="str">
        <f t="shared" si="113"/>
        <v/>
      </c>
      <c r="DB66" s="1311" t="str">
        <f t="shared" si="178"/>
        <v/>
      </c>
      <c r="DC66" s="1311" t="str">
        <f t="shared" si="114"/>
        <v/>
      </c>
      <c r="DD66" s="875">
        <f t="shared" si="179"/>
        <v>0</v>
      </c>
      <c r="DE66" s="873">
        <f t="shared" si="115"/>
        <v>0</v>
      </c>
      <c r="DF66" s="874">
        <f t="shared" si="116"/>
        <v>0</v>
      </c>
      <c r="DG66" s="874" t="str">
        <f t="shared" si="117"/>
        <v/>
      </c>
      <c r="DH66" s="1311" t="str">
        <f t="shared" si="180"/>
        <v/>
      </c>
      <c r="DI66" s="1311" t="str">
        <f t="shared" si="118"/>
        <v/>
      </c>
      <c r="DJ66" s="1312">
        <f t="shared" si="181"/>
        <v>0</v>
      </c>
      <c r="DK66" s="1311" t="str">
        <f t="shared" si="119"/>
        <v/>
      </c>
      <c r="DL66" s="1311" t="str">
        <f t="shared" si="120"/>
        <v/>
      </c>
      <c r="DM66" s="1311" t="str">
        <f t="shared" si="121"/>
        <v/>
      </c>
      <c r="DN66" s="1311" t="str">
        <f t="shared" si="122"/>
        <v/>
      </c>
      <c r="DO66" s="889" t="str">
        <f t="shared" si="123"/>
        <v>ERR</v>
      </c>
      <c r="DP66" s="889" t="str">
        <f t="shared" si="124"/>
        <v>ERR</v>
      </c>
      <c r="DQ66" s="1311" t="str">
        <f t="shared" si="125"/>
        <v/>
      </c>
      <c r="DR66" s="1311" t="str">
        <f t="shared" si="125"/>
        <v/>
      </c>
      <c r="DS66" s="1311" t="str">
        <f t="shared" si="126"/>
        <v/>
      </c>
      <c r="DT66" s="1311" t="str">
        <f t="shared" si="127"/>
        <v/>
      </c>
      <c r="DU66" s="1311"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6" t="str">
        <f>IF(ISBLANK(CN27),IF(CG27="","",VLOOKUP(CG27,SectInfo!$B:$N,13,FALSE)),CN27)</f>
        <v/>
      </c>
      <c r="CE67" s="1306" t="str">
        <f>IF(CG27="","",IF(VLOOKUP(CG27,SectInfo!$B:$N,5,FALSE)="","R",UPPER(VLOOKUP(CG27,SectInfo!$B:$N,5,FALSE))))</f>
        <v/>
      </c>
      <c r="CF67" s="1306" t="str">
        <f>IF(ISBLANK(CP27),IF(CG27="","",VLOOKUP(CG27,SectInfo!$B:$N,6,FALSE)),CP27)</f>
        <v/>
      </c>
      <c r="CG67" s="1306" t="str">
        <f>IF(CG27="","",IF(VLOOKUP(CG27,SectInfo!$B:$N,10,FALSE)="","",(VLOOKUP(CG27,SectInfo!$B:$N,10,FALSE)*-1)))</f>
        <v/>
      </c>
      <c r="CH67" s="1306" t="str">
        <f>IF(CG27="","",IF(VLOOKUP(CG27,SectInfo!$B:$N,7,FALSE)="","",(VLOOKUP(CG27,SectInfo!$B:$N,7,FALSE)*-1)))</f>
        <v/>
      </c>
      <c r="CI67" s="1306" t="str">
        <f>IF(CG27="","",IF(VLOOKUP(CG27,SectInfo!$B:$N,8,FALSE)="",$FC$4,(VLOOKUP(CG27,SectInfo!$B:$N,8,FALSE))))</f>
        <v/>
      </c>
      <c r="CJ67" s="1306" t="str">
        <f>IF(CG27="","",VLOOKUP(CG27,SectInfo!$B:$N,9,FALSE))</f>
        <v/>
      </c>
      <c r="CK67" s="1307">
        <f t="shared" si="105"/>
        <v>0</v>
      </c>
      <c r="CL67" s="1305" t="str">
        <f>IF(CQ27="","",VLOOKUP(CQ27,SectInfo!$B:$N,12,FALSE))</f>
        <v/>
      </c>
      <c r="CM67" s="1306" t="str">
        <f>IF(ISBLANK(CX27),IF(CQ27="","",VLOOKUP(CQ27,SectInfo!$B:$N,13,FALSE)),CX27)</f>
        <v/>
      </c>
      <c r="CN67" s="1306" t="str">
        <f>IF(CQ27="","",IF(VLOOKUP(CQ27,SectInfo!$B:$N,5,FALSE)="","R",UPPER(VLOOKUP(CQ27,SectInfo!$B:$N,5,FALSE))))</f>
        <v/>
      </c>
      <c r="CO67" s="1306" t="str">
        <f>IF(ISBLANK(CZ27),IF(CQ27="","",VLOOKUP(CQ27,SectInfo!$B:$N,6,FALSE)),CZ27)</f>
        <v/>
      </c>
      <c r="CP67" s="1306" t="str">
        <f>IF(CQ27="","",IF(VLOOKUP(CQ27,SectInfo!$B:$N,10,FALSE)="","",(VLOOKUP(CQ27,SectInfo!$B:$N,10,FALSE)*-1)))</f>
        <v/>
      </c>
      <c r="CQ67" s="1306" t="str">
        <f>IF(CQ27="","",IF(VLOOKUP(CQ27,SectInfo!$B:$N,7,FALSE)="","",(VLOOKUP(CQ27,SectInfo!$B:$N,7,FALSE)*-1)))</f>
        <v/>
      </c>
      <c r="CR67" s="1306" t="str">
        <f>IF(CQ27="","",IF(VLOOKUP(CQ27,SectInfo!$B:$N,8,FALSE)="",$FC$4,(VLOOKUP(CQ27,SectInfo!$B:$N,8,FALSE))))</f>
        <v/>
      </c>
      <c r="CS67" s="1306" t="str">
        <f>IF(CQ27="","",VLOOKUP(CQ27,SectInfo!$B:$N,9,FALSE))</f>
        <v/>
      </c>
      <c r="CT67" s="1307">
        <f t="shared" si="106"/>
        <v>0</v>
      </c>
      <c r="CU67" s="1317">
        <f t="shared" si="107"/>
        <v>0</v>
      </c>
      <c r="CV67" s="1311" t="str">
        <f t="shared" si="108"/>
        <v/>
      </c>
      <c r="CW67" s="1311" t="str">
        <f t="shared" si="109"/>
        <v/>
      </c>
      <c r="CX67" s="1311" t="str">
        <f t="shared" si="110"/>
        <v/>
      </c>
      <c r="CY67" s="1313">
        <f t="shared" si="111"/>
        <v>0</v>
      </c>
      <c r="CZ67" s="1313">
        <f t="shared" si="112"/>
        <v>0</v>
      </c>
      <c r="DA67" s="1313" t="str">
        <f t="shared" si="113"/>
        <v/>
      </c>
      <c r="DB67" s="1311" t="str">
        <f t="shared" si="178"/>
        <v/>
      </c>
      <c r="DC67" s="1311" t="str">
        <f t="shared" si="114"/>
        <v/>
      </c>
      <c r="DD67" s="875">
        <f t="shared" si="179"/>
        <v>0</v>
      </c>
      <c r="DE67" s="873">
        <f t="shared" si="115"/>
        <v>0</v>
      </c>
      <c r="DF67" s="874">
        <f t="shared" si="116"/>
        <v>0</v>
      </c>
      <c r="DG67" s="874" t="str">
        <f t="shared" si="117"/>
        <v/>
      </c>
      <c r="DH67" s="1311" t="str">
        <f t="shared" si="180"/>
        <v/>
      </c>
      <c r="DI67" s="1311" t="str">
        <f t="shared" si="118"/>
        <v/>
      </c>
      <c r="DJ67" s="1312">
        <f t="shared" si="181"/>
        <v>0</v>
      </c>
      <c r="DK67" s="1311" t="str">
        <f t="shared" si="119"/>
        <v/>
      </c>
      <c r="DL67" s="1311" t="str">
        <f t="shared" si="120"/>
        <v/>
      </c>
      <c r="DM67" s="1311" t="str">
        <f t="shared" si="121"/>
        <v/>
      </c>
      <c r="DN67" s="1311" t="str">
        <f t="shared" si="122"/>
        <v/>
      </c>
      <c r="DO67" s="889" t="str">
        <f t="shared" si="123"/>
        <v>ERR</v>
      </c>
      <c r="DP67" s="889" t="str">
        <f t="shared" si="124"/>
        <v>ERR</v>
      </c>
      <c r="DQ67" s="1311" t="str">
        <f t="shared" si="125"/>
        <v/>
      </c>
      <c r="DR67" s="1311" t="str">
        <f t="shared" si="125"/>
        <v/>
      </c>
      <c r="DS67" s="1311" t="str">
        <f t="shared" si="126"/>
        <v/>
      </c>
      <c r="DT67" s="1311" t="str">
        <f t="shared" si="127"/>
        <v/>
      </c>
      <c r="DU67" s="1311"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si="105"/>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1306" t="str">
        <f>IF(CQ28="","",IF(VLOOKUP(CQ28,SectInfo!$B:$N,7,FALSE)="","",(VLOOKUP(CQ28,SectInfo!$B:$N,7,FALSE)*-1)))</f>
        <v/>
      </c>
      <c r="CR68" s="1306" t="str">
        <f>IF(CQ28="","",IF(VLOOKUP(CQ28,SectInfo!$B:$N,8,FALSE)="",$FC$4,(VLOOKUP(CQ28,SectInfo!$B:$N,8,FALSE))))</f>
        <v/>
      </c>
      <c r="CS68" s="1306" t="str">
        <f>IF(CQ28="","",VLOOKUP(CQ28,SectInfo!$B:$N,9,FALSE))</f>
        <v/>
      </c>
      <c r="CT68" s="1307">
        <f t="shared" si="106"/>
        <v>0</v>
      </c>
      <c r="CU68" s="1317">
        <f t="shared" si="107"/>
        <v>0</v>
      </c>
      <c r="CV68" s="1311" t="str">
        <f t="shared" si="108"/>
        <v/>
      </c>
      <c r="CW68" s="1311" t="str">
        <f t="shared" si="109"/>
        <v/>
      </c>
      <c r="CX68" s="1311" t="str">
        <f t="shared" si="110"/>
        <v/>
      </c>
      <c r="CY68" s="1313">
        <f t="shared" si="111"/>
        <v>0</v>
      </c>
      <c r="CZ68" s="1313">
        <f t="shared" si="112"/>
        <v>0</v>
      </c>
      <c r="DA68" s="1313" t="str">
        <f t="shared" si="113"/>
        <v/>
      </c>
      <c r="DB68" s="1311" t="str">
        <f t="shared" si="178"/>
        <v/>
      </c>
      <c r="DC68" s="1311" t="str">
        <f t="shared" si="114"/>
        <v/>
      </c>
      <c r="DD68" s="875">
        <f t="shared" si="179"/>
        <v>0</v>
      </c>
      <c r="DE68" s="873">
        <f t="shared" si="115"/>
        <v>0</v>
      </c>
      <c r="DF68" s="874">
        <f t="shared" si="116"/>
        <v>0</v>
      </c>
      <c r="DG68" s="874" t="str">
        <f t="shared" si="117"/>
        <v/>
      </c>
      <c r="DH68" s="1311" t="str">
        <f t="shared" si="180"/>
        <v/>
      </c>
      <c r="DI68" s="1311" t="str">
        <f t="shared" si="118"/>
        <v/>
      </c>
      <c r="DJ68" s="1312">
        <f t="shared" si="181"/>
        <v>0</v>
      </c>
      <c r="DK68" s="1311" t="str">
        <f t="shared" si="119"/>
        <v/>
      </c>
      <c r="DL68" s="1311" t="str">
        <f t="shared" si="120"/>
        <v/>
      </c>
      <c r="DM68" s="1311" t="str">
        <f t="shared" si="121"/>
        <v/>
      </c>
      <c r="DN68" s="1311" t="str">
        <f t="shared" si="122"/>
        <v/>
      </c>
      <c r="DO68" s="889" t="str">
        <f t="shared" si="123"/>
        <v>ERR</v>
      </c>
      <c r="DP68" s="889" t="str">
        <f t="shared" si="124"/>
        <v>ERR</v>
      </c>
      <c r="DQ68" s="1311" t="str">
        <f t="shared" si="125"/>
        <v/>
      </c>
      <c r="DR68" s="1311" t="str">
        <f t="shared" si="125"/>
        <v/>
      </c>
      <c r="DS68" s="1311" t="str">
        <f t="shared" si="126"/>
        <v/>
      </c>
      <c r="DT68" s="1311" t="str">
        <f t="shared" si="127"/>
        <v/>
      </c>
      <c r="DU68" s="1311"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0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1306" t="str">
        <f>IF(CQ29="","",IF(VLOOKUP(CQ29,SectInfo!$B:$N,7,FALSE)="","",(VLOOKUP(CQ29,SectInfo!$B:$N,7,FALSE)*-1)))</f>
        <v/>
      </c>
      <c r="CR69" s="1306" t="str">
        <f>IF(CQ29="","",IF(VLOOKUP(CQ29,SectInfo!$B:$N,8,FALSE)="",$FC$4,(VLOOKUP(CQ29,SectInfo!$B:$N,8,FALSE))))</f>
        <v/>
      </c>
      <c r="CS69" s="1306" t="str">
        <f>IF(CQ29="","",VLOOKUP(CQ29,SectInfo!$B:$N,9,FALSE))</f>
        <v/>
      </c>
      <c r="CT69" s="1307">
        <f t="shared" si="106"/>
        <v>0</v>
      </c>
      <c r="CU69" s="1317">
        <f t="shared" si="107"/>
        <v>0</v>
      </c>
      <c r="CV69" s="1311" t="str">
        <f t="shared" si="108"/>
        <v/>
      </c>
      <c r="CW69" s="1311" t="str">
        <f t="shared" si="109"/>
        <v/>
      </c>
      <c r="CX69" s="1311" t="str">
        <f t="shared" si="110"/>
        <v/>
      </c>
      <c r="CY69" s="1313">
        <f t="shared" si="111"/>
        <v>0</v>
      </c>
      <c r="CZ69" s="1313">
        <f t="shared" si="112"/>
        <v>0</v>
      </c>
      <c r="DA69" s="1313" t="str">
        <f t="shared" si="113"/>
        <v/>
      </c>
      <c r="DB69" s="1311" t="str">
        <f t="shared" si="178"/>
        <v/>
      </c>
      <c r="DC69" s="1311" t="str">
        <f t="shared" si="114"/>
        <v/>
      </c>
      <c r="DD69" s="875">
        <f t="shared" si="179"/>
        <v>0</v>
      </c>
      <c r="DE69" s="873">
        <f t="shared" si="115"/>
        <v>0</v>
      </c>
      <c r="DF69" s="874">
        <f t="shared" si="116"/>
        <v>0</v>
      </c>
      <c r="DG69" s="874" t="str">
        <f t="shared" si="117"/>
        <v/>
      </c>
      <c r="DH69" s="1311" t="str">
        <f t="shared" si="180"/>
        <v/>
      </c>
      <c r="DI69" s="1311" t="str">
        <f t="shared" si="118"/>
        <v/>
      </c>
      <c r="DJ69" s="1312">
        <f t="shared" si="181"/>
        <v>0</v>
      </c>
      <c r="DK69" s="1311" t="str">
        <f t="shared" si="119"/>
        <v/>
      </c>
      <c r="DL69" s="1311" t="str">
        <f t="shared" si="120"/>
        <v/>
      </c>
      <c r="DM69" s="1311" t="str">
        <f t="shared" si="121"/>
        <v/>
      </c>
      <c r="DN69" s="1311" t="str">
        <f t="shared" si="122"/>
        <v/>
      </c>
      <c r="DO69" s="889" t="str">
        <f t="shared" si="123"/>
        <v>ERR</v>
      </c>
      <c r="DP69" s="889" t="str">
        <f t="shared" si="124"/>
        <v>ERR</v>
      </c>
      <c r="DQ69" s="1311" t="str">
        <f t="shared" si="125"/>
        <v/>
      </c>
      <c r="DR69" s="1311" t="str">
        <f t="shared" si="125"/>
        <v/>
      </c>
      <c r="DS69" s="1311" t="str">
        <f t="shared" si="126"/>
        <v/>
      </c>
      <c r="DT69" s="1311" t="str">
        <f t="shared" si="127"/>
        <v/>
      </c>
      <c r="DU69" s="1311"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0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1306" t="str">
        <f>IF(CQ30="","",IF(VLOOKUP(CQ30,SectInfo!$B:$N,7,FALSE)="","",(VLOOKUP(CQ30,SectInfo!$B:$N,7,FALSE)*-1)))</f>
        <v/>
      </c>
      <c r="CR70" s="1306" t="str">
        <f>IF(CQ30="","",IF(VLOOKUP(CQ30,SectInfo!$B:$N,8,FALSE)="",$FC$4,(VLOOKUP(CQ30,SectInfo!$B:$N,8,FALSE))))</f>
        <v/>
      </c>
      <c r="CS70" s="1306" t="str">
        <f>IF(CQ30="","",VLOOKUP(CQ30,SectInfo!$B:$N,9,FALSE))</f>
        <v/>
      </c>
      <c r="CT70" s="1307">
        <f t="shared" si="106"/>
        <v>0</v>
      </c>
      <c r="CU70" s="1317">
        <f t="shared" si="107"/>
        <v>0</v>
      </c>
      <c r="CV70" s="1311" t="str">
        <f t="shared" si="108"/>
        <v/>
      </c>
      <c r="CW70" s="1311" t="str">
        <f t="shared" si="109"/>
        <v/>
      </c>
      <c r="CX70" s="1311" t="str">
        <f t="shared" si="110"/>
        <v/>
      </c>
      <c r="CY70" s="1313">
        <f t="shared" si="111"/>
        <v>0</v>
      </c>
      <c r="CZ70" s="1313">
        <f t="shared" si="112"/>
        <v>0</v>
      </c>
      <c r="DA70" s="1313" t="str">
        <f t="shared" si="113"/>
        <v/>
      </c>
      <c r="DB70" s="1311" t="str">
        <f t="shared" si="178"/>
        <v/>
      </c>
      <c r="DC70" s="1311" t="str">
        <f t="shared" si="114"/>
        <v/>
      </c>
      <c r="DD70" s="875">
        <f t="shared" si="179"/>
        <v>0</v>
      </c>
      <c r="DE70" s="873">
        <f t="shared" si="115"/>
        <v>0</v>
      </c>
      <c r="DF70" s="874">
        <f t="shared" si="116"/>
        <v>0</v>
      </c>
      <c r="DG70" s="874" t="str">
        <f t="shared" si="117"/>
        <v/>
      </c>
      <c r="DH70" s="1311" t="str">
        <f t="shared" si="180"/>
        <v/>
      </c>
      <c r="DI70" s="1311" t="str">
        <f t="shared" si="118"/>
        <v/>
      </c>
      <c r="DJ70" s="1312">
        <f t="shared" si="181"/>
        <v>0</v>
      </c>
      <c r="DK70" s="1311" t="str">
        <f t="shared" si="119"/>
        <v/>
      </c>
      <c r="DL70" s="1311" t="str">
        <f t="shared" si="120"/>
        <v/>
      </c>
      <c r="DM70" s="1311" t="str">
        <f t="shared" si="121"/>
        <v/>
      </c>
      <c r="DN70" s="1311" t="str">
        <f t="shared" si="122"/>
        <v/>
      </c>
      <c r="DO70" s="889" t="str">
        <f t="shared" si="123"/>
        <v>ERR</v>
      </c>
      <c r="DP70" s="889" t="str">
        <f t="shared" si="124"/>
        <v>ERR</v>
      </c>
      <c r="DQ70" s="1311" t="str">
        <f t="shared" si="125"/>
        <v/>
      </c>
      <c r="DR70" s="1311" t="str">
        <f t="shared" si="125"/>
        <v/>
      </c>
      <c r="DS70" s="1311" t="str">
        <f t="shared" si="126"/>
        <v/>
      </c>
      <c r="DT70" s="1311" t="str">
        <f t="shared" si="127"/>
        <v/>
      </c>
      <c r="DU70" s="1311"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0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1306" t="str">
        <f>IF(CQ31="","",IF(VLOOKUP(CQ31,SectInfo!$B:$N,7,FALSE)="","",(VLOOKUP(CQ31,SectInfo!$B:$N,7,FALSE)*-1)))</f>
        <v/>
      </c>
      <c r="CR71" s="1306" t="str">
        <f>IF(CQ31="","",IF(VLOOKUP(CQ31,SectInfo!$B:$N,8,FALSE)="",$FC$4,(VLOOKUP(CQ31,SectInfo!$B:$N,8,FALSE))))</f>
        <v/>
      </c>
      <c r="CS71" s="1306" t="str">
        <f>IF(CQ31="","",VLOOKUP(CQ31,SectInfo!$B:$N,9,FALSE))</f>
        <v/>
      </c>
      <c r="CT71" s="1307">
        <f t="shared" si="106"/>
        <v>0</v>
      </c>
      <c r="CU71" s="1317">
        <f t="shared" si="107"/>
        <v>0</v>
      </c>
      <c r="CV71" s="1311" t="str">
        <f t="shared" si="108"/>
        <v/>
      </c>
      <c r="CW71" s="1311" t="str">
        <f t="shared" si="109"/>
        <v/>
      </c>
      <c r="CX71" s="1311" t="str">
        <f t="shared" si="110"/>
        <v/>
      </c>
      <c r="CY71" s="1313">
        <f t="shared" si="111"/>
        <v>0</v>
      </c>
      <c r="CZ71" s="1313">
        <f t="shared" si="112"/>
        <v>0</v>
      </c>
      <c r="DA71" s="1313" t="str">
        <f t="shared" si="113"/>
        <v/>
      </c>
      <c r="DB71" s="1311" t="str">
        <f t="shared" si="178"/>
        <v/>
      </c>
      <c r="DC71" s="1311" t="str">
        <f t="shared" si="114"/>
        <v/>
      </c>
      <c r="DD71" s="875">
        <f t="shared" si="179"/>
        <v>0</v>
      </c>
      <c r="DE71" s="873">
        <f t="shared" si="115"/>
        <v>0</v>
      </c>
      <c r="DF71" s="874">
        <f t="shared" si="116"/>
        <v>0</v>
      </c>
      <c r="DG71" s="874" t="str">
        <f t="shared" si="117"/>
        <v/>
      </c>
      <c r="DH71" s="1311" t="str">
        <f t="shared" si="180"/>
        <v/>
      </c>
      <c r="DI71" s="1311" t="str">
        <f t="shared" si="118"/>
        <v/>
      </c>
      <c r="DJ71" s="1312">
        <f t="shared" si="181"/>
        <v>0</v>
      </c>
      <c r="DK71" s="1311" t="str">
        <f t="shared" si="119"/>
        <v/>
      </c>
      <c r="DL71" s="1311" t="str">
        <f t="shared" si="120"/>
        <v/>
      </c>
      <c r="DM71" s="1311" t="str">
        <f t="shared" si="121"/>
        <v/>
      </c>
      <c r="DN71" s="1311" t="str">
        <f t="shared" si="122"/>
        <v/>
      </c>
      <c r="DO71" s="889" t="str">
        <f t="shared" si="123"/>
        <v>ERR</v>
      </c>
      <c r="DP71" s="889" t="str">
        <f t="shared" si="124"/>
        <v>ERR</v>
      </c>
      <c r="DQ71" s="1311" t="str">
        <f t="shared" si="125"/>
        <v/>
      </c>
      <c r="DR71" s="1311" t="str">
        <f t="shared" si="125"/>
        <v/>
      </c>
      <c r="DS71" s="1311" t="str">
        <f t="shared" si="126"/>
        <v/>
      </c>
      <c r="DT71" s="1311" t="str">
        <f t="shared" si="127"/>
        <v/>
      </c>
      <c r="DU71" s="1311"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0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1306" t="str">
        <f>IF(CQ32="","",IF(VLOOKUP(CQ32,SectInfo!$B:$N,7,FALSE)="","",(VLOOKUP(CQ32,SectInfo!$B:$N,7,FALSE)*-1)))</f>
        <v/>
      </c>
      <c r="CR72" s="1306" t="str">
        <f>IF(CQ32="","",IF(VLOOKUP(CQ32,SectInfo!$B:$N,8,FALSE)="",$FC$4,(VLOOKUP(CQ32,SectInfo!$B:$N,8,FALSE))))</f>
        <v/>
      </c>
      <c r="CS72" s="1306" t="str">
        <f>IF(CQ32="","",VLOOKUP(CQ32,SectInfo!$B:$N,9,FALSE))</f>
        <v/>
      </c>
      <c r="CT72" s="1307">
        <f t="shared" si="106"/>
        <v>0</v>
      </c>
      <c r="CU72" s="1317">
        <f t="shared" si="107"/>
        <v>0</v>
      </c>
      <c r="CV72" s="1311" t="str">
        <f t="shared" si="108"/>
        <v/>
      </c>
      <c r="CW72" s="1311" t="str">
        <f t="shared" si="109"/>
        <v/>
      </c>
      <c r="CX72" s="1311" t="str">
        <f t="shared" si="110"/>
        <v/>
      </c>
      <c r="CY72" s="1313">
        <f t="shared" si="111"/>
        <v>0</v>
      </c>
      <c r="CZ72" s="1313">
        <f t="shared" si="112"/>
        <v>0</v>
      </c>
      <c r="DA72" s="1313" t="str">
        <f t="shared" si="113"/>
        <v/>
      </c>
      <c r="DB72" s="1311" t="str">
        <f t="shared" si="178"/>
        <v/>
      </c>
      <c r="DC72" s="1311" t="str">
        <f t="shared" si="114"/>
        <v/>
      </c>
      <c r="DD72" s="875">
        <f t="shared" si="179"/>
        <v>0</v>
      </c>
      <c r="DE72" s="873">
        <f t="shared" si="115"/>
        <v>0</v>
      </c>
      <c r="DF72" s="874">
        <f t="shared" si="116"/>
        <v>0</v>
      </c>
      <c r="DG72" s="874" t="str">
        <f t="shared" si="117"/>
        <v/>
      </c>
      <c r="DH72" s="1311" t="str">
        <f t="shared" si="180"/>
        <v/>
      </c>
      <c r="DI72" s="1311" t="str">
        <f t="shared" si="118"/>
        <v/>
      </c>
      <c r="DJ72" s="1312">
        <f t="shared" si="181"/>
        <v>0</v>
      </c>
      <c r="DK72" s="1311" t="str">
        <f t="shared" si="119"/>
        <v/>
      </c>
      <c r="DL72" s="1311" t="str">
        <f t="shared" si="120"/>
        <v/>
      </c>
      <c r="DM72" s="1311" t="str">
        <f t="shared" si="121"/>
        <v/>
      </c>
      <c r="DN72" s="1311" t="str">
        <f t="shared" si="122"/>
        <v/>
      </c>
      <c r="DO72" s="889" t="str">
        <f t="shared" si="123"/>
        <v>ERR</v>
      </c>
      <c r="DP72" s="889" t="str">
        <f t="shared" si="124"/>
        <v>ERR</v>
      </c>
      <c r="DQ72" s="1311" t="str">
        <f t="shared" si="125"/>
        <v/>
      </c>
      <c r="DR72" s="1311" t="str">
        <f t="shared" si="125"/>
        <v/>
      </c>
      <c r="DS72" s="1311" t="str">
        <f t="shared" si="126"/>
        <v/>
      </c>
      <c r="DT72" s="1311" t="str">
        <f t="shared" si="127"/>
        <v/>
      </c>
      <c r="DU72" s="1311"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6"/>
        <v>0</v>
      </c>
      <c r="CU73" s="1317">
        <f t="shared" si="107"/>
        <v>0</v>
      </c>
      <c r="CV73" s="1311" t="str">
        <f t="shared" si="108"/>
        <v/>
      </c>
      <c r="CW73" s="1311" t="str">
        <f t="shared" si="109"/>
        <v/>
      </c>
      <c r="CX73" s="1311" t="str">
        <f t="shared" si="110"/>
        <v/>
      </c>
      <c r="CY73" s="1313">
        <f t="shared" si="111"/>
        <v>0</v>
      </c>
      <c r="CZ73" s="1313">
        <f t="shared" si="112"/>
        <v>0</v>
      </c>
      <c r="DA73" s="1313" t="str">
        <f t="shared" si="113"/>
        <v/>
      </c>
      <c r="DB73" s="1311" t="str">
        <f t="shared" si="178"/>
        <v/>
      </c>
      <c r="DC73" s="1311" t="str">
        <f t="shared" si="114"/>
        <v/>
      </c>
      <c r="DD73" s="875">
        <f t="shared" si="179"/>
        <v>0</v>
      </c>
      <c r="DE73" s="873">
        <f t="shared" si="115"/>
        <v>0</v>
      </c>
      <c r="DF73" s="874">
        <f t="shared" si="116"/>
        <v>0</v>
      </c>
      <c r="DG73" s="874" t="str">
        <f t="shared" si="117"/>
        <v/>
      </c>
      <c r="DH73" s="1311" t="str">
        <f t="shared" si="180"/>
        <v/>
      </c>
      <c r="DI73" s="1311" t="str">
        <f t="shared" si="118"/>
        <v/>
      </c>
      <c r="DJ73" s="1312">
        <f t="shared" si="181"/>
        <v>0</v>
      </c>
      <c r="DK73" s="1311" t="str">
        <f t="shared" si="119"/>
        <v/>
      </c>
      <c r="DL73" s="1311" t="str">
        <f t="shared" si="120"/>
        <v/>
      </c>
      <c r="DM73" s="1311" t="str">
        <f t="shared" si="121"/>
        <v/>
      </c>
      <c r="DN73" s="1311" t="str">
        <f t="shared" si="122"/>
        <v/>
      </c>
      <c r="DO73" s="889" t="str">
        <f t="shared" si="123"/>
        <v>ERR</v>
      </c>
      <c r="DP73" s="889" t="str">
        <f t="shared" si="124"/>
        <v>ERR</v>
      </c>
      <c r="DQ73" s="1311" t="str">
        <f t="shared" si="125"/>
        <v/>
      </c>
      <c r="DR73" s="1311" t="str">
        <f t="shared" si="125"/>
        <v/>
      </c>
      <c r="DS73" s="1311" t="str">
        <f t="shared" si="126"/>
        <v/>
      </c>
      <c r="DT73" s="1311" t="str">
        <f t="shared" si="127"/>
        <v/>
      </c>
      <c r="DU73" s="1311"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6"/>
        <v>0</v>
      </c>
      <c r="CU74" s="1317">
        <f t="shared" si="107"/>
        <v>0</v>
      </c>
      <c r="CV74" s="1311" t="str">
        <f t="shared" si="108"/>
        <v/>
      </c>
      <c r="CW74" s="1311" t="str">
        <f t="shared" si="109"/>
        <v/>
      </c>
      <c r="CX74" s="1311" t="str">
        <f t="shared" si="110"/>
        <v/>
      </c>
      <c r="CY74" s="1313">
        <f t="shared" si="111"/>
        <v>0</v>
      </c>
      <c r="CZ74" s="1313">
        <f t="shared" si="112"/>
        <v>0</v>
      </c>
      <c r="DA74" s="1313" t="str">
        <f t="shared" si="113"/>
        <v/>
      </c>
      <c r="DB74" s="1311" t="str">
        <f t="shared" si="178"/>
        <v/>
      </c>
      <c r="DC74" s="1311" t="str">
        <f t="shared" si="114"/>
        <v/>
      </c>
      <c r="DD74" s="875">
        <f t="shared" si="179"/>
        <v>0</v>
      </c>
      <c r="DE74" s="873">
        <f t="shared" si="115"/>
        <v>0</v>
      </c>
      <c r="DF74" s="874">
        <f t="shared" si="116"/>
        <v>0</v>
      </c>
      <c r="DG74" s="874" t="str">
        <f t="shared" si="117"/>
        <v/>
      </c>
      <c r="DH74" s="1311" t="str">
        <f t="shared" si="180"/>
        <v/>
      </c>
      <c r="DI74" s="1311" t="str">
        <f t="shared" si="118"/>
        <v/>
      </c>
      <c r="DJ74" s="1312">
        <f t="shared" si="181"/>
        <v>0</v>
      </c>
      <c r="DK74" s="1311" t="str">
        <f t="shared" si="119"/>
        <v/>
      </c>
      <c r="DL74" s="1311" t="str">
        <f t="shared" si="120"/>
        <v/>
      </c>
      <c r="DM74" s="1311" t="str">
        <f t="shared" si="121"/>
        <v/>
      </c>
      <c r="DN74" s="1311" t="str">
        <f t="shared" si="122"/>
        <v/>
      </c>
      <c r="DO74" s="889" t="str">
        <f t="shared" si="123"/>
        <v>ERR</v>
      </c>
      <c r="DP74" s="889" t="str">
        <f t="shared" si="124"/>
        <v>ERR</v>
      </c>
      <c r="DQ74" s="1311" t="str">
        <f t="shared" si="125"/>
        <v/>
      </c>
      <c r="DR74" s="1311" t="str">
        <f t="shared" si="125"/>
        <v/>
      </c>
      <c r="DS74" s="1311" t="str">
        <f t="shared" si="126"/>
        <v/>
      </c>
      <c r="DT74" s="1311" t="str">
        <f t="shared" si="127"/>
        <v/>
      </c>
      <c r="DU74" s="1311"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6"/>
        <v>0</v>
      </c>
      <c r="CU75" s="1317">
        <f t="shared" si="107"/>
        <v>0</v>
      </c>
      <c r="CV75" s="1311" t="str">
        <f t="shared" si="108"/>
        <v/>
      </c>
      <c r="CW75" s="1311" t="str">
        <f t="shared" si="109"/>
        <v/>
      </c>
      <c r="CX75" s="1311" t="str">
        <f t="shared" si="110"/>
        <v/>
      </c>
      <c r="CY75" s="1313">
        <f t="shared" si="111"/>
        <v>0</v>
      </c>
      <c r="CZ75" s="1313">
        <f t="shared" si="112"/>
        <v>0</v>
      </c>
      <c r="DA75" s="1313" t="str">
        <f t="shared" si="113"/>
        <v/>
      </c>
      <c r="DB75" s="1311" t="str">
        <f t="shared" si="178"/>
        <v/>
      </c>
      <c r="DC75" s="1311" t="str">
        <f t="shared" si="114"/>
        <v/>
      </c>
      <c r="DD75" s="875">
        <f t="shared" si="179"/>
        <v>0</v>
      </c>
      <c r="DE75" s="873">
        <f t="shared" si="115"/>
        <v>0</v>
      </c>
      <c r="DF75" s="874">
        <f t="shared" si="116"/>
        <v>0</v>
      </c>
      <c r="DG75" s="874" t="str">
        <f t="shared" si="117"/>
        <v/>
      </c>
      <c r="DH75" s="1311" t="str">
        <f t="shared" si="180"/>
        <v/>
      </c>
      <c r="DI75" s="1311" t="str">
        <f t="shared" si="118"/>
        <v/>
      </c>
      <c r="DJ75" s="1312">
        <f t="shared" si="181"/>
        <v>0</v>
      </c>
      <c r="DK75" s="1311" t="str">
        <f t="shared" ref="DK75:DK85" si="200">IF(CV75="","",CEILING(CV75-DD75-DJ75-0.0625,0.125))</f>
        <v/>
      </c>
      <c r="DL75" s="1311" t="str">
        <f t="shared" ref="DL75:DL85" si="201">IF(AND(EG75="",CH75=""),"",IF(EG75="ERR","ERR",IF(ISNUMBER(EG75),(EG75/2)*-1,CH75)))</f>
        <v/>
      </c>
      <c r="DM75" s="1311" t="str">
        <f t="shared" si="121"/>
        <v/>
      </c>
      <c r="DN75" s="1311" t="str">
        <f t="shared" si="122"/>
        <v/>
      </c>
      <c r="DO75" s="889" t="str">
        <f t="shared" si="123"/>
        <v>ERR</v>
      </c>
      <c r="DP75" s="889" t="str">
        <f t="shared" si="124"/>
        <v>ERR</v>
      </c>
      <c r="DQ75" s="1311" t="str">
        <f t="shared" si="125"/>
        <v/>
      </c>
      <c r="DR75" s="1311" t="str">
        <f t="shared" si="125"/>
        <v/>
      </c>
      <c r="DS75" s="1311" t="str">
        <f t="shared" si="126"/>
        <v/>
      </c>
      <c r="DT75" s="1311" t="str">
        <f t="shared" si="127"/>
        <v/>
      </c>
      <c r="DU75" s="1311"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6"/>
        <v>0</v>
      </c>
      <c r="CU76" s="1317">
        <f t="shared" si="107"/>
        <v>0</v>
      </c>
      <c r="CV76" s="1311" t="str">
        <f t="shared" si="108"/>
        <v/>
      </c>
      <c r="CW76" s="1311" t="str">
        <f t="shared" si="109"/>
        <v/>
      </c>
      <c r="CX76" s="1311" t="str">
        <f t="shared" si="110"/>
        <v/>
      </c>
      <c r="CY76" s="1313">
        <f t="shared" si="111"/>
        <v>0</v>
      </c>
      <c r="CZ76" s="1313">
        <f t="shared" si="112"/>
        <v>0</v>
      </c>
      <c r="DA76" s="1313" t="str">
        <f t="shared" si="113"/>
        <v/>
      </c>
      <c r="DB76" s="1311" t="str">
        <f t="shared" si="178"/>
        <v/>
      </c>
      <c r="DC76" s="1311" t="str">
        <f t="shared" si="114"/>
        <v/>
      </c>
      <c r="DD76" s="875">
        <f t="shared" si="179"/>
        <v>0</v>
      </c>
      <c r="DE76" s="873">
        <f t="shared" si="115"/>
        <v>0</v>
      </c>
      <c r="DF76" s="874">
        <f t="shared" si="116"/>
        <v>0</v>
      </c>
      <c r="DG76" s="874" t="str">
        <f t="shared" si="117"/>
        <v/>
      </c>
      <c r="DH76" s="1311" t="str">
        <f t="shared" si="180"/>
        <v/>
      </c>
      <c r="DI76" s="1311" t="str">
        <f t="shared" si="118"/>
        <v/>
      </c>
      <c r="DJ76" s="1312">
        <f t="shared" si="181"/>
        <v>0</v>
      </c>
      <c r="DK76" s="1311" t="str">
        <f t="shared" si="200"/>
        <v/>
      </c>
      <c r="DL76" s="1311" t="str">
        <f t="shared" si="201"/>
        <v/>
      </c>
      <c r="DM76" s="1311" t="str">
        <f t="shared" si="121"/>
        <v/>
      </c>
      <c r="DN76" s="1311" t="str">
        <f t="shared" si="122"/>
        <v/>
      </c>
      <c r="DO76" s="889" t="str">
        <f t="shared" si="123"/>
        <v>ERR</v>
      </c>
      <c r="DP76" s="889" t="str">
        <f t="shared" si="124"/>
        <v>ERR</v>
      </c>
      <c r="DQ76" s="1311" t="str">
        <f t="shared" si="125"/>
        <v/>
      </c>
      <c r="DR76" s="1311" t="str">
        <f t="shared" si="125"/>
        <v/>
      </c>
      <c r="DS76" s="1311" t="str">
        <f t="shared" si="126"/>
        <v/>
      </c>
      <c r="DT76" s="1311" t="str">
        <f t="shared" si="127"/>
        <v/>
      </c>
      <c r="DU76" s="1311"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6"/>
        <v>0</v>
      </c>
      <c r="CU77" s="1317">
        <f t="shared" si="107"/>
        <v>0</v>
      </c>
      <c r="CV77" s="1311" t="str">
        <f t="shared" si="108"/>
        <v/>
      </c>
      <c r="CW77" s="1311" t="str">
        <f t="shared" si="109"/>
        <v/>
      </c>
      <c r="CX77" s="1311" t="str">
        <f t="shared" si="110"/>
        <v/>
      </c>
      <c r="CY77" s="1313">
        <f t="shared" si="111"/>
        <v>0</v>
      </c>
      <c r="CZ77" s="1313">
        <f t="shared" si="112"/>
        <v>0</v>
      </c>
      <c r="DA77" s="1313" t="str">
        <f t="shared" si="113"/>
        <v/>
      </c>
      <c r="DB77" s="1311" t="str">
        <f t="shared" si="178"/>
        <v/>
      </c>
      <c r="DC77" s="1311" t="str">
        <f t="shared" si="114"/>
        <v/>
      </c>
      <c r="DD77" s="875">
        <f t="shared" si="179"/>
        <v>0</v>
      </c>
      <c r="DE77" s="873">
        <f t="shared" si="115"/>
        <v>0</v>
      </c>
      <c r="DF77" s="874">
        <f t="shared" si="116"/>
        <v>0</v>
      </c>
      <c r="DG77" s="874" t="str">
        <f t="shared" si="117"/>
        <v/>
      </c>
      <c r="DH77" s="1311" t="str">
        <f t="shared" si="180"/>
        <v/>
      </c>
      <c r="DI77" s="1311" t="str">
        <f t="shared" si="118"/>
        <v/>
      </c>
      <c r="DJ77" s="1312">
        <f t="shared" si="181"/>
        <v>0</v>
      </c>
      <c r="DK77" s="1311" t="str">
        <f t="shared" si="200"/>
        <v/>
      </c>
      <c r="DL77" s="1311" t="str">
        <f t="shared" si="201"/>
        <v/>
      </c>
      <c r="DM77" s="1311" t="str">
        <f t="shared" si="121"/>
        <v/>
      </c>
      <c r="DN77" s="1311" t="str">
        <f t="shared" si="122"/>
        <v/>
      </c>
      <c r="DO77" s="889" t="str">
        <f t="shared" si="123"/>
        <v>ERR</v>
      </c>
      <c r="DP77" s="889" t="str">
        <f t="shared" si="124"/>
        <v>ERR</v>
      </c>
      <c r="DQ77" s="1311" t="str">
        <f t="shared" si="125"/>
        <v/>
      </c>
      <c r="DR77" s="1311" t="str">
        <f t="shared" si="125"/>
        <v/>
      </c>
      <c r="DS77" s="1311" t="str">
        <f t="shared" si="126"/>
        <v/>
      </c>
      <c r="DT77" s="1311" t="str">
        <f t="shared" si="127"/>
        <v/>
      </c>
      <c r="DU77" s="1311"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6"/>
        <v>0</v>
      </c>
      <c r="CU78" s="1317">
        <f t="shared" si="107"/>
        <v>0</v>
      </c>
      <c r="CV78" s="1311" t="str">
        <f t="shared" si="108"/>
        <v/>
      </c>
      <c r="CW78" s="1311" t="str">
        <f t="shared" si="109"/>
        <v/>
      </c>
      <c r="CX78" s="1311" t="str">
        <f t="shared" si="110"/>
        <v/>
      </c>
      <c r="CY78" s="1313">
        <f t="shared" si="111"/>
        <v>0</v>
      </c>
      <c r="CZ78" s="1313">
        <f t="shared" si="112"/>
        <v>0</v>
      </c>
      <c r="DA78" s="1313" t="str">
        <f t="shared" si="113"/>
        <v/>
      </c>
      <c r="DB78" s="1311" t="str">
        <f t="shared" si="178"/>
        <v/>
      </c>
      <c r="DC78" s="1311" t="str">
        <f t="shared" si="114"/>
        <v/>
      </c>
      <c r="DD78" s="875">
        <f t="shared" si="179"/>
        <v>0</v>
      </c>
      <c r="DE78" s="873">
        <f t="shared" si="115"/>
        <v>0</v>
      </c>
      <c r="DF78" s="874">
        <f t="shared" si="116"/>
        <v>0</v>
      </c>
      <c r="DG78" s="874" t="str">
        <f t="shared" si="117"/>
        <v/>
      </c>
      <c r="DH78" s="1311" t="str">
        <f t="shared" si="180"/>
        <v/>
      </c>
      <c r="DI78" s="1311" t="str">
        <f t="shared" si="118"/>
        <v/>
      </c>
      <c r="DJ78" s="1312">
        <f t="shared" si="181"/>
        <v>0</v>
      </c>
      <c r="DK78" s="1311" t="str">
        <f t="shared" si="200"/>
        <v/>
      </c>
      <c r="DL78" s="1311" t="str">
        <f t="shared" si="201"/>
        <v/>
      </c>
      <c r="DM78" s="1311" t="str">
        <f t="shared" si="121"/>
        <v/>
      </c>
      <c r="DN78" s="1311" t="str">
        <f t="shared" si="122"/>
        <v/>
      </c>
      <c r="DO78" s="889" t="str">
        <f t="shared" si="123"/>
        <v>ERR</v>
      </c>
      <c r="DP78" s="889" t="str">
        <f t="shared" si="124"/>
        <v>ERR</v>
      </c>
      <c r="DQ78" s="1311" t="str">
        <f t="shared" si="125"/>
        <v/>
      </c>
      <c r="DR78" s="1311" t="str">
        <f t="shared" si="125"/>
        <v/>
      </c>
      <c r="DS78" s="1311" t="str">
        <f t="shared" si="126"/>
        <v/>
      </c>
      <c r="DT78" s="1311" t="str">
        <f t="shared" si="127"/>
        <v/>
      </c>
      <c r="DU78" s="1311"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6"/>
        <v>0</v>
      </c>
      <c r="CU79" s="1317">
        <f t="shared" si="107"/>
        <v>0</v>
      </c>
      <c r="CV79" s="1311" t="str">
        <f t="shared" si="108"/>
        <v/>
      </c>
      <c r="CW79" s="1311" t="str">
        <f t="shared" si="109"/>
        <v/>
      </c>
      <c r="CX79" s="1311" t="str">
        <f t="shared" si="110"/>
        <v/>
      </c>
      <c r="CY79" s="1313">
        <f t="shared" si="111"/>
        <v>0</v>
      </c>
      <c r="CZ79" s="1313">
        <f t="shared" si="112"/>
        <v>0</v>
      </c>
      <c r="DA79" s="1313" t="str">
        <f t="shared" si="113"/>
        <v/>
      </c>
      <c r="DB79" s="1311" t="str">
        <f t="shared" si="178"/>
        <v/>
      </c>
      <c r="DC79" s="1311" t="str">
        <f t="shared" si="114"/>
        <v/>
      </c>
      <c r="DD79" s="875">
        <f t="shared" si="179"/>
        <v>0</v>
      </c>
      <c r="DE79" s="873">
        <f t="shared" si="115"/>
        <v>0</v>
      </c>
      <c r="DF79" s="874">
        <f t="shared" si="116"/>
        <v>0</v>
      </c>
      <c r="DG79" s="874" t="str">
        <f t="shared" si="117"/>
        <v/>
      </c>
      <c r="DH79" s="1311" t="str">
        <f t="shared" si="180"/>
        <v/>
      </c>
      <c r="DI79" s="1311" t="str">
        <f t="shared" si="118"/>
        <v/>
      </c>
      <c r="DJ79" s="1312">
        <f t="shared" si="181"/>
        <v>0</v>
      </c>
      <c r="DK79" s="1311" t="str">
        <f t="shared" si="200"/>
        <v/>
      </c>
      <c r="DL79" s="1311" t="str">
        <f t="shared" si="201"/>
        <v/>
      </c>
      <c r="DM79" s="1311" t="str">
        <f t="shared" si="121"/>
        <v/>
      </c>
      <c r="DN79" s="1311" t="str">
        <f t="shared" si="122"/>
        <v/>
      </c>
      <c r="DO79" s="889" t="str">
        <f t="shared" si="123"/>
        <v>ERR</v>
      </c>
      <c r="DP79" s="889" t="str">
        <f t="shared" si="124"/>
        <v>ERR</v>
      </c>
      <c r="DQ79" s="1311" t="str">
        <f t="shared" si="125"/>
        <v/>
      </c>
      <c r="DR79" s="1311" t="str">
        <f t="shared" si="125"/>
        <v/>
      </c>
      <c r="DS79" s="1311" t="str">
        <f t="shared" si="126"/>
        <v/>
      </c>
      <c r="DT79" s="1311" t="str">
        <f t="shared" si="127"/>
        <v/>
      </c>
      <c r="DU79" s="1311"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6"/>
        <v>0</v>
      </c>
      <c r="CU80" s="1317">
        <f t="shared" si="107"/>
        <v>0</v>
      </c>
      <c r="CV80" s="1311" t="str">
        <f t="shared" si="108"/>
        <v/>
      </c>
      <c r="CW80" s="1311" t="str">
        <f t="shared" si="109"/>
        <v/>
      </c>
      <c r="CX80" s="1311" t="str">
        <f t="shared" si="110"/>
        <v/>
      </c>
      <c r="CY80" s="1313">
        <f t="shared" si="111"/>
        <v>0</v>
      </c>
      <c r="CZ80" s="1313">
        <f t="shared" si="112"/>
        <v>0</v>
      </c>
      <c r="DA80" s="1313" t="str">
        <f t="shared" si="113"/>
        <v/>
      </c>
      <c r="DB80" s="1311" t="str">
        <f t="shared" si="178"/>
        <v/>
      </c>
      <c r="DC80" s="1311" t="str">
        <f t="shared" si="114"/>
        <v/>
      </c>
      <c r="DD80" s="875">
        <f t="shared" si="179"/>
        <v>0</v>
      </c>
      <c r="DE80" s="873">
        <f t="shared" si="115"/>
        <v>0</v>
      </c>
      <c r="DF80" s="874">
        <f t="shared" si="116"/>
        <v>0</v>
      </c>
      <c r="DG80" s="874" t="str">
        <f t="shared" si="117"/>
        <v/>
      </c>
      <c r="DH80" s="1311" t="str">
        <f t="shared" si="180"/>
        <v/>
      </c>
      <c r="DI80" s="1311" t="str">
        <f t="shared" si="118"/>
        <v/>
      </c>
      <c r="DJ80" s="1312">
        <f t="shared" si="181"/>
        <v>0</v>
      </c>
      <c r="DK80" s="1311" t="str">
        <f t="shared" si="200"/>
        <v/>
      </c>
      <c r="DL80" s="1311" t="str">
        <f t="shared" si="201"/>
        <v/>
      </c>
      <c r="DM80" s="1311" t="str">
        <f t="shared" si="121"/>
        <v/>
      </c>
      <c r="DN80" s="1311" t="str">
        <f t="shared" si="122"/>
        <v/>
      </c>
      <c r="DO80" s="889" t="str">
        <f t="shared" si="123"/>
        <v>ERR</v>
      </c>
      <c r="DP80" s="889" t="str">
        <f t="shared" si="124"/>
        <v>ERR</v>
      </c>
      <c r="DQ80" s="1311" t="str">
        <f t="shared" si="125"/>
        <v/>
      </c>
      <c r="DR80" s="1311" t="str">
        <f t="shared" si="125"/>
        <v/>
      </c>
      <c r="DS80" s="1311" t="str">
        <f t="shared" si="126"/>
        <v/>
      </c>
      <c r="DT80" s="1311" t="str">
        <f t="shared" si="127"/>
        <v/>
      </c>
      <c r="DU80" s="1311"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6"/>
        <v>0</v>
      </c>
      <c r="CU81" s="1317">
        <f t="shared" si="107"/>
        <v>0</v>
      </c>
      <c r="CV81" s="1311" t="str">
        <f t="shared" si="108"/>
        <v/>
      </c>
      <c r="CW81" s="1311" t="str">
        <f t="shared" si="109"/>
        <v/>
      </c>
      <c r="CX81" s="1311" t="str">
        <f t="shared" si="110"/>
        <v/>
      </c>
      <c r="CY81" s="1313">
        <f t="shared" si="111"/>
        <v>0</v>
      </c>
      <c r="CZ81" s="1313">
        <f t="shared" si="112"/>
        <v>0</v>
      </c>
      <c r="DA81" s="1313" t="str">
        <f t="shared" si="113"/>
        <v/>
      </c>
      <c r="DB81" s="1311" t="str">
        <f t="shared" si="178"/>
        <v/>
      </c>
      <c r="DC81" s="1311" t="str">
        <f t="shared" si="114"/>
        <v/>
      </c>
      <c r="DD81" s="875">
        <f t="shared" si="179"/>
        <v>0</v>
      </c>
      <c r="DE81" s="873">
        <f t="shared" si="115"/>
        <v>0</v>
      </c>
      <c r="DF81" s="874">
        <f t="shared" si="116"/>
        <v>0</v>
      </c>
      <c r="DG81" s="874" t="str">
        <f t="shared" si="117"/>
        <v/>
      </c>
      <c r="DH81" s="1311" t="str">
        <f t="shared" si="180"/>
        <v/>
      </c>
      <c r="DI81" s="1311" t="str">
        <f t="shared" si="118"/>
        <v/>
      </c>
      <c r="DJ81" s="1312">
        <f t="shared" si="181"/>
        <v>0</v>
      </c>
      <c r="DK81" s="1311" t="str">
        <f t="shared" si="200"/>
        <v/>
      </c>
      <c r="DL81" s="1311" t="str">
        <f t="shared" si="201"/>
        <v/>
      </c>
      <c r="DM81" s="1311" t="str">
        <f t="shared" si="121"/>
        <v/>
      </c>
      <c r="DN81" s="1311" t="str">
        <f t="shared" si="122"/>
        <v/>
      </c>
      <c r="DO81" s="889" t="str">
        <f t="shared" si="123"/>
        <v>ERR</v>
      </c>
      <c r="DP81" s="889" t="str">
        <f t="shared" si="124"/>
        <v>ERR</v>
      </c>
      <c r="DQ81" s="1311" t="str">
        <f t="shared" si="125"/>
        <v/>
      </c>
      <c r="DR81" s="1311" t="str">
        <f t="shared" si="125"/>
        <v/>
      </c>
      <c r="DS81" s="1311" t="str">
        <f t="shared" si="126"/>
        <v/>
      </c>
      <c r="DT81" s="1311" t="str">
        <f t="shared" si="127"/>
        <v/>
      </c>
      <c r="DU81" s="1311"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6"/>
        <v>0</v>
      </c>
      <c r="CU82" s="1317">
        <f t="shared" si="107"/>
        <v>0</v>
      </c>
      <c r="CV82" s="1311" t="str">
        <f t="shared" si="108"/>
        <v/>
      </c>
      <c r="CW82" s="1311" t="str">
        <f t="shared" si="109"/>
        <v/>
      </c>
      <c r="CX82" s="1311" t="str">
        <f t="shared" si="110"/>
        <v/>
      </c>
      <c r="CY82" s="1313">
        <f t="shared" si="111"/>
        <v>0</v>
      </c>
      <c r="CZ82" s="1313">
        <f t="shared" si="112"/>
        <v>0</v>
      </c>
      <c r="DA82" s="1313" t="str">
        <f t="shared" si="113"/>
        <v/>
      </c>
      <c r="DB82" s="1311" t="str">
        <f t="shared" si="178"/>
        <v/>
      </c>
      <c r="DC82" s="1311" t="str">
        <f t="shared" si="114"/>
        <v/>
      </c>
      <c r="DD82" s="875">
        <f t="shared" si="179"/>
        <v>0</v>
      </c>
      <c r="DE82" s="873">
        <f t="shared" si="115"/>
        <v>0</v>
      </c>
      <c r="DF82" s="874">
        <f t="shared" si="116"/>
        <v>0</v>
      </c>
      <c r="DG82" s="874" t="str">
        <f t="shared" si="117"/>
        <v/>
      </c>
      <c r="DH82" s="1311" t="str">
        <f t="shared" si="180"/>
        <v/>
      </c>
      <c r="DI82" s="1311" t="str">
        <f t="shared" si="118"/>
        <v/>
      </c>
      <c r="DJ82" s="1312">
        <f t="shared" si="181"/>
        <v>0</v>
      </c>
      <c r="DK82" s="1311" t="str">
        <f t="shared" si="200"/>
        <v/>
      </c>
      <c r="DL82" s="1311" t="str">
        <f t="shared" si="201"/>
        <v/>
      </c>
      <c r="DM82" s="1311" t="str">
        <f t="shared" si="121"/>
        <v/>
      </c>
      <c r="DN82" s="1311" t="str">
        <f t="shared" si="122"/>
        <v/>
      </c>
      <c r="DO82" s="889" t="str">
        <f t="shared" si="123"/>
        <v>ERR</v>
      </c>
      <c r="DP82" s="889" t="str">
        <f t="shared" si="124"/>
        <v>ERR</v>
      </c>
      <c r="DQ82" s="1311" t="str">
        <f t="shared" si="125"/>
        <v/>
      </c>
      <c r="DR82" s="1311" t="str">
        <f t="shared" si="125"/>
        <v/>
      </c>
      <c r="DS82" s="1311" t="str">
        <f t="shared" si="126"/>
        <v/>
      </c>
      <c r="DT82" s="1311" t="str">
        <f t="shared" si="127"/>
        <v/>
      </c>
      <c r="DU82" s="1311"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6"/>
        <v>0</v>
      </c>
      <c r="CU83" s="1317">
        <f t="shared" si="107"/>
        <v>0</v>
      </c>
      <c r="CV83" s="1311" t="str">
        <f t="shared" si="108"/>
        <v/>
      </c>
      <c r="CW83" s="1311" t="str">
        <f t="shared" si="109"/>
        <v/>
      </c>
      <c r="CX83" s="1311" t="str">
        <f t="shared" si="110"/>
        <v/>
      </c>
      <c r="CY83" s="1313">
        <f t="shared" si="111"/>
        <v>0</v>
      </c>
      <c r="CZ83" s="1313">
        <f t="shared" si="112"/>
        <v>0</v>
      </c>
      <c r="DA83" s="1313" t="str">
        <f t="shared" si="113"/>
        <v/>
      </c>
      <c r="DB83" s="1311" t="str">
        <f t="shared" si="178"/>
        <v/>
      </c>
      <c r="DC83" s="1311" t="str">
        <f t="shared" si="114"/>
        <v/>
      </c>
      <c r="DD83" s="875">
        <f t="shared" si="179"/>
        <v>0</v>
      </c>
      <c r="DE83" s="873">
        <f t="shared" si="115"/>
        <v>0</v>
      </c>
      <c r="DF83" s="874">
        <f t="shared" si="116"/>
        <v>0</v>
      </c>
      <c r="DG83" s="874" t="str">
        <f t="shared" si="117"/>
        <v/>
      </c>
      <c r="DH83" s="1311" t="str">
        <f t="shared" si="180"/>
        <v/>
      </c>
      <c r="DI83" s="1311" t="str">
        <f t="shared" si="118"/>
        <v/>
      </c>
      <c r="DJ83" s="1312">
        <f t="shared" si="181"/>
        <v>0</v>
      </c>
      <c r="DK83" s="1311" t="str">
        <f t="shared" si="200"/>
        <v/>
      </c>
      <c r="DL83" s="1311" t="str">
        <f t="shared" si="201"/>
        <v/>
      </c>
      <c r="DM83" s="1311" t="str">
        <f t="shared" si="121"/>
        <v/>
      </c>
      <c r="DN83" s="1311" t="str">
        <f t="shared" si="122"/>
        <v/>
      </c>
      <c r="DO83" s="889" t="str">
        <f t="shared" si="123"/>
        <v>ERR</v>
      </c>
      <c r="DP83" s="889" t="str">
        <f t="shared" si="124"/>
        <v>ERR</v>
      </c>
      <c r="DQ83" s="1311" t="str">
        <f t="shared" si="125"/>
        <v/>
      </c>
      <c r="DR83" s="1311" t="str">
        <f t="shared" si="125"/>
        <v/>
      </c>
      <c r="DS83" s="1311" t="str">
        <f t="shared" si="126"/>
        <v/>
      </c>
      <c r="DT83" s="1311" t="str">
        <f t="shared" si="127"/>
        <v/>
      </c>
      <c r="DU83" s="1311"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6"/>
        <v>0</v>
      </c>
      <c r="CU84" s="1317">
        <f t="shared" si="107"/>
        <v>0</v>
      </c>
      <c r="CV84" s="1311" t="str">
        <f t="shared" si="108"/>
        <v/>
      </c>
      <c r="CW84" s="1311" t="str">
        <f t="shared" si="109"/>
        <v/>
      </c>
      <c r="CX84" s="1311" t="str">
        <f t="shared" si="110"/>
        <v/>
      </c>
      <c r="CY84" s="1313">
        <f t="shared" si="111"/>
        <v>0</v>
      </c>
      <c r="CZ84" s="1313">
        <f t="shared" si="112"/>
        <v>0</v>
      </c>
      <c r="DA84" s="1313" t="str">
        <f t="shared" si="113"/>
        <v/>
      </c>
      <c r="DB84" s="1311" t="str">
        <f t="shared" si="178"/>
        <v/>
      </c>
      <c r="DC84" s="1311" t="str">
        <f t="shared" si="114"/>
        <v/>
      </c>
      <c r="DD84" s="875">
        <f t="shared" si="179"/>
        <v>0</v>
      </c>
      <c r="DE84" s="873">
        <f t="shared" si="115"/>
        <v>0</v>
      </c>
      <c r="DF84" s="874">
        <f t="shared" si="116"/>
        <v>0</v>
      </c>
      <c r="DG84" s="874" t="str">
        <f t="shared" si="117"/>
        <v/>
      </c>
      <c r="DH84" s="1311" t="str">
        <f t="shared" si="180"/>
        <v/>
      </c>
      <c r="DI84" s="1311" t="str">
        <f t="shared" si="118"/>
        <v/>
      </c>
      <c r="DJ84" s="1312">
        <f t="shared" si="181"/>
        <v>0</v>
      </c>
      <c r="DK84" s="1311" t="str">
        <f t="shared" si="200"/>
        <v/>
      </c>
      <c r="DL84" s="1311" t="str">
        <f t="shared" si="201"/>
        <v/>
      </c>
      <c r="DM84" s="1311" t="str">
        <f t="shared" si="121"/>
        <v/>
      </c>
      <c r="DN84" s="1311" t="str">
        <f t="shared" si="122"/>
        <v/>
      </c>
      <c r="DO84" s="889" t="str">
        <f t="shared" si="123"/>
        <v>ERR</v>
      </c>
      <c r="DP84" s="889" t="str">
        <f t="shared" si="124"/>
        <v>ERR</v>
      </c>
      <c r="DQ84" s="1311" t="str">
        <f t="shared" si="125"/>
        <v/>
      </c>
      <c r="DR84" s="1311" t="str">
        <f t="shared" si="125"/>
        <v/>
      </c>
      <c r="DS84" s="1311" t="str">
        <f t="shared" si="126"/>
        <v/>
      </c>
      <c r="DT84" s="1311" t="str">
        <f t="shared" si="127"/>
        <v/>
      </c>
      <c r="DU84" s="1311"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5"/>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6"/>
        <v>0</v>
      </c>
      <c r="CU85" s="1317">
        <f t="shared" si="107"/>
        <v>0</v>
      </c>
      <c r="CV85" s="1311" t="str">
        <f t="shared" si="108"/>
        <v/>
      </c>
      <c r="CW85" s="1311" t="str">
        <f t="shared" si="109"/>
        <v/>
      </c>
      <c r="CX85" s="1311" t="str">
        <f t="shared" si="110"/>
        <v/>
      </c>
      <c r="CY85" s="1313">
        <f t="shared" si="111"/>
        <v>0</v>
      </c>
      <c r="CZ85" s="1313">
        <f t="shared" si="112"/>
        <v>0</v>
      </c>
      <c r="DA85" s="1313" t="str">
        <f t="shared" si="113"/>
        <v/>
      </c>
      <c r="DB85" s="1311" t="str">
        <f t="shared" si="178"/>
        <v/>
      </c>
      <c r="DC85" s="1311" t="str">
        <f t="shared" si="114"/>
        <v/>
      </c>
      <c r="DD85" s="875">
        <f t="shared" si="179"/>
        <v>0</v>
      </c>
      <c r="DE85" s="873">
        <f t="shared" si="115"/>
        <v>0</v>
      </c>
      <c r="DF85" s="874">
        <f t="shared" si="116"/>
        <v>0</v>
      </c>
      <c r="DG85" s="874" t="str">
        <f t="shared" si="117"/>
        <v/>
      </c>
      <c r="DH85" s="1311" t="str">
        <f t="shared" si="180"/>
        <v/>
      </c>
      <c r="DI85" s="1311" t="str">
        <f t="shared" si="118"/>
        <v/>
      </c>
      <c r="DJ85" s="1312">
        <f t="shared" si="181"/>
        <v>0</v>
      </c>
      <c r="DK85" s="1311" t="str">
        <f t="shared" si="200"/>
        <v/>
      </c>
      <c r="DL85" s="1311" t="str">
        <f t="shared" si="201"/>
        <v/>
      </c>
      <c r="DM85" s="1311" t="str">
        <f t="shared" si="121"/>
        <v/>
      </c>
      <c r="DN85" s="1311" t="str">
        <f t="shared" si="122"/>
        <v/>
      </c>
      <c r="DO85" s="889" t="str">
        <f t="shared" si="123"/>
        <v>ERR</v>
      </c>
      <c r="DP85" s="889" t="str">
        <f t="shared" si="124"/>
        <v>ERR</v>
      </c>
      <c r="DQ85" s="1311" t="str">
        <f t="shared" si="125"/>
        <v/>
      </c>
      <c r="DR85" s="1311" t="str">
        <f t="shared" si="125"/>
        <v/>
      </c>
      <c r="DS85" s="1311" t="str">
        <f t="shared" si="126"/>
        <v/>
      </c>
      <c r="DT85" s="1311" t="str">
        <f t="shared" si="127"/>
        <v/>
      </c>
      <c r="DU85" s="1311"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1"/>
      <c r="AA86" s="947"/>
      <c r="AB86" s="948"/>
    </row>
    <row r="87" spans="1:193" ht="15" hidden="1" customHeight="1" x14ac:dyDescent="0.25">
      <c r="A87" s="1215" t="str">
        <f>IF(ISBLANK(CB87),"",CB87)</f>
        <v/>
      </c>
      <c r="B87" s="1679" t="str">
        <f t="shared" ref="B87" si="214">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selectLockedCells="1"/>
  <mergeCells count="314">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A11:AA11"/>
    <mergeCell ref="A12:A13"/>
    <mergeCell ref="C12:C13"/>
    <mergeCell ref="B12:B13"/>
    <mergeCell ref="J13:K13"/>
    <mergeCell ref="G13:H13"/>
    <mergeCell ref="M12:N12"/>
    <mergeCell ref="S13:T13"/>
    <mergeCell ref="X12:Y12"/>
    <mergeCell ref="AA12:AA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HX12:HX13"/>
    <mergeCell ref="HY12:HY13"/>
    <mergeCell ref="HZ12:HZ13"/>
    <mergeCell ref="IA12:IA13"/>
    <mergeCell ref="IB12:IB13"/>
    <mergeCell ref="IC12:IC13"/>
    <mergeCell ref="ID12:ID13"/>
    <mergeCell ref="IE12:IE13"/>
    <mergeCell ref="IF12:IF13"/>
    <mergeCell ref="IH12:IH13"/>
    <mergeCell ref="II12:II13"/>
    <mergeCell ref="IJ12:IJ13"/>
    <mergeCell ref="IK12:IK13"/>
    <mergeCell ref="IL12:IL13"/>
    <mergeCell ref="JE12:JE13"/>
    <mergeCell ref="JF12:JF13"/>
    <mergeCell ref="JG12:JG13"/>
    <mergeCell ref="JC12:JC13"/>
    <mergeCell ref="JD12:JD13"/>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s>
  <phoneticPr fontId="0" type="noConversion"/>
  <conditionalFormatting sqref="FQ54:FR85">
    <cfRule type="cellIs" dxfId="1283" priority="610" stopIfTrue="1" operator="lessThan">
      <formula>0</formula>
    </cfRule>
  </conditionalFormatting>
  <conditionalFormatting sqref="DI14">
    <cfRule type="expression" dxfId="1282" priority="179">
      <formula>UPPER(#REF!)="X"</formula>
    </cfRule>
  </conditionalFormatting>
  <conditionalFormatting sqref="DJ14">
    <cfRule type="expression" dxfId="1281" priority="612">
      <formula>OR(UPPER(#REF!)="X",UPPER(#REF!="X"))</formula>
    </cfRule>
  </conditionalFormatting>
  <conditionalFormatting sqref="DK14">
    <cfRule type="expression" dxfId="1280" priority="613">
      <formula>OR(UPPER(#REF!)="X",UPPER(#REF!="X"))</formula>
    </cfRule>
  </conditionalFormatting>
  <conditionalFormatting sqref="Q2:T4 AU2:AX4">
    <cfRule type="cellIs" dxfId="1279" priority="615" stopIfTrue="1" operator="equal">
      <formula>""</formula>
    </cfRule>
  </conditionalFormatting>
  <conditionalFormatting sqref="DM54:DM85">
    <cfRule type="cellIs" dxfId="1278" priority="538" stopIfTrue="1" operator="notEqual">
      <formula>DN54</formula>
    </cfRule>
  </conditionalFormatting>
  <conditionalFormatting sqref="DT54:DT85">
    <cfRule type="cellIs" dxfId="1277" priority="537" stopIfTrue="1" operator="notEqual">
      <formula>DU54</formula>
    </cfRule>
  </conditionalFormatting>
  <conditionalFormatting sqref="DA4">
    <cfRule type="expression" dxfId="1276" priority="357" stopIfTrue="1">
      <formula>NOT(ISBLANK($DA$4))</formula>
    </cfRule>
  </conditionalFormatting>
  <conditionalFormatting sqref="M7">
    <cfRule type="expression" dxfId="1275" priority="353" stopIfTrue="1">
      <formula>OR(ISBLANK($M$7),$M$7="")</formula>
    </cfRule>
    <cfRule type="expression" dxfId="1274" priority="354" stopIfTrue="1">
      <formula>NOT(OR(COUNTIF(masterFinishList, $M$7) &gt; 0, COUNTIF($M$7, "Other:*") &gt; 0))</formula>
    </cfRule>
  </conditionalFormatting>
  <conditionalFormatting sqref="A14:B45 A87:B87">
    <cfRule type="expression" dxfId="1273" priority="138" stopIfTrue="1">
      <formula>AND(NOT($BK$1),$B14=0,OR($BJ$1="",$BJ$1="M"))</formula>
    </cfRule>
  </conditionalFormatting>
  <conditionalFormatting sqref="C14:C45">
    <cfRule type="expression" dxfId="1272" priority="165">
      <formula>AND(NOT($BK14),NOT(BR14))</formula>
    </cfRule>
  </conditionalFormatting>
  <conditionalFormatting sqref="U14:U45">
    <cfRule type="expression" dxfId="1271" priority="232">
      <formula>AND(NOT($BK14),BV14="No")</formula>
    </cfRule>
  </conditionalFormatting>
  <conditionalFormatting sqref="V14:V45">
    <cfRule type="expression" dxfId="1270" priority="233">
      <formula>AND(NOT($BK14),BV14="No")</formula>
    </cfRule>
  </conditionalFormatting>
  <conditionalFormatting sqref="S14:S45">
    <cfRule type="expression" dxfId="1269" priority="230">
      <formula>AND(NOT($BK14),BT14="No")</formula>
    </cfRule>
  </conditionalFormatting>
  <conditionalFormatting sqref="T14:T45">
    <cfRule type="expression" dxfId="1268" priority="231">
      <formula>AND(NOT($BK14),BT14="No")</formula>
    </cfRule>
  </conditionalFormatting>
  <conditionalFormatting sqref="W14:W45">
    <cfRule type="expression" dxfId="1267" priority="93">
      <formula>$W14=0</formula>
    </cfRule>
  </conditionalFormatting>
  <conditionalFormatting sqref="DI15:DI45">
    <cfRule type="expression" dxfId="1266" priority="614">
      <formula>FM54="X"</formula>
    </cfRule>
  </conditionalFormatting>
  <conditionalFormatting sqref="DJ15:DJ45">
    <cfRule type="expression" dxfId="1265" priority="1013">
      <formula>FM54="X"</formula>
    </cfRule>
  </conditionalFormatting>
  <conditionalFormatting sqref="DK15:DK45">
    <cfRule type="expression" dxfId="1264" priority="1014">
      <formula>FM54="X"</formula>
    </cfRule>
  </conditionalFormatting>
  <conditionalFormatting sqref="DT14:DU45">
    <cfRule type="expression" dxfId="1263" priority="1015">
      <formula>GD54=0</formula>
    </cfRule>
  </conditionalFormatting>
  <conditionalFormatting sqref="DH14:DH45">
    <cfRule type="expression" dxfId="1262" priority="32">
      <formula>NOT($FQ14)</formula>
    </cfRule>
    <cfRule type="expression" dxfId="1261" priority="1016">
      <formula>FJ54="G"</formula>
    </cfRule>
  </conditionalFormatting>
  <conditionalFormatting sqref="DM14:DN45">
    <cfRule type="expression" dxfId="1260" priority="1018">
      <formula>FIND("B",$GK54)</formula>
    </cfRule>
  </conditionalFormatting>
  <conditionalFormatting sqref="DJ14:DK45">
    <cfRule type="expression" dxfId="1259" priority="1036">
      <formula>FIND("A",$GK54)</formula>
    </cfRule>
  </conditionalFormatting>
  <conditionalFormatting sqref="DL14:DL45">
    <cfRule type="expression" dxfId="1258" priority="3">
      <formula>AND(NOT(ISBLANK($DH14)),ISBLANK($DL14))</formula>
    </cfRule>
    <cfRule type="expression" dxfId="1257" priority="176">
      <formula>FIND("B",$GK54)</formula>
    </cfRule>
  </conditionalFormatting>
  <conditionalFormatting sqref="DI14:DI45">
    <cfRule type="expression" dxfId="1256" priority="1038">
      <formula>NOT($EY14)</formula>
    </cfRule>
  </conditionalFormatting>
  <conditionalFormatting sqref="DQ14:DQ45">
    <cfRule type="expression" dxfId="1255" priority="137">
      <formula>DQ14&lt;&gt;EZ14</formula>
    </cfRule>
  </conditionalFormatting>
  <conditionalFormatting sqref="AD87:AE87 AD14:AE45">
    <cfRule type="expression" dxfId="1254" priority="162">
      <formula>AND(NOT($BZ14),FIND("A",$GK54))</formula>
    </cfRule>
  </conditionalFormatting>
  <conditionalFormatting sqref="AI87:AJ87 AI14:AJ45">
    <cfRule type="expression" dxfId="1253" priority="163">
      <formula>AND(NOT($BZ14),FIND("B",$GK54))</formula>
    </cfRule>
  </conditionalFormatting>
  <conditionalFormatting sqref="AC14:AC45">
    <cfRule type="expression" dxfId="1252" priority="164">
      <formula>AND(NOT($BZ14),NOT($EY14))</formula>
    </cfRule>
  </conditionalFormatting>
  <conditionalFormatting sqref="AM14:AM45">
    <cfRule type="expression" dxfId="1251" priority="144">
      <formula>AND(NOT($BZ14),AM14&lt;&gt;EZ14)</formula>
    </cfRule>
  </conditionalFormatting>
  <conditionalFormatting sqref="FF14:FF45">
    <cfRule type="expression" dxfId="1250" priority="145">
      <formula>$FC14=0</formula>
    </cfRule>
  </conditionalFormatting>
  <conditionalFormatting sqref="AD14:AJ45">
    <cfRule type="expression" dxfId="1249" priority="136">
      <formula>AND(NOT($BZ14),NOT($FA14))</formula>
    </cfRule>
  </conditionalFormatting>
  <conditionalFormatting sqref="DB14:DC45">
    <cfRule type="expression" dxfId="1248" priority="94">
      <formula>AND(NOT($BK14),LEN($Z14)&gt;27)</formula>
    </cfRule>
  </conditionalFormatting>
  <conditionalFormatting sqref="C87">
    <cfRule type="expression" dxfId="1247" priority="86" stopIfTrue="1">
      <formula>AND(NOT($BK87),NOT(BR87))</formula>
    </cfRule>
  </conditionalFormatting>
  <conditionalFormatting sqref="U87">
    <cfRule type="expression" dxfId="1246" priority="90" stopIfTrue="1">
      <formula>AND(NOT($BK87),BV87="No")</formula>
    </cfRule>
  </conditionalFormatting>
  <conditionalFormatting sqref="V87">
    <cfRule type="expression" dxfId="1245" priority="91" stopIfTrue="1">
      <formula>AND(NOT($BK87),BV87="No")</formula>
    </cfRule>
  </conditionalFormatting>
  <conditionalFormatting sqref="S87">
    <cfRule type="expression" dxfId="1244" priority="88" stopIfTrue="1">
      <formula>AND(NOT($BK87),BT87="No")</formula>
    </cfRule>
  </conditionalFormatting>
  <conditionalFormatting sqref="T87">
    <cfRule type="expression" dxfId="1243" priority="89" stopIfTrue="1">
      <formula>AND(NOT($BK87),BT87="No")</formula>
    </cfRule>
  </conditionalFormatting>
  <conditionalFormatting sqref="W87">
    <cfRule type="expression" dxfId="1242" priority="74">
      <formula>$W87=0</formula>
    </cfRule>
  </conditionalFormatting>
  <conditionalFormatting sqref="AR87:AS87 AR14:AS45">
    <cfRule type="expression" dxfId="1241" priority="79">
      <formula>AND(NOT($BZ14),$FF54)</formula>
    </cfRule>
  </conditionalFormatting>
  <conditionalFormatting sqref="AV87:AW87 AV14:AW45">
    <cfRule type="expression" dxfId="1240" priority="80">
      <formula>AND(NOT($BZ14),$FG54)</formula>
    </cfRule>
  </conditionalFormatting>
  <conditionalFormatting sqref="AZ87:BA87 AZ14:BA45">
    <cfRule type="expression" dxfId="1239" priority="81">
      <formula>AND(NOT($BZ14),$FH54)</formula>
    </cfRule>
  </conditionalFormatting>
  <conditionalFormatting sqref="BD87:BE87 BD14:BE45">
    <cfRule type="expression" dxfId="1238" priority="82">
      <formula>AND(NOT($BZ14),$FI54)</formula>
    </cfRule>
  </conditionalFormatting>
  <conditionalFormatting sqref="AC87">
    <cfRule type="expression" dxfId="1237" priority="85">
      <formula>AND(NOT($BZ87),NOT($EY87))</formula>
    </cfRule>
  </conditionalFormatting>
  <conditionalFormatting sqref="AM87">
    <cfRule type="expression" dxfId="1236" priority="78">
      <formula>AND(NOT($BZ87),AM87&lt;&gt;EZ87)</formula>
    </cfRule>
  </conditionalFormatting>
  <conditionalFormatting sqref="AD87:AJ87">
    <cfRule type="expression" dxfId="1235" priority="76">
      <formula>AND(NOT($BZ87),NOT($FA87))</formula>
    </cfRule>
  </conditionalFormatting>
  <conditionalFormatting sqref="AA87 A87:Y87">
    <cfRule type="expression" dxfId="1234" priority="87">
      <formula>$BI87</formula>
    </cfRule>
  </conditionalFormatting>
  <conditionalFormatting sqref="AB87:BG87">
    <cfRule type="expression" dxfId="1233" priority="73">
      <formula>$CA87</formula>
    </cfRule>
  </conditionalFormatting>
  <conditionalFormatting sqref="CD14:CD45">
    <cfRule type="expression" dxfId="1232" priority="35">
      <formula>AND(NOT($BK14),NOT($BR14))</formula>
    </cfRule>
  </conditionalFormatting>
  <conditionalFormatting sqref="DD14:DD45">
    <cfRule type="cellIs" dxfId="1231" priority="48" operator="greaterThan">
      <formula>EY54</formula>
    </cfRule>
    <cfRule type="expression" dxfId="1230" priority="49">
      <formula>AND(ISBLANK(DD14),EY54&gt;0)</formula>
    </cfRule>
  </conditionalFormatting>
  <conditionalFormatting sqref="DE14:DE45">
    <cfRule type="cellIs" dxfId="1229" priority="50" operator="lessThan">
      <formula>EX54</formula>
    </cfRule>
    <cfRule type="expression" dxfId="1228" priority="51">
      <formula>AND(ISBLANK(DE14),EX54&lt;&gt;"")</formula>
    </cfRule>
  </conditionalFormatting>
  <conditionalFormatting sqref="AB14:AO45 DH14:EK45 BF14:BG45">
    <cfRule type="expression" dxfId="1227" priority="1243">
      <formula>$FP14</formula>
    </cfRule>
  </conditionalFormatting>
  <conditionalFormatting sqref="A14:Y45 AA14:AA45 DA14:DE45 CB14:CY45">
    <cfRule type="expression" dxfId="1226" priority="1247">
      <formula>$FN14</formula>
    </cfRule>
  </conditionalFormatting>
  <conditionalFormatting sqref="AB14:AB45">
    <cfRule type="expression" dxfId="1225" priority="31">
      <formula>NOT($FQ14)</formula>
    </cfRule>
  </conditionalFormatting>
  <conditionalFormatting sqref="CB14:CB45">
    <cfRule type="expression" dxfId="1224" priority="4">
      <formula>NOT($FO14)</formula>
    </cfRule>
  </conditionalFormatting>
  <conditionalFormatting sqref="A14:A45">
    <cfRule type="expression" dxfId="1223" priority="29">
      <formula>NOT($FO14)</formula>
    </cfRule>
  </conditionalFormatting>
  <conditionalFormatting sqref="CZ14:CZ45">
    <cfRule type="expression" dxfId="1222" priority="25">
      <formula>$FN14</formula>
    </cfRule>
  </conditionalFormatting>
  <conditionalFormatting sqref="Z87">
    <cfRule type="expression" dxfId="1221" priority="21">
      <formula>$FN87</formula>
    </cfRule>
  </conditionalFormatting>
  <conditionalFormatting sqref="Z87">
    <cfRule type="expression" dxfId="1220" priority="22">
      <formula>AND(NOT($BK87),LEN($Z87)&gt;27)</formula>
    </cfRule>
  </conditionalFormatting>
  <conditionalFormatting sqref="Z14:Z45">
    <cfRule type="expression" dxfId="1219" priority="17">
      <formula>$FN14</formula>
    </cfRule>
  </conditionalFormatting>
  <conditionalFormatting sqref="Z14:Z45">
    <cfRule type="expression" dxfId="1218" priority="18">
      <formula>AND(NOT($BK14),LEN($Z14)&gt;27)</formula>
    </cfRule>
  </conditionalFormatting>
  <conditionalFormatting sqref="AP14:AQ45">
    <cfRule type="expression" dxfId="1217" priority="15">
      <formula>$FP14</formula>
    </cfRule>
  </conditionalFormatting>
  <conditionalFormatting sqref="AR14:BE45">
    <cfRule type="expression" dxfId="1216" priority="9">
      <formula>$FP14</formula>
    </cfRule>
  </conditionalFormatting>
  <conditionalFormatting sqref="CB14:CC45">
    <cfRule type="expression" dxfId="1215" priority="30">
      <formula>AND(NOT($BK$1),$B14=0,OR($BJ$1="",$BJ$1="M"))</formula>
    </cfRule>
  </conditionalFormatting>
  <conditionalFormatting sqref="CJ14:CJ45">
    <cfRule type="expression" dxfId="1214" priority="1776">
      <formula>AND(NOT($BK14),OR($CC54="M",$CC54="C",$CC54="G"))</formula>
    </cfRule>
    <cfRule type="expression" dxfId="1213" priority="1777">
      <formula>AND(NOT($BK14),AND(OR($CC54="B",$CC54="G"),CJ14="",CK14=""))</formula>
    </cfRule>
    <cfRule type="expression" dxfId="1212" priority="1778">
      <formula>AND(NOT($BK14),EG54="ERR")</formula>
    </cfRule>
  </conditionalFormatting>
  <conditionalFormatting sqref="CK14:CK45">
    <cfRule type="expression" dxfId="1211" priority="1779">
      <formula>AND(NOT($BK14),OR($CC54="M",$CC54="C",$CC54="G"))</formula>
    </cfRule>
    <cfRule type="expression" dxfId="1210" priority="1780">
      <formula>AND(NOT($BK14),AND(OR($CC54="B",$CC54="G"),CJ14="",CK14=""))</formula>
    </cfRule>
    <cfRule type="expression" dxfId="1209" priority="1781">
      <formula>AND(NOT($BK14),EG54="ERR")</formula>
    </cfRule>
  </conditionalFormatting>
  <conditionalFormatting sqref="CH14:CH45">
    <cfRule type="expression" dxfId="1208" priority="1790">
      <formula>AND(NOT($BK14),OR($CC54="M",$CC54="C"))</formula>
    </cfRule>
    <cfRule type="expression" dxfId="1207" priority="1791">
      <formula>AND(NOT($BK14),AND(CH14="",CI14="",OR($CC54="B",$CC54="G")))</formula>
    </cfRule>
    <cfRule type="expression" dxfId="1206" priority="1792">
      <formula>AND(NOT($BK14),(CH14/2)/COS(RADIANS(CL14))+CD54-DC54&lt;$FB$4)</formula>
    </cfRule>
  </conditionalFormatting>
  <conditionalFormatting sqref="CI14:CI45">
    <cfRule type="expression" dxfId="1205" priority="1793">
      <formula>AND(NOT($BK14),OR($CC54="M",$CC54="C"))</formula>
    </cfRule>
    <cfRule type="expression" dxfId="1204" priority="1794">
      <formula>AND(NOT($BK14),AND(CH14="",CI14="",OR($CC54="B",$CC54="G")))</formula>
    </cfRule>
    <cfRule type="expression" dxfId="1203" priority="1795">
      <formula>AND(NOT($BK14),(CI14/2)/COS(RADIANS(CL14))+CD54-DC54&lt;$FB$4)</formula>
    </cfRule>
  </conditionalFormatting>
  <conditionalFormatting sqref="CT14:CT45">
    <cfRule type="expression" dxfId="1202" priority="1814">
      <formula>AND(NOT($BK14),OR($CL54="M",$CL54="C",$CL54="G"))</formula>
    </cfRule>
    <cfRule type="expression" dxfId="1201" priority="1815">
      <formula>AND(NOT($BK14),AND(OR($CL54="B",$CL54="G"),CT14="",CU14=""))</formula>
    </cfRule>
    <cfRule type="expression" dxfId="1200" priority="1816">
      <formula>AND(NOT($BK14),EJ54="ERR")</formula>
    </cfRule>
  </conditionalFormatting>
  <conditionalFormatting sqref="CU14:CU45">
    <cfRule type="expression" dxfId="1199" priority="1817">
      <formula>AND(NOT($BK14),OR($CL54="M",$CL54="C",$CL54="G"))</formula>
    </cfRule>
    <cfRule type="expression" dxfId="1198" priority="1818">
      <formula>AND(NOT($BK14),AND(OR($CL54="B",$CL54="G"),CT14="",CU14=""))</formula>
    </cfRule>
    <cfRule type="expression" dxfId="1197" priority="1819">
      <formula>AND(NOT($BK14),EJ54="ERR")</formula>
    </cfRule>
  </conditionalFormatting>
  <conditionalFormatting sqref="CR14:CR45">
    <cfRule type="expression" dxfId="1196" priority="1822">
      <formula>AND(NOT($BK14),OR($CL54="M",$CL54="C"))</formula>
    </cfRule>
    <cfRule type="expression" dxfId="1195" priority="1823">
      <formula>AND(NOT($BK14),AND(CR14="",CS14="",OR($CL54="B",$CL54="G")))</formula>
    </cfRule>
    <cfRule type="expression" dxfId="1194" priority="1824">
      <formula>AND(NOT($BK14),(CR14/2)/COS(RADIANS(CV14))+CM54-DI54&lt;$FB$4)</formula>
    </cfRule>
  </conditionalFormatting>
  <conditionalFormatting sqref="CS14:CS45">
    <cfRule type="expression" dxfId="1193" priority="1825">
      <formula>AND(NOT($BK14),OR($CL54="M",$CL54="C"))</formula>
    </cfRule>
    <cfRule type="expression" dxfId="1192" priority="1826">
      <formula>AND(NOT($BK14),AND(CR14="",CS14="",OR($CL54="B",$CL54="G")))</formula>
    </cfRule>
    <cfRule type="expression" dxfId="1191" priority="1827">
      <formula>AND(NOT($BK14),(CS14/2)/COS(RADIANS(CV14))+CM54-DI54&lt;$FB$4)</formula>
    </cfRule>
  </conditionalFormatting>
  <conditionalFormatting sqref="CW14:CW45 CM14:CM45">
    <cfRule type="expression" dxfId="1190" priority="1849">
      <formula>AND(NOT($BK14),AND(ISBLANK(CM14),AND(NOT(ISBLANK(CL14)),$DA14&lt;&gt;0)))</formula>
    </cfRule>
  </conditionalFormatting>
  <conditionalFormatting sqref="GA48:GB48">
    <cfRule type="expression" dxfId="1189" priority="2" stopIfTrue="1">
      <formula>$GM50&gt;=0.125</formula>
    </cfRule>
  </conditionalFormatting>
  <conditionalFormatting sqref="CO14:CO45">
    <cfRule type="expression" dxfId="1188" priority="1914">
      <formula>ET14&lt;&gt;""</formula>
    </cfRule>
  </conditionalFormatting>
  <conditionalFormatting sqref="CY14:CY45">
    <cfRule type="expression" dxfId="1187" priority="1915">
      <formula>EU14&lt;&gt;""</formula>
    </cfRule>
  </conditionalFormatting>
  <conditionalFormatting sqref="CG14:CG45">
    <cfRule type="expression" dxfId="1186" priority="1916">
      <formula>AND(NOT($BK14),ISERROR(CC54))</formula>
    </cfRule>
    <cfRule type="expression" dxfId="1185" priority="1917">
      <formula>AND(NOT($BK14),OR(ISERROR(CC54),CC54="", ET14&lt;&gt;""))</formula>
    </cfRule>
  </conditionalFormatting>
  <conditionalFormatting sqref="CQ14:CQ45">
    <cfRule type="expression" dxfId="1184" priority="1918">
      <formula>AND(NOT($BK14),ISERROR(CL54))</formula>
    </cfRule>
    <cfRule type="expression" dxfId="1183" priority="1919">
      <formula>AND(NOT($BK14),OR(CL54="", EU14&lt;&gt;""))</formula>
    </cfRule>
  </conditionalFormatting>
  <conditionalFormatting sqref="DC14:DC45">
    <cfRule type="expression" dxfId="1182" priority="1999">
      <formula>OR(EN14&lt;&gt;"",EO14&lt;&gt;"",EP14&lt;&gt;"",EQ14&lt;&gt;"",ER14&lt;&gt;"",ES14&lt;&gt;"",ET14&lt;&gt;"",EU14&lt;&gt;"")</formula>
    </cfRule>
  </conditionalFormatting>
  <conditionalFormatting sqref="B87">
    <cfRule type="expression" dxfId="1181" priority="1">
      <formula>$FN87</formula>
    </cfRule>
  </conditionalFormatting>
  <conditionalFormatting sqref="GA14:GB45">
    <cfRule type="expression" dxfId="1180" priority="2000"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859B64E0-B35C-43C2-B540-F6E2089AAA19}">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topLeftCell="BB1" zoomScaleNormal="100" zoomScaleSheetLayoutView="75" workbookViewId="0">
      <selection activeCell="BB23" sqref="BB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02" t="str">
        <f>IF(AD1="","",VLOOKUP(AD1,'Job Info.'!X:AA,4,FALSE))</f>
        <v>Master</v>
      </c>
      <c r="Q1" s="1802"/>
      <c r="R1" s="1802"/>
      <c r="S1" s="1802"/>
      <c r="T1" s="374"/>
      <c r="U1" s="374"/>
      <c r="V1" s="375"/>
      <c r="W1" s="375"/>
      <c r="X1" s="1101"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07" t="str">
        <f>IF(AD1="","",IF(VLOOKUP(AD1,'Job Info.'!X:Z,2,FALSE),"Released for Fabrication",""))</f>
        <v/>
      </c>
      <c r="Q2" s="1808"/>
      <c r="R2" s="1808"/>
      <c r="S2" s="1809"/>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3">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10"/>
      <c r="Q3" s="1811"/>
      <c r="R3" s="1811"/>
      <c r="S3" s="1812"/>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5">
        <f>'Job Info.'!$N8/2</f>
        <v>0.5</v>
      </c>
      <c r="DH3" s="1656">
        <f>'Job Info.'!$H8</f>
        <v>2.5</v>
      </c>
      <c r="DI3" s="1657">
        <f>'Job Info.'!$J8</f>
        <v>4</v>
      </c>
      <c r="DJ3" s="1657">
        <f>'Job Info.'!$I8</f>
        <v>2.5</v>
      </c>
      <c r="DK3" s="1657">
        <f>'Job Info.'!$K8</f>
        <v>3.5</v>
      </c>
      <c r="DL3" s="1658">
        <f>'Job Info.'!$M8</f>
        <v>0.5625</v>
      </c>
      <c r="DM3" s="1659">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13" t="str">
        <f>IF(AD1="","",IF(VLOOKUP(AD1,'Job Info.'!X:Z,2,FALSE),VLOOKUP(AD1,'Job Info.'!X:Z,3,FALSE),""))</f>
        <v/>
      </c>
      <c r="Q4" s="1814"/>
      <c r="R4" s="1814"/>
      <c r="S4" s="1815"/>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1"/>
      <c r="CW4" s="1662"/>
      <c r="CX4" s="1663"/>
      <c r="CY4" s="1663"/>
      <c r="CZ4" s="1663"/>
      <c r="DA4" s="1664"/>
      <c r="DB4" s="1663"/>
      <c r="DC4" s="1665"/>
      <c r="DE4" s="246"/>
      <c r="DF4" s="505" t="s">
        <v>75</v>
      </c>
      <c r="DG4" s="1655">
        <f>'Job Info.'!$N9/2</f>
        <v>0.5</v>
      </c>
      <c r="DH4" s="1656">
        <f>'Job Info.'!$H9</f>
        <v>2.5</v>
      </c>
      <c r="DI4" s="1657">
        <f>'Job Info.'!$J9</f>
        <v>4</v>
      </c>
      <c r="DJ4" s="1657">
        <f>'Job Info.'!$I9</f>
        <v>2.5</v>
      </c>
      <c r="DK4" s="1657">
        <f>'Job Info.'!$K9</f>
        <v>3.5</v>
      </c>
      <c r="DL4" s="1658">
        <f>'Job Info.'!$M9</f>
        <v>0.5625</v>
      </c>
      <c r="DM4" s="1659">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18" t="str">
        <f ca="1">'Job Info.'!D11</f>
        <v>8200 Woolery Way | Fallon, NV 89406 | www.newmill.com</v>
      </c>
      <c r="B5" s="2358"/>
      <c r="C5" s="2358"/>
      <c r="D5" s="2358"/>
      <c r="E5" s="2358"/>
      <c r="F5" s="2358"/>
      <c r="G5" s="2358"/>
      <c r="H5" s="2358"/>
      <c r="I5" s="2358"/>
      <c r="J5" s="2358"/>
      <c r="K5" s="2358"/>
      <c r="L5" s="2358"/>
      <c r="M5" s="2358"/>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6"/>
      <c r="CW5" s="1667"/>
      <c r="CX5" s="1667"/>
      <c r="CY5" s="1667"/>
      <c r="CZ5" s="1667"/>
      <c r="DA5" s="1668"/>
      <c r="DB5" s="1667"/>
      <c r="DC5" s="1669"/>
      <c r="DE5" s="246"/>
      <c r="DF5" s="505" t="s">
        <v>1111</v>
      </c>
      <c r="DG5" s="1655">
        <f>'Job Info.'!$N10/2</f>
        <v>1</v>
      </c>
      <c r="DH5" s="1657">
        <f>'Job Info.'!$H10</f>
        <v>5</v>
      </c>
      <c r="DI5" s="1657">
        <f>'Job Info.'!$J10</f>
        <v>4</v>
      </c>
      <c r="DJ5" s="1657">
        <f>'Job Info.'!$I10</f>
        <v>2.5</v>
      </c>
      <c r="DK5" s="1657">
        <f>'Job Info.'!$K10</f>
        <v>4</v>
      </c>
      <c r="DL5" s="1658">
        <f>'Job Info.'!$M10</f>
        <v>0.8125</v>
      </c>
      <c r="DM5" s="1659">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374"/>
      <c r="W6" s="374"/>
      <c r="X6" s="460" t="s">
        <v>20</v>
      </c>
      <c r="Y6" s="1799">
        <f>IF(ISBLANK('Job Info.'!D8),"",'Job Info.'!D8)</f>
        <v>44909</v>
      </c>
      <c r="Z6" s="1799"/>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70"/>
      <c r="CW6" s="1671"/>
      <c r="CX6" s="1671"/>
      <c r="CY6" s="1671"/>
      <c r="CZ6" s="1671"/>
      <c r="DA6" s="1672"/>
      <c r="DB6" s="1671"/>
      <c r="DC6" s="1673"/>
      <c r="DD6" s="246"/>
      <c r="DE6" s="246"/>
      <c r="DF6" s="505" t="s">
        <v>74</v>
      </c>
      <c r="DG6" s="1655">
        <f>'Job Info.'!$N11/2</f>
        <v>1</v>
      </c>
      <c r="DH6" s="1657">
        <f>'Job Info.'!$H11</f>
        <v>5</v>
      </c>
      <c r="DI6" s="1657">
        <f>'Job Info.'!$J11</f>
        <v>4</v>
      </c>
      <c r="DJ6" s="1657">
        <f>'Job Info.'!$I11</f>
        <v>4</v>
      </c>
      <c r="DK6" s="1657">
        <f>'Job Info.'!$K11</f>
        <v>4</v>
      </c>
      <c r="DL6" s="1658">
        <f>'Job Info.'!$M11</f>
        <v>0.8125</v>
      </c>
      <c r="DM6" s="1659">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41" t="str">
        <f>IF(ISBLANK(CC15),"",CC15)</f>
        <v/>
      </c>
      <c r="N7" s="1971"/>
      <c r="O7" s="1971"/>
      <c r="P7" s="1971"/>
      <c r="Q7" s="1971"/>
      <c r="R7" s="1971"/>
      <c r="S7" s="1971"/>
      <c r="T7"/>
      <c r="U7" s="1092"/>
      <c r="V7" s="374"/>
      <c r="W7" s="374"/>
      <c r="X7" s="460" t="s">
        <v>21</v>
      </c>
      <c r="Y7" s="1176" t="str">
        <f>CONCATENATE(AC7, " of ",IF(ISBLANK('Job Info.'!D9),"",'Job Info.'!D9))</f>
        <v xml:space="preserve"> of 28</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5">
        <f>'Job Info.'!$N12/2</f>
        <v>1</v>
      </c>
      <c r="DH7" s="1657">
        <f>'Job Info.'!$H12</f>
        <v>5</v>
      </c>
      <c r="DI7" s="1657">
        <f>'Job Info.'!$J12</f>
        <v>4</v>
      </c>
      <c r="DJ7" s="1657">
        <f>'Job Info.'!$I12</f>
        <v>4</v>
      </c>
      <c r="DK7" s="1657">
        <f>'Job Info.'!$K12</f>
        <v>4</v>
      </c>
      <c r="DL7" s="1658">
        <f>'Job Info.'!$M12</f>
        <v>0.8125</v>
      </c>
      <c r="DM7" s="1659">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5">
        <f>'Job Info.'!$N13/2</f>
        <v>1</v>
      </c>
      <c r="DH8" s="1657">
        <f>'Job Info.'!$H13</f>
        <v>5</v>
      </c>
      <c r="DI8" s="1657">
        <f>'Job Info.'!$J13</f>
        <v>4</v>
      </c>
      <c r="DJ8" s="1657">
        <f>'Job Info.'!$I13</f>
        <v>4</v>
      </c>
      <c r="DK8" s="1657">
        <f>'Job Info.'!$K13</f>
        <v>4</v>
      </c>
      <c r="DL8" s="1658">
        <f>'Job Info.'!$M13</f>
        <v>0.8125</v>
      </c>
      <c r="DM8" s="1659">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796" t="str">
        <f>IF(ISBLANK('Job Info.'!D3),"",'Job Info.'!D3)</f>
        <v>SUNCAP CHEYENNE&amp;COMMERCE BLDG A&amp;B PP</v>
      </c>
      <c r="D9" s="1796"/>
      <c r="E9" s="1796"/>
      <c r="F9" s="1796"/>
      <c r="G9" s="1796"/>
      <c r="H9" s="1796"/>
      <c r="I9" s="1796"/>
      <c r="J9" s="1796"/>
      <c r="K9" s="1796"/>
      <c r="L9" s="1796"/>
      <c r="M9" s="1796"/>
      <c r="N9" s="1796"/>
      <c r="O9" s="1797"/>
      <c r="P9" s="397"/>
      <c r="Q9" s="398"/>
      <c r="R9" s="458" t="s">
        <v>2</v>
      </c>
      <c r="S9" s="1797" t="str">
        <f>IF(ISBLANK('Job Info.'!D5),"",'Job Info.'!D5)</f>
        <v>9122-0050</v>
      </c>
      <c r="T9" s="2119"/>
      <c r="U9" s="2119"/>
      <c r="V9" s="2119"/>
      <c r="W9" s="2119"/>
      <c r="X9" s="2119"/>
      <c r="Y9" s="2119"/>
      <c r="Z9" s="2119"/>
      <c r="AA9" s="2119"/>
      <c r="AB9" s="1416"/>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4">
        <f>'Job Info.'!$N14/2</f>
        <v>1</v>
      </c>
      <c r="DH9" s="1675">
        <f>'Job Info.'!$H14</f>
        <v>5</v>
      </c>
      <c r="DI9" s="1675">
        <f>'Job Info.'!$J14</f>
        <v>6</v>
      </c>
      <c r="DJ9" s="1675">
        <f>'Job Info.'!$I14</f>
        <v>4</v>
      </c>
      <c r="DK9" s="1675">
        <f>'Job Info.'!$K14</f>
        <v>4</v>
      </c>
      <c r="DL9" s="1676">
        <f>'Job Info.'!$M14</f>
        <v>0.8125</v>
      </c>
      <c r="DM9" s="1677">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796" t="str">
        <f>IF(ISBLANK('Job Info.'!D4),"",'Job Info.'!D4)</f>
        <v>LAS VEGAS, NV</v>
      </c>
      <c r="D10" s="1796"/>
      <c r="E10" s="1796"/>
      <c r="F10" s="1796"/>
      <c r="G10" s="1796"/>
      <c r="H10" s="1796"/>
      <c r="I10" s="1796"/>
      <c r="J10" s="1796"/>
      <c r="K10" s="1796"/>
      <c r="L10" s="1796"/>
      <c r="M10" s="1796"/>
      <c r="N10" s="1796"/>
      <c r="O10" s="1797"/>
      <c r="P10" s="402"/>
      <c r="Q10" s="403"/>
      <c r="R10" s="459" t="s">
        <v>22</v>
      </c>
      <c r="S10" s="1796" t="str">
        <f>IF(ISBLANK('Job Info.'!D6),"",'Job Info.'!D6)</f>
        <v>SA</v>
      </c>
      <c r="T10" s="1796"/>
      <c r="U10" s="1796"/>
      <c r="V10" s="1796"/>
      <c r="W10" s="1797"/>
      <c r="X10" s="403"/>
      <c r="Y10" s="459" t="s">
        <v>23</v>
      </c>
      <c r="Z10" s="1797" t="str">
        <f>IF(ISBLANK('Job Info.'!D7),"",'Job Info.'!D7)</f>
        <v>NR</v>
      </c>
      <c r="AA10" s="2119"/>
      <c r="AB10" s="1416"/>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07"/>
      <c r="ES13" s="246"/>
      <c r="ET13" s="246"/>
      <c r="EU13" s="2407"/>
      <c r="EV13" s="2407"/>
      <c r="EW13" s="2407"/>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08"/>
      <c r="ES14" s="246"/>
      <c r="ET14" s="246"/>
      <c r="EU14" s="2408"/>
      <c r="EV14" s="2408"/>
      <c r="EW14" s="2408"/>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388"/>
      <c r="CD15" s="2214"/>
      <c r="CE15" s="2214"/>
      <c r="CF15" s="221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6"/>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3">
        <v>6</v>
      </c>
      <c r="BC17" s="1623">
        <v>4</v>
      </c>
      <c r="BD17" s="1623">
        <v>13</v>
      </c>
      <c r="BE17" s="1623">
        <v>4</v>
      </c>
      <c r="BF17" s="1623">
        <v>5</v>
      </c>
      <c r="BG17" s="1624">
        <v>3</v>
      </c>
      <c r="BH17" s="1624">
        <v>4.57</v>
      </c>
      <c r="BI17" s="1624">
        <v>4.57</v>
      </c>
      <c r="BJ17" s="1624">
        <v>2.71</v>
      </c>
      <c r="BK17" s="1624">
        <v>4.57</v>
      </c>
      <c r="BL17" s="1624">
        <v>4.57</v>
      </c>
      <c r="BM17" s="1624">
        <v>4</v>
      </c>
      <c r="BN17" s="1624">
        <v>5</v>
      </c>
      <c r="BO17" s="1624">
        <v>2.71</v>
      </c>
      <c r="BP17" s="1624">
        <v>5.29</v>
      </c>
      <c r="BQ17" s="1624">
        <v>5.29</v>
      </c>
      <c r="BR17" s="1624">
        <v>4</v>
      </c>
      <c r="BS17" s="1624">
        <v>3</v>
      </c>
      <c r="BT17" s="1624">
        <v>4.57</v>
      </c>
      <c r="BU17" s="1624">
        <v>4.57</v>
      </c>
      <c r="BV17" s="1624">
        <v>2.71</v>
      </c>
      <c r="BW17" s="1623">
        <v>4.57</v>
      </c>
      <c r="BX17" s="1623">
        <v>4.57</v>
      </c>
      <c r="BY17" s="1623">
        <v>4</v>
      </c>
      <c r="BZ17" s="1623">
        <v>5</v>
      </c>
      <c r="CA17" s="1623">
        <v>2.71</v>
      </c>
      <c r="CB17" s="1624">
        <v>5.29</v>
      </c>
      <c r="CC17" s="1623">
        <v>5.29</v>
      </c>
      <c r="CD17" s="1623">
        <v>4</v>
      </c>
      <c r="CE17" s="1623">
        <v>5</v>
      </c>
      <c r="CF17" s="1623">
        <v>17.14</v>
      </c>
      <c r="CG17" s="1624">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44"/>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89" t="s">
        <v>592</v>
      </c>
      <c r="BC18" s="2390"/>
      <c r="BD18" s="2390"/>
      <c r="BE18" s="2390"/>
      <c r="BF18" s="2390"/>
      <c r="BG18" s="2390"/>
      <c r="BH18" s="2390"/>
      <c r="BI18" s="2390"/>
      <c r="BJ18" s="2390"/>
      <c r="BK18" s="2390"/>
      <c r="BL18" s="2390"/>
      <c r="BM18" s="2390"/>
      <c r="BN18" s="2390"/>
      <c r="BO18" s="2390"/>
      <c r="BP18" s="2390"/>
      <c r="BQ18" s="2390"/>
      <c r="BR18" s="2390"/>
      <c r="BS18" s="2390"/>
      <c r="BT18" s="2390"/>
      <c r="BU18" s="2390"/>
      <c r="BV18" s="2390"/>
      <c r="BW18" s="2390"/>
      <c r="BX18" s="2390"/>
      <c r="BY18" s="2390"/>
      <c r="BZ18" s="2390"/>
      <c r="CA18" s="2390"/>
      <c r="CB18" s="2390"/>
      <c r="CC18" s="1558"/>
      <c r="CD18" s="2393"/>
      <c r="CE18" s="2393"/>
      <c r="CF18" s="2393"/>
      <c r="CG18" s="2394"/>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45"/>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91"/>
      <c r="BC19" s="2392"/>
      <c r="BD19" s="2392"/>
      <c r="BE19" s="2392"/>
      <c r="BF19" s="2392"/>
      <c r="BG19" s="2392"/>
      <c r="BH19" s="2392"/>
      <c r="BI19" s="2392"/>
      <c r="BJ19" s="2392"/>
      <c r="BK19" s="2392"/>
      <c r="BL19" s="2392"/>
      <c r="BM19" s="2392"/>
      <c r="BN19" s="2392"/>
      <c r="BO19" s="2392"/>
      <c r="BP19" s="2392"/>
      <c r="BQ19" s="2392"/>
      <c r="BR19" s="2392"/>
      <c r="BS19" s="2392"/>
      <c r="BT19" s="2392"/>
      <c r="BU19" s="2392"/>
      <c r="BV19" s="2392"/>
      <c r="BW19" s="2392"/>
      <c r="BX19" s="2392"/>
      <c r="BY19" s="2392"/>
      <c r="BZ19" s="2392"/>
      <c r="CA19" s="2392"/>
      <c r="CB19" s="2392"/>
      <c r="CC19" s="1557"/>
      <c r="CD19" s="2395"/>
      <c r="CE19" s="2396"/>
      <c r="CF19" s="2396"/>
      <c r="CG19" s="2397"/>
      <c r="CH19" s="374"/>
      <c r="CI19" s="374"/>
      <c r="CJ19" s="374"/>
      <c r="CK19" s="374"/>
      <c r="CL19" s="374"/>
      <c r="CM19" s="936"/>
      <c r="CN19" s="2353" t="s">
        <v>679</v>
      </c>
      <c r="CO19" s="2354"/>
      <c r="CP19" s="2098" t="s">
        <v>615</v>
      </c>
      <c r="CQ19" s="2348"/>
      <c r="CR19" s="2379" t="s">
        <v>482</v>
      </c>
      <c r="CS19" s="2365"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11" t="s">
        <v>581</v>
      </c>
      <c r="EW19" s="2424" t="s">
        <v>472</v>
      </c>
      <c r="EX19" s="2290" t="s">
        <v>525</v>
      </c>
      <c r="EY19" s="2290" t="s">
        <v>526</v>
      </c>
      <c r="EZ19" s="2290" t="s">
        <v>527</v>
      </c>
      <c r="FA19" s="2290" t="s">
        <v>528</v>
      </c>
      <c r="FB19" s="2290" t="s">
        <v>529</v>
      </c>
      <c r="FC19" s="2290" t="s">
        <v>530</v>
      </c>
      <c r="FD19" s="2290" t="s">
        <v>531</v>
      </c>
      <c r="FE19" s="2290" t="s">
        <v>473</v>
      </c>
      <c r="FF19" s="2290" t="s">
        <v>532</v>
      </c>
      <c r="FG19" s="2290" t="s">
        <v>583</v>
      </c>
      <c r="FH19" s="2290" t="s">
        <v>474</v>
      </c>
      <c r="FI19" s="2290" t="s">
        <v>533</v>
      </c>
      <c r="FJ19" s="2290" t="s">
        <v>475</v>
      </c>
      <c r="FK19" s="2290" t="s">
        <v>534</v>
      </c>
      <c r="FL19" s="2290" t="s">
        <v>584</v>
      </c>
      <c r="FM19" s="2290" t="s">
        <v>476</v>
      </c>
      <c r="FN19" s="2290" t="s">
        <v>477</v>
      </c>
      <c r="FQ19" s="2373" t="s">
        <v>656</v>
      </c>
      <c r="FR19" s="2374"/>
      <c r="GA19" s="374"/>
      <c r="GB19" s="374"/>
      <c r="GC19" s="374"/>
      <c r="GD19" s="374"/>
      <c r="GE19" s="374"/>
      <c r="GF19" s="374"/>
      <c r="GG19" s="374"/>
      <c r="GH19" s="374"/>
      <c r="GI19" s="374"/>
      <c r="GJ19" s="374"/>
      <c r="HA19" s="2295" t="s">
        <v>621</v>
      </c>
      <c r="HB19" s="2296"/>
      <c r="HC19" s="2296"/>
      <c r="HD19" s="2296"/>
      <c r="HE19" s="2296"/>
      <c r="HF19" s="2296"/>
      <c r="HG19" s="2296"/>
      <c r="HH19" s="2296"/>
      <c r="HI19" s="2296"/>
      <c r="HJ19" s="2296"/>
      <c r="HK19" s="2296"/>
      <c r="HL19" s="2296"/>
      <c r="HM19" s="2296"/>
      <c r="HN19" s="2296"/>
      <c r="HO19" s="2296"/>
      <c r="HP19" s="2296"/>
      <c r="HQ19" s="2296"/>
      <c r="HR19" s="2296"/>
      <c r="HS19" s="2296"/>
      <c r="HT19" s="2296"/>
      <c r="HU19" s="2296"/>
      <c r="HV19" s="2297"/>
      <c r="HW19" s="2297"/>
      <c r="HX19" s="2297"/>
      <c r="HY19" s="2298"/>
      <c r="HZ19" s="2298"/>
      <c r="IA19" s="2298"/>
      <c r="IB19" s="2298"/>
      <c r="IC19" s="2298"/>
      <c r="ID19" s="2298"/>
      <c r="IE19" s="2298"/>
      <c r="IF19" s="2299"/>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73" t="s">
        <v>450</v>
      </c>
      <c r="AV20" s="2373" t="s">
        <v>451</v>
      </c>
      <c r="AW20" s="2374"/>
      <c r="AX20" s="465"/>
      <c r="BA20" s="423"/>
      <c r="BB20" s="2402"/>
      <c r="BC20" s="2403"/>
      <c r="BD20" s="2403"/>
      <c r="BE20" s="2403"/>
      <c r="BF20" s="2404"/>
      <c r="BG20" s="2334" t="s">
        <v>469</v>
      </c>
      <c r="BH20" s="2335"/>
      <c r="BI20" s="2335"/>
      <c r="BJ20" s="2335"/>
      <c r="BK20" s="2335"/>
      <c r="BL20" s="2336"/>
      <c r="BM20" s="2337"/>
      <c r="BN20" s="2337"/>
      <c r="BO20" s="2338"/>
      <c r="BP20" s="2338"/>
      <c r="BQ20" s="2338"/>
      <c r="BR20" s="2339"/>
      <c r="BS20" s="2334" t="s">
        <v>470</v>
      </c>
      <c r="BT20" s="2336"/>
      <c r="BU20" s="2336"/>
      <c r="BV20" s="2336"/>
      <c r="BW20" s="2336"/>
      <c r="BX20" s="2336"/>
      <c r="BY20" s="2337"/>
      <c r="BZ20" s="2337"/>
      <c r="CA20" s="2338"/>
      <c r="CB20" s="2338"/>
      <c r="CC20" s="2338"/>
      <c r="CD20" s="2339"/>
      <c r="CE20" s="2318" t="s">
        <v>804</v>
      </c>
      <c r="CF20" s="2321"/>
      <c r="CG20" s="2322"/>
      <c r="CH20" s="374"/>
      <c r="CI20" s="374"/>
      <c r="CJ20" s="374"/>
      <c r="CK20" s="374"/>
      <c r="CL20" s="937"/>
      <c r="CM20" s="938"/>
      <c r="CN20" s="2355"/>
      <c r="CO20" s="2356"/>
      <c r="CP20" s="2349"/>
      <c r="CQ20" s="2350"/>
      <c r="CR20" s="2380"/>
      <c r="CS20" s="2366"/>
      <c r="CU20" s="2329" t="s">
        <v>471</v>
      </c>
      <c r="CV20" s="2330"/>
      <c r="CW20" s="2330"/>
      <c r="CX20" s="2330"/>
      <c r="CY20" s="2330"/>
      <c r="CZ20" s="2330"/>
      <c r="DA20" s="2330"/>
      <c r="DB20" s="2330"/>
      <c r="DC20" s="2330"/>
      <c r="DD20" s="2331"/>
      <c r="DE20" s="2329" t="s">
        <v>470</v>
      </c>
      <c r="DF20" s="2330"/>
      <c r="DG20" s="2330"/>
      <c r="DH20" s="2330"/>
      <c r="DI20" s="2330"/>
      <c r="DJ20" s="2330"/>
      <c r="DK20" s="2330"/>
      <c r="DL20" s="2330"/>
      <c r="DM20" s="2330"/>
      <c r="DN20" s="2331"/>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12"/>
      <c r="EW20" s="2425"/>
      <c r="EX20" s="2291"/>
      <c r="EY20" s="2291"/>
      <c r="EZ20" s="2342"/>
      <c r="FA20" s="2291"/>
      <c r="FB20" s="2291"/>
      <c r="FC20" s="2291"/>
      <c r="FD20" s="2292"/>
      <c r="FE20" s="2292"/>
      <c r="FF20" s="2292"/>
      <c r="FG20" s="2292"/>
      <c r="FH20" s="2292"/>
      <c r="FI20" s="2292"/>
      <c r="FJ20" s="2292"/>
      <c r="FK20" s="2292"/>
      <c r="FL20" s="2292"/>
      <c r="FM20" s="2292"/>
      <c r="FN20" s="2292"/>
      <c r="FQ20" s="2375"/>
      <c r="FR20" s="2376"/>
      <c r="GA20" s="2448" t="s">
        <v>1140</v>
      </c>
      <c r="GB20" s="2448"/>
      <c r="GC20" s="2448"/>
      <c r="GD20" s="2448"/>
      <c r="GE20" s="2448"/>
      <c r="GF20" s="2448"/>
      <c r="GG20" s="2221"/>
      <c r="GH20" s="2221"/>
      <c r="GI20" s="2221"/>
      <c r="GJ20" s="2221"/>
      <c r="GZ20" s="2444"/>
      <c r="HA20" s="2300"/>
      <c r="HB20" s="2301"/>
      <c r="HC20" s="2301"/>
      <c r="HD20" s="2301"/>
      <c r="HE20" s="2301"/>
      <c r="HF20" s="2301"/>
      <c r="HG20" s="2301"/>
      <c r="HH20" s="2301"/>
      <c r="HI20" s="2301"/>
      <c r="HJ20" s="2301"/>
      <c r="HK20" s="2301"/>
      <c r="HL20" s="2301"/>
      <c r="HM20" s="2301"/>
      <c r="HN20" s="2301"/>
      <c r="HO20" s="2301"/>
      <c r="HP20" s="2301"/>
      <c r="HQ20" s="2301"/>
      <c r="HR20" s="2301"/>
      <c r="HS20" s="2301"/>
      <c r="HT20" s="2301"/>
      <c r="HU20" s="2301"/>
      <c r="HV20" s="2302"/>
      <c r="HW20" s="2302"/>
      <c r="HX20" s="2302"/>
      <c r="HY20" s="2303"/>
      <c r="HZ20" s="2303"/>
      <c r="IA20" s="2303"/>
      <c r="IB20" s="2303"/>
      <c r="IC20" s="2303"/>
      <c r="ID20" s="2303"/>
      <c r="IE20" s="2303"/>
      <c r="IF20" s="2304"/>
    </row>
    <row r="21" spans="1:240" s="426" customFormat="1" ht="12.6" customHeight="1" thickTop="1" thickBot="1" x14ac:dyDescent="0.25">
      <c r="A21" s="2363" t="s">
        <v>40</v>
      </c>
      <c r="B21" s="2359" t="s">
        <v>28</v>
      </c>
      <c r="C21" s="2359" t="s">
        <v>24</v>
      </c>
      <c r="D21" s="2359" t="s">
        <v>25</v>
      </c>
      <c r="E21" s="2360"/>
      <c r="F21" s="1910" t="s">
        <v>9</v>
      </c>
      <c r="G21" s="1908"/>
      <c r="H21" s="1908"/>
      <c r="I21" s="1908" t="s">
        <v>10</v>
      </c>
      <c r="J21" s="1908"/>
      <c r="K21" s="1911"/>
      <c r="L21" s="1907" t="s">
        <v>11</v>
      </c>
      <c r="M21" s="1909"/>
      <c r="N21" s="1910" t="s">
        <v>12</v>
      </c>
      <c r="O21" s="1908"/>
      <c r="P21" s="1908"/>
      <c r="Q21" s="1908" t="s">
        <v>13</v>
      </c>
      <c r="R21" s="1908"/>
      <c r="S21" s="1909"/>
      <c r="T21" s="1910" t="s">
        <v>14</v>
      </c>
      <c r="U21" s="1908"/>
      <c r="V21" s="1908"/>
      <c r="W21" s="1908"/>
      <c r="X21" s="1911"/>
      <c r="Y21" s="1938" t="s">
        <v>111</v>
      </c>
      <c r="Z21" s="1939"/>
      <c r="AA21" s="1059" t="s">
        <v>15</v>
      </c>
      <c r="AB21" s="1415"/>
      <c r="AU21" s="1874"/>
      <c r="AV21" s="2375"/>
      <c r="AW21" s="2376"/>
      <c r="AX21" s="502"/>
      <c r="AZ21" s="2332" t="s">
        <v>1059</v>
      </c>
      <c r="BA21" s="251"/>
      <c r="BB21" s="2340" t="s">
        <v>539</v>
      </c>
      <c r="BC21" s="2382" t="s">
        <v>130</v>
      </c>
      <c r="BD21" s="2383" t="s">
        <v>540</v>
      </c>
      <c r="BE21" s="2384" t="s">
        <v>1290</v>
      </c>
      <c r="BF21" s="2385"/>
      <c r="BG21" s="1949" t="s">
        <v>1282</v>
      </c>
      <c r="BH21" s="2308" t="s">
        <v>803</v>
      </c>
      <c r="BI21" s="2309"/>
      <c r="BJ21" s="2312" t="s">
        <v>541</v>
      </c>
      <c r="BK21" s="2308" t="s">
        <v>1072</v>
      </c>
      <c r="BL21" s="2309"/>
      <c r="BM21" s="2312" t="s">
        <v>488</v>
      </c>
      <c r="BN21" s="2398" t="s">
        <v>793</v>
      </c>
      <c r="BO21" s="2400" t="s">
        <v>1275</v>
      </c>
      <c r="BP21" s="2223" t="s">
        <v>1276</v>
      </c>
      <c r="BQ21" s="2224"/>
      <c r="BR21" s="2225"/>
      <c r="BS21" s="1949" t="s">
        <v>1282</v>
      </c>
      <c r="BT21" s="2308" t="s">
        <v>803</v>
      </c>
      <c r="BU21" s="2309"/>
      <c r="BV21" s="2312" t="s">
        <v>541</v>
      </c>
      <c r="BW21" s="2308" t="s">
        <v>1072</v>
      </c>
      <c r="BX21" s="2309"/>
      <c r="BY21" s="2312" t="s">
        <v>488</v>
      </c>
      <c r="BZ21" s="2405" t="s">
        <v>793</v>
      </c>
      <c r="CA21" s="2400" t="s">
        <v>1275</v>
      </c>
      <c r="CB21" s="2223" t="s">
        <v>1276</v>
      </c>
      <c r="CC21" s="2224"/>
      <c r="CD21" s="2225"/>
      <c r="CE21" s="2319"/>
      <c r="CF21" s="2323"/>
      <c r="CG21" s="2322"/>
      <c r="CH21" s="2370" t="s">
        <v>588</v>
      </c>
      <c r="CI21" s="2371"/>
      <c r="CJ21" s="2371"/>
      <c r="CK21" s="2370" t="s">
        <v>589</v>
      </c>
      <c r="CL21" s="2357" t="s">
        <v>786</v>
      </c>
      <c r="CM21" s="2357"/>
      <c r="CN21" s="2355"/>
      <c r="CO21" s="2356"/>
      <c r="CP21" s="2351"/>
      <c r="CQ21" s="2352"/>
      <c r="CR21" s="2380"/>
      <c r="CS21" s="2366"/>
      <c r="CU21" s="2368" t="s">
        <v>498</v>
      </c>
      <c r="CV21" s="2327" t="s">
        <v>499</v>
      </c>
      <c r="CW21" s="2327" t="s">
        <v>500</v>
      </c>
      <c r="CX21" s="2327" t="s">
        <v>501</v>
      </c>
      <c r="CY21" s="2327" t="s">
        <v>560</v>
      </c>
      <c r="CZ21" s="2327" t="s">
        <v>578</v>
      </c>
      <c r="DA21" s="2327" t="s">
        <v>502</v>
      </c>
      <c r="DB21" s="2327" t="s">
        <v>579</v>
      </c>
      <c r="DC21" s="2327" t="s">
        <v>503</v>
      </c>
      <c r="DD21" s="2327" t="s">
        <v>504</v>
      </c>
      <c r="DE21" s="2368" t="s">
        <v>498</v>
      </c>
      <c r="DF21" s="2327" t="s">
        <v>499</v>
      </c>
      <c r="DG21" s="2327" t="s">
        <v>505</v>
      </c>
      <c r="DH21" s="2327" t="s">
        <v>501</v>
      </c>
      <c r="DI21" s="2327" t="s">
        <v>560</v>
      </c>
      <c r="DJ21" s="2327" t="s">
        <v>578</v>
      </c>
      <c r="DK21" s="2327" t="s">
        <v>502</v>
      </c>
      <c r="DL21" s="2327" t="s">
        <v>579</v>
      </c>
      <c r="DM21" s="2327" t="s">
        <v>503</v>
      </c>
      <c r="DN21" s="2438" t="s">
        <v>504</v>
      </c>
      <c r="DO21" s="2436" t="s">
        <v>491</v>
      </c>
      <c r="DP21" s="2305" t="s">
        <v>506</v>
      </c>
      <c r="DQ21" s="2293" t="s">
        <v>507</v>
      </c>
      <c r="DR21" s="2422" t="s">
        <v>508</v>
      </c>
      <c r="DS21" s="2414" t="s">
        <v>543</v>
      </c>
      <c r="DT21" s="2416" t="s">
        <v>509</v>
      </c>
      <c r="DU21" s="2417"/>
      <c r="DV21" s="2442" t="s">
        <v>1103</v>
      </c>
      <c r="DW21" s="2409" t="s">
        <v>1104</v>
      </c>
      <c r="DX21" s="2434" t="s">
        <v>514</v>
      </c>
      <c r="DY21" s="2414" t="s">
        <v>544</v>
      </c>
      <c r="DZ21" s="2416" t="s">
        <v>511</v>
      </c>
      <c r="EA21" s="2417"/>
      <c r="EB21" s="2409" t="s">
        <v>1105</v>
      </c>
      <c r="EC21" s="2409" t="s">
        <v>1106</v>
      </c>
      <c r="ED21" s="2434" t="s">
        <v>516</v>
      </c>
      <c r="EE21" s="2293" t="s">
        <v>545</v>
      </c>
      <c r="EF21" s="2418" t="s">
        <v>546</v>
      </c>
      <c r="EG21" s="2419"/>
      <c r="EH21" s="2418" t="s">
        <v>547</v>
      </c>
      <c r="EI21" s="2420"/>
      <c r="EJ21" s="2422" t="s">
        <v>548</v>
      </c>
      <c r="EK21" s="2423"/>
      <c r="EL21" s="2293" t="s">
        <v>568</v>
      </c>
      <c r="EM21" s="2418" t="s">
        <v>549</v>
      </c>
      <c r="EN21" s="2419"/>
      <c r="EO21" s="2418" t="s">
        <v>550</v>
      </c>
      <c r="EP21" s="2420"/>
      <c r="EQ21" s="2422" t="s">
        <v>551</v>
      </c>
      <c r="ER21" s="2423"/>
      <c r="ES21" s="2293" t="s">
        <v>12</v>
      </c>
      <c r="ET21" s="2293" t="s">
        <v>13</v>
      </c>
      <c r="EU21" s="2422" t="s">
        <v>582</v>
      </c>
      <c r="EV21" s="2412"/>
      <c r="EW21" s="2425"/>
      <c r="EX21" s="2291"/>
      <c r="EY21" s="2291"/>
      <c r="EZ21" s="2342"/>
      <c r="FA21" s="2291"/>
      <c r="FB21" s="2291"/>
      <c r="FC21" s="2291"/>
      <c r="FD21" s="2292"/>
      <c r="FE21" s="2292"/>
      <c r="FF21" s="2292"/>
      <c r="FG21" s="2292"/>
      <c r="FH21" s="2292"/>
      <c r="FI21" s="2292"/>
      <c r="FJ21" s="2292"/>
      <c r="FK21" s="2292"/>
      <c r="FL21" s="2292"/>
      <c r="FM21" s="2292"/>
      <c r="FN21" s="2292"/>
      <c r="FO21" s="2293" t="s">
        <v>590</v>
      </c>
      <c r="FP21" s="2293" t="s">
        <v>591</v>
      </c>
      <c r="FQ21" s="2307" t="s">
        <v>654</v>
      </c>
      <c r="FR21" s="2316" t="s">
        <v>655</v>
      </c>
      <c r="FS21" s="2305" t="s">
        <v>682</v>
      </c>
      <c r="FT21" s="2325" t="s">
        <v>683</v>
      </c>
      <c r="FU21" s="2062" t="s">
        <v>787</v>
      </c>
      <c r="FV21" s="2063"/>
      <c r="GA21" s="2028" t="s">
        <v>708</v>
      </c>
      <c r="GB21" s="2029"/>
      <c r="GC21" s="2028" t="s">
        <v>558</v>
      </c>
      <c r="GD21" s="2029"/>
      <c r="GE21" s="2072" t="s">
        <v>711</v>
      </c>
      <c r="GF21" s="2074" t="s">
        <v>40</v>
      </c>
      <c r="GG21" s="2446" t="s">
        <v>1142</v>
      </c>
      <c r="GH21" s="2447"/>
      <c r="GI21" s="2446" t="s">
        <v>1141</v>
      </c>
      <c r="GJ21" s="2447"/>
      <c r="GK21" s="2346" t="s">
        <v>712</v>
      </c>
      <c r="GL21" s="2032" t="s">
        <v>713</v>
      </c>
      <c r="GM21" s="2032" t="s">
        <v>714</v>
      </c>
      <c r="GZ21" s="2445"/>
      <c r="HA21" s="2314" t="s">
        <v>539</v>
      </c>
      <c r="HB21" s="2344" t="s">
        <v>130</v>
      </c>
      <c r="HC21" s="2344" t="s">
        <v>540</v>
      </c>
      <c r="HD21" s="2343" t="str">
        <f>IF($HA$1,"Joist ""BayLength""","Overall Length")</f>
        <v>Joist "BayLength"</v>
      </c>
      <c r="HE21" s="2344"/>
      <c r="HF21" s="2286" t="str">
        <f>IF($HA$1,"Left Sect. #","TCXL Feet")</f>
        <v>Left Sect. #</v>
      </c>
      <c r="HG21" s="2286" t="str">
        <f>IF($HA$1,"L Min Sup Width","TCXL Inch")</f>
        <v>L Min Sup Width</v>
      </c>
      <c r="HH21" s="2286" t="str">
        <f>IF($HA$1,"L Max Sup Width","TCXL Type")</f>
        <v>L Max Sup Width</v>
      </c>
      <c r="HI21" s="2286" t="str">
        <f>IF($HA$1,"Left Bolt ""X""","TCXR Feet")</f>
        <v>Left Bolt "X"</v>
      </c>
      <c r="HJ21" s="2286" t="str">
        <f>IF($HA$1,"L Min Flg Ga","TCXR Inch")</f>
        <v>L Min Flg Ga</v>
      </c>
      <c r="HK21" s="2286" t="str">
        <f>IF($HA$1,"L Max Flg Ga","TCXR Type")</f>
        <v>L Max Flg Ga</v>
      </c>
      <c r="HL21" s="2286" t="str">
        <f>IF($HA$1,"Left Skew","BDL")</f>
        <v>Left Skew</v>
      </c>
      <c r="HM21" s="2286" t="str">
        <f>IF($HA$1,"Left Brg Slp","BDR")</f>
        <v>Left Brg Slp</v>
      </c>
      <c r="HN21" s="2286" t="str">
        <f>IF($HA$1,"Right Sect. #","BCXL Feet")</f>
        <v>Right Sect. #</v>
      </c>
      <c r="HO21" s="2286" t="str">
        <f>IF($HA$1,"R Min Sup Width","BCXL Inch")</f>
        <v>R Min Sup Width</v>
      </c>
      <c r="HP21" s="2286" t="str">
        <f>IF($HA$1,"R Max Sup Width","BCXL Type")</f>
        <v>R Max Sup Width</v>
      </c>
      <c r="HQ21" s="2286" t="str">
        <f>IF($HA$1,"Right Bolt ""X""","BCXR Feet")</f>
        <v>Right Bolt "X"</v>
      </c>
      <c r="HR21" s="2286" t="str">
        <f>IF($HA$1,"R Min Flg Ga","BCXR Inch")</f>
        <v>R Min Flg Ga</v>
      </c>
      <c r="HS21" s="2286" t="str">
        <f>IF($HA$1,"R Max Flg Ga","BCXR Type")</f>
        <v>R Max Flg Ga</v>
      </c>
      <c r="HT21" s="2286" t="str">
        <f>IF($HA$1,"Right Skew","HL Feet")</f>
        <v>Right Skew</v>
      </c>
      <c r="HU21" s="2286" t="str">
        <f>IF($HA$1,"Right Brg Slp","HL Inch")</f>
        <v>Right Brg Slp</v>
      </c>
      <c r="HV21" s="2286" t="str">
        <f>IF($HA$1,"TC Slope","HR Feet")</f>
        <v>TC Slope</v>
      </c>
      <c r="HW21" s="2286" t="str">
        <f>IF($HA$1,"Load Notes","HR Inch")</f>
        <v>Load Notes</v>
      </c>
      <c r="HX21" s="2286" t="str">
        <f>IF($HA$1,"Spcl Notes","Slot Ga")</f>
        <v>Spcl Notes</v>
      </c>
      <c r="HY21" s="2286" t="str">
        <f>IF($HA$1,"TC L Override","L Seat Slp")</f>
        <v>TC L Override</v>
      </c>
      <c r="HZ21" s="2286" t="str">
        <f>IF($HA$1,"TCR Override","R Seat Slp")</f>
        <v>TCR Override</v>
      </c>
      <c r="IA21" s="2286" t="str">
        <f>IF($HA$1,"L-BL Override","Sp Notes")</f>
        <v>L-BL Override</v>
      </c>
      <c r="IB21" s="2286" t="str">
        <f>IF($HA$1,"R-BL Override","Ld Notes")</f>
        <v>R-BL Override</v>
      </c>
      <c r="IC21" s="2286" t="str">
        <f>IF($HA$1,"BCXL ""X""","-")</f>
        <v>BCXL "X"</v>
      </c>
      <c r="ID21" s="2286" t="str">
        <f>IF($HA$1,"BCXR ""X""","-")</f>
        <v>BCXR "X"</v>
      </c>
      <c r="IE21" s="2286" t="str">
        <f>IF($HA$1,"BDL Override","-")</f>
        <v>BDL Override</v>
      </c>
      <c r="IF21" s="2288" t="str">
        <f>IF($HA$1,"BDR Override","-")</f>
        <v>BDR Override</v>
      </c>
    </row>
    <row r="22" spans="1:240" s="426" customFormat="1" ht="12.6" customHeight="1" thickTop="1" thickBot="1" x14ac:dyDescent="0.25">
      <c r="A22" s="2364"/>
      <c r="B22" s="2361"/>
      <c r="C22" s="2361"/>
      <c r="D22" s="2361"/>
      <c r="E22" s="2362"/>
      <c r="F22" s="1914" t="s">
        <v>16</v>
      </c>
      <c r="G22" s="1915"/>
      <c r="H22" s="1103" t="s">
        <v>732</v>
      </c>
      <c r="I22" s="1915" t="s">
        <v>16</v>
      </c>
      <c r="J22" s="1915"/>
      <c r="K22" s="1065" t="s">
        <v>732</v>
      </c>
      <c r="L22" s="1107" t="s">
        <v>18</v>
      </c>
      <c r="M22" s="461" t="s">
        <v>19</v>
      </c>
      <c r="N22" s="1914" t="s">
        <v>16</v>
      </c>
      <c r="O22" s="1915"/>
      <c r="P22" s="1103" t="s">
        <v>732</v>
      </c>
      <c r="Q22" s="1915" t="s">
        <v>16</v>
      </c>
      <c r="R22" s="1915"/>
      <c r="S22" s="461" t="s">
        <v>732</v>
      </c>
      <c r="T22" s="1914" t="s">
        <v>80</v>
      </c>
      <c r="U22" s="1915"/>
      <c r="V22" s="1915" t="s">
        <v>81</v>
      </c>
      <c r="W22" s="1915"/>
      <c r="X22" s="1065" t="s">
        <v>27</v>
      </c>
      <c r="Y22" s="1107" t="s">
        <v>112</v>
      </c>
      <c r="Z22" s="461" t="s">
        <v>113</v>
      </c>
      <c r="AA22" s="1060" t="s">
        <v>57</v>
      </c>
      <c r="AB22" s="1414"/>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75"/>
      <c r="AV22" s="2377"/>
      <c r="AW22" s="2378"/>
      <c r="AX22" s="503" t="s">
        <v>632</v>
      </c>
      <c r="AY22" s="503" t="s">
        <v>133</v>
      </c>
      <c r="AZ22" s="2333"/>
      <c r="BA22" s="251"/>
      <c r="BB22" s="2080"/>
      <c r="BC22" s="2152"/>
      <c r="BD22" s="1953"/>
      <c r="BE22" s="2386"/>
      <c r="BF22" s="2387"/>
      <c r="BG22" s="1950"/>
      <c r="BH22" s="2310"/>
      <c r="BI22" s="2311"/>
      <c r="BJ22" s="2313"/>
      <c r="BK22" s="2310"/>
      <c r="BL22" s="2311"/>
      <c r="BM22" s="2324"/>
      <c r="BN22" s="2399"/>
      <c r="BO22" s="2401"/>
      <c r="BP22" s="1547" t="s">
        <v>1277</v>
      </c>
      <c r="BQ22" s="1548" t="s">
        <v>1278</v>
      </c>
      <c r="BR22" s="1549" t="s">
        <v>501</v>
      </c>
      <c r="BS22" s="1950"/>
      <c r="BT22" s="2310"/>
      <c r="BU22" s="2311"/>
      <c r="BV22" s="2313"/>
      <c r="BW22" s="2310"/>
      <c r="BX22" s="2311"/>
      <c r="BY22" s="2324"/>
      <c r="BZ22" s="2406"/>
      <c r="CA22" s="2401"/>
      <c r="CB22" s="1547" t="s">
        <v>1277</v>
      </c>
      <c r="CC22" s="1548" t="s">
        <v>1278</v>
      </c>
      <c r="CD22" s="1549" t="s">
        <v>501</v>
      </c>
      <c r="CE22" s="2320"/>
      <c r="CF22" s="1555" t="s">
        <v>418</v>
      </c>
      <c r="CG22" s="1550" t="s">
        <v>553</v>
      </c>
      <c r="CH22" s="498" t="s">
        <v>585</v>
      </c>
      <c r="CI22" s="433" t="s">
        <v>586</v>
      </c>
      <c r="CJ22" s="434" t="s">
        <v>587</v>
      </c>
      <c r="CK22" s="2372"/>
      <c r="CL22" s="499" t="s">
        <v>606</v>
      </c>
      <c r="CM22" s="500" t="s">
        <v>607</v>
      </c>
      <c r="CN22" s="495" t="s">
        <v>606</v>
      </c>
      <c r="CO22" s="435" t="s">
        <v>607</v>
      </c>
      <c r="CP22" s="436" t="s">
        <v>520</v>
      </c>
      <c r="CQ22" s="437" t="s">
        <v>169</v>
      </c>
      <c r="CR22" s="2381"/>
      <c r="CS22" s="2367"/>
      <c r="CU22" s="2369"/>
      <c r="CV22" s="2429"/>
      <c r="CW22" s="2429"/>
      <c r="CX22" s="2328"/>
      <c r="CY22" s="2328"/>
      <c r="CZ22" s="2328"/>
      <c r="DA22" s="2328"/>
      <c r="DB22" s="2328"/>
      <c r="DC22" s="2328"/>
      <c r="DD22" s="2328"/>
      <c r="DE22" s="2369"/>
      <c r="DF22" s="2429"/>
      <c r="DG22" s="2429"/>
      <c r="DH22" s="2328"/>
      <c r="DI22" s="2328"/>
      <c r="DJ22" s="2328"/>
      <c r="DK22" s="2328"/>
      <c r="DL22" s="2328"/>
      <c r="DM22" s="2328"/>
      <c r="DN22" s="2439"/>
      <c r="DO22" s="2437"/>
      <c r="DP22" s="2326"/>
      <c r="DQ22" s="2433"/>
      <c r="DR22" s="2441"/>
      <c r="DS22" s="2415"/>
      <c r="DT22" s="438" t="s">
        <v>554</v>
      </c>
      <c r="DU22" s="438" t="s">
        <v>555</v>
      </c>
      <c r="DV22" s="2443"/>
      <c r="DW22" s="2410"/>
      <c r="DX22" s="2435"/>
      <c r="DY22" s="2415"/>
      <c r="DZ22" s="438" t="s">
        <v>554</v>
      </c>
      <c r="EA22" s="438" t="s">
        <v>555</v>
      </c>
      <c r="EB22" s="2410"/>
      <c r="EC22" s="2410"/>
      <c r="ED22" s="2435"/>
      <c r="EE22" s="2421"/>
      <c r="EF22" s="439" t="s">
        <v>521</v>
      </c>
      <c r="EG22" s="440" t="s">
        <v>522</v>
      </c>
      <c r="EH22" s="439" t="s">
        <v>521</v>
      </c>
      <c r="EI22" s="440" t="s">
        <v>522</v>
      </c>
      <c r="EJ22" s="439" t="s">
        <v>521</v>
      </c>
      <c r="EK22" s="440" t="s">
        <v>522</v>
      </c>
      <c r="EL22" s="2421"/>
      <c r="EM22" s="439" t="s">
        <v>521</v>
      </c>
      <c r="EN22" s="440" t="s">
        <v>522</v>
      </c>
      <c r="EO22" s="439" t="s">
        <v>521</v>
      </c>
      <c r="EP22" s="440" t="s">
        <v>522</v>
      </c>
      <c r="EQ22" s="439" t="s">
        <v>521</v>
      </c>
      <c r="ER22" s="440" t="s">
        <v>522</v>
      </c>
      <c r="ES22" s="2294"/>
      <c r="ET22" s="2294"/>
      <c r="EU22" s="2426"/>
      <c r="EV22" s="2413"/>
      <c r="EW22" s="2425"/>
      <c r="EX22" s="2291"/>
      <c r="EY22" s="2291"/>
      <c r="EZ22" s="2342"/>
      <c r="FA22" s="2291"/>
      <c r="FB22" s="2291"/>
      <c r="FC22" s="2291"/>
      <c r="FD22" s="2292"/>
      <c r="FE22" s="2292"/>
      <c r="FF22" s="2292"/>
      <c r="FG22" s="2292"/>
      <c r="FH22" s="2292"/>
      <c r="FI22" s="2292"/>
      <c r="FJ22" s="2292"/>
      <c r="FK22" s="2292"/>
      <c r="FL22" s="2292"/>
      <c r="FM22" s="2292"/>
      <c r="FN22" s="2292"/>
      <c r="FO22" s="2294"/>
      <c r="FP22" s="2294"/>
      <c r="FQ22" s="2294"/>
      <c r="FR22" s="2317"/>
      <c r="FS22" s="2306"/>
      <c r="FT22" s="2317"/>
      <c r="FU22" s="508" t="s">
        <v>606</v>
      </c>
      <c r="FV22" s="509" t="s">
        <v>607</v>
      </c>
      <c r="GA22" s="1029" t="s">
        <v>1112</v>
      </c>
      <c r="GB22" s="1030" t="s">
        <v>710</v>
      </c>
      <c r="GC22" s="1031" t="s">
        <v>606</v>
      </c>
      <c r="GD22" s="1032" t="s">
        <v>607</v>
      </c>
      <c r="GE22" s="2073"/>
      <c r="GF22" s="2073"/>
      <c r="GG22" s="1033" t="s">
        <v>1112</v>
      </c>
      <c r="GH22" s="1034" t="s">
        <v>710</v>
      </c>
      <c r="GI22" s="1033" t="s">
        <v>1112</v>
      </c>
      <c r="GJ22" s="1034" t="s">
        <v>710</v>
      </c>
      <c r="GK22" s="2347"/>
      <c r="GL22" s="2033"/>
      <c r="GM22" s="2033"/>
      <c r="GZ22" s="2445"/>
      <c r="HA22" s="2315"/>
      <c r="HB22" s="2345"/>
      <c r="HC22" s="2345"/>
      <c r="HD22" s="2345"/>
      <c r="HE22" s="2345"/>
      <c r="HF22" s="2287"/>
      <c r="HG22" s="2287"/>
      <c r="HH22" s="2287"/>
      <c r="HI22" s="2287"/>
      <c r="HJ22" s="2287"/>
      <c r="HK22" s="2287"/>
      <c r="HL22" s="2287"/>
      <c r="HM22" s="2287"/>
      <c r="HN22" s="2287"/>
      <c r="HO22" s="2287"/>
      <c r="HP22" s="2287"/>
      <c r="HQ22" s="2287"/>
      <c r="HR22" s="2287"/>
      <c r="HS22" s="2287"/>
      <c r="HT22" s="2287"/>
      <c r="HU22" s="2287"/>
      <c r="HV22" s="2287"/>
      <c r="HW22" s="2287"/>
      <c r="HX22" s="2287"/>
      <c r="HY22" s="2287"/>
      <c r="HZ22" s="2287"/>
      <c r="IA22" s="2287"/>
      <c r="IB22" s="2287"/>
      <c r="IC22" s="2287"/>
      <c r="ID22" s="2287"/>
      <c r="IE22" s="2287"/>
      <c r="IF22" s="2289"/>
    </row>
    <row r="23" spans="1:240" ht="12.6" customHeight="1" thickTop="1" x14ac:dyDescent="0.25">
      <c r="A23" s="1215" t="str">
        <f t="shared" ref="A23:A40" si="1">IF(BB23="","",UPPER(BB23))</f>
        <v/>
      </c>
      <c r="B23" s="1709" t="str">
        <f t="shared" ref="B23:B40" si="2">IF(BC23="","",BC23)</f>
        <v/>
      </c>
      <c r="C23" s="1216" t="str">
        <f t="shared" ref="C23:C40" si="3">IF(BD23="","",UPPER(BD23))</f>
        <v/>
      </c>
      <c r="D23" s="1217" t="str">
        <f>IF(DP23="","",TRUNC(DP23/12))</f>
        <v/>
      </c>
      <c r="E23" s="1767" t="str">
        <f>IF(DP23="","",DP23-(D23*12))</f>
        <v/>
      </c>
      <c r="F23" s="1220" t="str">
        <f>IF(DX23=0,"",TRUNC(DX23/12))</f>
        <v/>
      </c>
      <c r="G23" s="1221" t="str">
        <f>IF(DX23=0,"",DX23-(F23*12))</f>
        <v/>
      </c>
      <c r="H23" s="1768" t="str">
        <f>IF(DX23=0,"",CW23)</f>
        <v/>
      </c>
      <c r="I23" s="1217" t="str">
        <f>IF(ED23=0,"",TRUNC(ED23/12))</f>
        <v/>
      </c>
      <c r="J23" s="1221" t="str">
        <f>IF(ED23=0,"",ED23-(I23*12))</f>
        <v/>
      </c>
      <c r="K23" s="1769" t="str">
        <f>IF(ED23=0,"",DG23)</f>
        <v/>
      </c>
      <c r="L23" s="1224" t="str">
        <f t="shared" ref="L23:M25" si="4">DQ23</f>
        <v/>
      </c>
      <c r="M23" s="1225" t="str">
        <f t="shared" si="4"/>
        <v/>
      </c>
      <c r="N23" s="1220" t="str">
        <f>IF(ES23="","",IF(AND(ES23&lt;0,ES23&gt;-12),TRUNC(ES23/12)-0.0000001,TRUNC(ES23/12)))</f>
        <v/>
      </c>
      <c r="O23" s="1221" t="str">
        <f>IF(ES23="","",IF(AND(ES23-(N23*12)=0,ES23&lt;0),-0.000001,ES23-(N23*12)))</f>
        <v/>
      </c>
      <c r="P23" s="1222" t="str">
        <f>IF(ES23="","",IF(OR(CW23="Q",CW23="C"),3,CZ23))</f>
        <v/>
      </c>
      <c r="Q23" s="1217" t="str">
        <f>IF(ET23="","",IF(AND(ET23&lt;0,ET23&gt;-12),TRUNC(ET23/12)-0.0000001,TRUNC(ET23/12)))</f>
        <v/>
      </c>
      <c r="R23" s="1221" t="str">
        <f>IF(ET23="","",IF(AND(ET23-(Q23*12)=0,ET23&lt;0),-0.000001,ET23-(Q23*12)))</f>
        <v/>
      </c>
      <c r="S23" s="1748" t="str">
        <f>IF(ET23="","",IF(OR(DG23="Q",DG23="C"),3,DJ23))</f>
        <v/>
      </c>
      <c r="T23" s="1220" t="str">
        <f>IF(CH23="ERR","",IF(EK23="","",IF(EK23="ERR",TRUNC(EJ23/12),TRUNC(EK23/12))))</f>
        <v/>
      </c>
      <c r="U23" s="1221" t="str">
        <f>IF(CH23="ERR","",IF(EK23="","",IF(EK23="ERR",EJ23-(T23*12),EK23-(T23*12))))</f>
        <v/>
      </c>
      <c r="V23" s="1217" t="str">
        <f>IF(CI23="ERR","",IF(ER23="","",IF(ER23="ERR",TRUNC(EQ23/12),TRUNC(ER23/12))))</f>
        <v/>
      </c>
      <c r="W23" s="1221" t="str">
        <f>IF(CI23="ERR","",IF(ER23="","",IF(ER23="ERR",EQ23-(V23*12),ER23-(V23*12))))</f>
        <v/>
      </c>
      <c r="X23" s="1745">
        <f>IF(EV23="",0,EV23)</f>
        <v>0</v>
      </c>
      <c r="Y23" s="1770" t="str">
        <f>FG23</f>
        <v/>
      </c>
      <c r="Z23" s="1771" t="str">
        <f>FL23</f>
        <v/>
      </c>
      <c r="AA23" s="1772" t="str">
        <f t="shared" ref="AA23:AA40" si="5">CONCATENATE(IF(CG23="","",CONCATENATE("[",SUBSTITUTE(CG23," ",""),"]")),IF(CF23="","",CONCATENATE("(",SUBSTITUTE(CF23," ",""),") ")))</f>
        <v/>
      </c>
      <c r="AB23" s="1414"/>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1"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2"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4"/>
      <c r="BD23" s="1541"/>
      <c r="BE23" s="1542"/>
      <c r="BF23" s="1543"/>
      <c r="BG23" s="664"/>
      <c r="BH23" s="1544"/>
      <c r="BI23" s="1545"/>
      <c r="BJ23" s="1625"/>
      <c r="BK23" s="1544"/>
      <c r="BL23" s="1545"/>
      <c r="BM23" s="1568"/>
      <c r="BN23" s="1569"/>
      <c r="BO23" s="1617" t="str">
        <f>IF(ISERROR(CU23),"",IF(CU23="","",IF(VLOOKUP(BG23,SectInfo!$B:$N,10,FALSE)="","","X")))</f>
        <v/>
      </c>
      <c r="BP23" s="1559"/>
      <c r="BQ23" s="1560" t="str">
        <f t="shared" ref="BQ23:BQ40" si="21">IF(ISERROR(CU23),"",IF(CW23="","",IF(CW23="C",CV23,IF(CW23="Q",2,""))))</f>
        <v/>
      </c>
      <c r="BR23" s="1561"/>
      <c r="BS23" s="664"/>
      <c r="BT23" s="1544"/>
      <c r="BU23" s="1545"/>
      <c r="BV23" s="1625"/>
      <c r="BW23" s="1544"/>
      <c r="BX23" s="1545"/>
      <c r="BY23" s="1568"/>
      <c r="BZ23" s="1569"/>
      <c r="CA23" s="1617" t="str">
        <f>IF(ISERROR(DE23),"",IF(DE23="","",IF(VLOOKUP(BS23,SectInfo!$B:$N,10,FALSE)="","","X")))</f>
        <v/>
      </c>
      <c r="CB23" s="1559"/>
      <c r="CC23" s="1560" t="str">
        <f t="shared" ref="CC23:CC40" si="22">IF(ISERROR(DE23),"",IF(DG23="","",IF(DG23="C",DF23,IF(DG23="Q",2,""))))</f>
        <v/>
      </c>
      <c r="CD23" s="1561"/>
      <c r="CE23" s="1574"/>
      <c r="CF23" s="1546"/>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8"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8" t="str">
        <f t="shared" ref="EC23:EC40" si="49">IF(DF23="","",MAX(0,IF(NOT(CC23=""),DF23-CC23,EB23-VLOOKUP(IF(AU23="HDR","K",AU23),$DF$2:$DN$9,4,FALSE))))</f>
        <v/>
      </c>
      <c r="ED23" s="1005">
        <f>IF(DF23="",0,IF(EC23/COS(FN23+FI23)&lt;0.0625,0,CEILING(EC23/COS(FN23+FI23)-0.03125,0.125)))</f>
        <v>0</v>
      </c>
      <c r="EE23" s="1293"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3"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7" t="e">
        <f t="shared" ref="FO23:FO40" si="74">MIN(IF(BH23&gt;0,BH23/2,MAX(BI23/2,DC23)),IF(BI23&gt;0,BI23/2,MAX(BH23/2,DC23)),IF(DC23&gt;0,DC23,MAX(BI23/2,BH23/2)))/COS(DS23)+CV23-DW23-FH23</f>
        <v>#VALUE!</v>
      </c>
      <c r="FP23" s="1387"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599" t="str">
        <f t="shared" ref="GA23:GA40" si="82">IF(GF23="","",BE23)</f>
        <v/>
      </c>
      <c r="GB23" s="619" t="str">
        <f t="shared" ref="GB23:GB40" si="83">IF(GF23="","",BF23)</f>
        <v/>
      </c>
      <c r="GC23" s="621" t="str">
        <f t="shared" ref="GC23:GC40" si="84">IF(GF23="","",IF(CV23="",0,CV23))</f>
        <v/>
      </c>
      <c r="GD23" s="622" t="str">
        <f t="shared" ref="GD23:GD40" si="85">IF(GF23="","",IF(DF23="",0,DF23))</f>
        <v/>
      </c>
      <c r="GE23" s="620" t="str">
        <f t="shared" ref="GE23:GE40" si="86">IF(GF23="","",IF(ISBLANK(CE23),IF(Y23=Z23,0,MAX(ABS(Y23),ABS(Z23))*IF(Y23&lt;0,-1,1)),CE23))</f>
        <v/>
      </c>
      <c r="GF23" s="600" t="str">
        <f t="shared" ref="GF23:GF40" si="87">IF(A23=0,"",A23)</f>
        <v/>
      </c>
      <c r="GG23" s="1131"/>
      <c r="GH23" s="1132"/>
      <c r="GI23" s="1131"/>
      <c r="GJ23" s="1132"/>
      <c r="GK23" s="1637">
        <f t="shared" ref="GK23:GK40" si="88">IF(D23="",0,D23*12+E23)</f>
        <v>0</v>
      </c>
      <c r="GL23" s="1637" t="e">
        <f t="shared" ref="GL23:GL40" si="89">(GA23*12+GB23+GC23+GD23)/COS(ATAN(ABS(GE23/12)))</f>
        <v>#VALUE!</v>
      </c>
      <c r="GM23" s="1638" t="e">
        <f>IF(ABS(GK23-GL23)&gt;='Job Info.'!$L$22,ABS(GK23-GL23),0)</f>
        <v>#VALUE!</v>
      </c>
      <c r="GZ23" s="415"/>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IF(DP24="","",TRUNC(DP24/12))</f>
        <v/>
      </c>
      <c r="E24" s="1767" t="str">
        <f>IF(DP24="","",DP24-(D24*12))</f>
        <v/>
      </c>
      <c r="F24" s="1220" t="str">
        <f>IF(DX24=0,"",TRUNC(DX24/12))</f>
        <v/>
      </c>
      <c r="G24" s="1221" t="str">
        <f>IF(DX24=0,"",DX24-(F24*12))</f>
        <v/>
      </c>
      <c r="H24" s="1768" t="str">
        <f>IF(DX24=0,"",CW24)</f>
        <v/>
      </c>
      <c r="I24" s="1217" t="str">
        <f>IF(ED24=0,"",TRUNC(ED24/12))</f>
        <v/>
      </c>
      <c r="J24" s="1221" t="str">
        <f>IF(ED24=0,"",ED24-(I24*12))</f>
        <v/>
      </c>
      <c r="K24" s="1769" t="str">
        <f>IF(ED24=0,"",DG24)</f>
        <v/>
      </c>
      <c r="L24" s="1224" t="str">
        <f t="shared" si="4"/>
        <v/>
      </c>
      <c r="M24" s="1225" t="str">
        <f t="shared" si="4"/>
        <v/>
      </c>
      <c r="N24" s="1220" t="str">
        <f>IF(ES24="","",IF(AND(ES24&lt;0,ES24&gt;-12),TRUNC(ES24/12)-0.0000001,TRUNC(ES24/12)))</f>
        <v/>
      </c>
      <c r="O24" s="1221" t="str">
        <f>IF(ES24="","",IF(AND(ES24-(N24*12)=0,ES24&lt;0),-0.000001,ES24-(N24*12)))</f>
        <v/>
      </c>
      <c r="P24" s="1222" t="str">
        <f>IF(ES24="","",IF(OR(CW24="Q",CW24="C"),3,CZ24))</f>
        <v/>
      </c>
      <c r="Q24" s="1217" t="str">
        <f>IF(ET24="","",IF(AND(ET24&lt;0,ET24&gt;-12),TRUNC(ET24/12)-0.0000001,TRUNC(ET24/12)))</f>
        <v/>
      </c>
      <c r="R24" s="1221" t="str">
        <f>IF(ET24="","",IF(AND(ET24-(Q24*12)=0,ET24&lt;0),-0.000001,ET24-(Q24*12)))</f>
        <v/>
      </c>
      <c r="S24" s="1748" t="str">
        <f>IF(ET24="","",IF(OR(DG24="Q",DG24="C"),3,DJ24))</f>
        <v/>
      </c>
      <c r="T24" s="1220" t="str">
        <f>IF(CH24="ERR","",IF(EK24="","",IF(EK24="ERR",TRUNC(EJ24/12),TRUNC(EK24/12))))</f>
        <v/>
      </c>
      <c r="U24" s="1221" t="str">
        <f>IF(CH24="ERR","",IF(EK24="","",IF(EK24="ERR",EJ24-(T24*12),EK24-(T24*12))))</f>
        <v/>
      </c>
      <c r="V24" s="1217" t="str">
        <f>IF(CI24="ERR","",IF(ER24="","",IF(ER24="ERR",TRUNC(EQ24/12),TRUNC(ER24/12))))</f>
        <v/>
      </c>
      <c r="W24" s="1221" t="str">
        <f>IF(CI24="ERR","",IF(ER24="","",IF(ER24="ERR",EQ24-(V24*12),ER24-(V24*12))))</f>
        <v/>
      </c>
      <c r="X24" s="1745">
        <f>IF(EV24="",0,EV24)</f>
        <v>0</v>
      </c>
      <c r="Y24" s="1770" t="str">
        <f>FG24</f>
        <v/>
      </c>
      <c r="Z24" s="1771" t="str">
        <f>FL24</f>
        <v/>
      </c>
      <c r="AA24" s="1772" t="str">
        <f t="shared" si="5"/>
        <v/>
      </c>
      <c r="AB24" s="1414"/>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1"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2"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5"/>
      <c r="BD24" s="733"/>
      <c r="BE24" s="734"/>
      <c r="BF24" s="735"/>
      <c r="BG24" s="672"/>
      <c r="BH24" s="982"/>
      <c r="BI24" s="983"/>
      <c r="BJ24" s="1626"/>
      <c r="BK24" s="982"/>
      <c r="BL24" s="983"/>
      <c r="BM24" s="1570"/>
      <c r="BN24" s="1571"/>
      <c r="BO24" s="1618" t="str">
        <f>IF(ISERROR(CU24),"",IF(CU24="","",IF(VLOOKUP(BG24,SectInfo!$B:$N,10,FALSE)="","","X")))</f>
        <v/>
      </c>
      <c r="BP24" s="1562"/>
      <c r="BQ24" s="1563" t="str">
        <f t="shared" si="21"/>
        <v/>
      </c>
      <c r="BR24" s="1564"/>
      <c r="BS24" s="672"/>
      <c r="BT24" s="982"/>
      <c r="BU24" s="983"/>
      <c r="BV24" s="1626"/>
      <c r="BW24" s="982"/>
      <c r="BX24" s="983"/>
      <c r="BY24" s="1570"/>
      <c r="BZ24" s="1571"/>
      <c r="CA24" s="1618" t="str">
        <f>IF(ISERROR(DE24),"",IF(DE24="","",IF(VLOOKUP(BS24,SectInfo!$B:$N,10,FALSE)="","","X")))</f>
        <v/>
      </c>
      <c r="CB24" s="1562"/>
      <c r="CC24" s="1563" t="str">
        <f t="shared" si="22"/>
        <v/>
      </c>
      <c r="CD24" s="1564"/>
      <c r="CE24" s="1575"/>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4"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4"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599" t="str">
        <f t="shared" si="82"/>
        <v/>
      </c>
      <c r="GB24" s="619" t="str">
        <f t="shared" si="83"/>
        <v/>
      </c>
      <c r="GC24" s="621" t="str">
        <f t="shared" si="84"/>
        <v/>
      </c>
      <c r="GD24" s="622" t="str">
        <f t="shared" si="85"/>
        <v/>
      </c>
      <c r="GE24" s="620" t="str">
        <f t="shared" si="86"/>
        <v/>
      </c>
      <c r="GF24" s="600" t="str">
        <f t="shared" si="87"/>
        <v/>
      </c>
      <c r="GG24" s="1131"/>
      <c r="GH24" s="1132"/>
      <c r="GI24" s="1131"/>
      <c r="GJ24" s="1132"/>
      <c r="GK24" s="1637">
        <f t="shared" si="88"/>
        <v>0</v>
      </c>
      <c r="GL24" s="1637" t="e">
        <f t="shared" si="89"/>
        <v>#VALUE!</v>
      </c>
      <c r="GM24" s="1638" t="e">
        <f>IF(ABS(GK24-GL24)&gt;='Job Info.'!$L$22,ABS(GK24-GL24),0)</f>
        <v>#VALUE!</v>
      </c>
      <c r="GZ24" s="415"/>
      <c r="HA24" s="1392"/>
      <c r="HB24" s="1393"/>
      <c r="HC24" s="1393"/>
      <c r="HD24" s="1394"/>
      <c r="HE24" s="1395"/>
      <c r="HF24" s="1393"/>
      <c r="HG24" s="1393"/>
      <c r="HH24" s="1393"/>
      <c r="HI24" s="1396"/>
      <c r="HJ24" s="1393"/>
      <c r="HK24" s="1393"/>
      <c r="HL24" s="1393"/>
      <c r="HM24" s="1393"/>
      <c r="HN24" s="1393"/>
      <c r="HO24" s="1393"/>
      <c r="HP24" s="1393"/>
      <c r="HQ24" s="1396"/>
      <c r="HR24" s="1393"/>
      <c r="HS24" s="1393"/>
      <c r="HT24" s="1393"/>
      <c r="HU24" s="1393"/>
      <c r="HV24" s="1393"/>
      <c r="HW24" s="1395"/>
      <c r="HX24" s="1395"/>
      <c r="HY24" s="1395"/>
      <c r="HZ24" s="1395"/>
      <c r="IA24" s="1395"/>
      <c r="IB24" s="1395"/>
      <c r="IC24" s="1395"/>
      <c r="ID24" s="1395"/>
      <c r="IE24" s="1395"/>
      <c r="IF24" s="1397"/>
    </row>
    <row r="25" spans="1:240" ht="12.6" customHeight="1" x14ac:dyDescent="0.25">
      <c r="A25" s="1215" t="str">
        <f t="shared" si="1"/>
        <v/>
      </c>
      <c r="B25" s="1709" t="str">
        <f t="shared" si="2"/>
        <v/>
      </c>
      <c r="C25" s="1216" t="str">
        <f t="shared" si="3"/>
        <v/>
      </c>
      <c r="D25" s="1217" t="str">
        <f>IF(DP25="","",TRUNC(DP25/12))</f>
        <v/>
      </c>
      <c r="E25" s="1767" t="str">
        <f>IF(DP25="","",DP25-(D25*12))</f>
        <v/>
      </c>
      <c r="F25" s="1220" t="str">
        <f>IF(DX25=0,"",TRUNC(DX25/12))</f>
        <v/>
      </c>
      <c r="G25" s="1221" t="str">
        <f>IF(DX25=0,"",DX25-(F25*12))</f>
        <v/>
      </c>
      <c r="H25" s="1768" t="str">
        <f>IF(DX25=0,"",CW25)</f>
        <v/>
      </c>
      <c r="I25" s="1217" t="str">
        <f>IF(ED25=0,"",TRUNC(ED25/12))</f>
        <v/>
      </c>
      <c r="J25" s="1221" t="str">
        <f>IF(ED25=0,"",ED25-(I25*12))</f>
        <v/>
      </c>
      <c r="K25" s="1769" t="str">
        <f>IF(ED25=0,"",DG25)</f>
        <v/>
      </c>
      <c r="L25" s="1224" t="str">
        <f t="shared" si="4"/>
        <v/>
      </c>
      <c r="M25" s="1225" t="str">
        <f t="shared" si="4"/>
        <v/>
      </c>
      <c r="N25" s="1220" t="str">
        <f>IF(ES25="","",IF(AND(ES25&lt;0,ES25&gt;-12),TRUNC(ES25/12)-0.0000001,TRUNC(ES25/12)))</f>
        <v/>
      </c>
      <c r="O25" s="1221" t="str">
        <f>IF(ES25="","",IF(AND(ES25-(N25*12)=0,ES25&lt;0),-0.000001,ES25-(N25*12)))</f>
        <v/>
      </c>
      <c r="P25" s="1222" t="str">
        <f>IF(ES25="","",IF(OR(CW25="Q",CW25="C"),3,CZ25))</f>
        <v/>
      </c>
      <c r="Q25" s="1217" t="str">
        <f>IF(ET25="","",IF(AND(ET25&lt;0,ET25&gt;-12),TRUNC(ET25/12)-0.0000001,TRUNC(ET25/12)))</f>
        <v/>
      </c>
      <c r="R25" s="1221" t="str">
        <f>IF(ET25="","",IF(AND(ET25-(Q25*12)=0,ET25&lt;0),-0.000001,ET25-(Q25*12)))</f>
        <v/>
      </c>
      <c r="S25" s="1748" t="str">
        <f>IF(ET25="","",IF(OR(DG25="Q",DG25="C"),3,DJ25))</f>
        <v/>
      </c>
      <c r="T25" s="1220" t="str">
        <f>IF(CH25="ERR","",IF(EK25="","",IF(EK25="ERR",TRUNC(EJ25/12),TRUNC(EK25/12))))</f>
        <v/>
      </c>
      <c r="U25" s="1221" t="str">
        <f>IF(CH25="ERR","",IF(EK25="","",IF(EK25="ERR",EJ25-(T25*12),EK25-(T25*12))))</f>
        <v/>
      </c>
      <c r="V25" s="1217" t="str">
        <f>IF(CI25="ERR","",IF(ER25="","",IF(ER25="ERR",TRUNC(EQ25/12),TRUNC(ER25/12))))</f>
        <v/>
      </c>
      <c r="W25" s="1221" t="str">
        <f>IF(CI25="ERR","",IF(ER25="","",IF(ER25="ERR",EQ25-(V25*12),ER25-(V25*12))))</f>
        <v/>
      </c>
      <c r="X25" s="1745">
        <f>IF(EV25="",0,EV25)</f>
        <v>0</v>
      </c>
      <c r="Y25" s="1770" t="str">
        <f>FG25</f>
        <v/>
      </c>
      <c r="Z25" s="1771" t="str">
        <f>FL25</f>
        <v/>
      </c>
      <c r="AA25" s="1772" t="str">
        <f t="shared" si="5"/>
        <v/>
      </c>
      <c r="AB25" s="1414"/>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1"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2"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5"/>
      <c r="BD25" s="733"/>
      <c r="BE25" s="734"/>
      <c r="BF25" s="735"/>
      <c r="BG25" s="672"/>
      <c r="BH25" s="982"/>
      <c r="BI25" s="983"/>
      <c r="BJ25" s="1626"/>
      <c r="BK25" s="982"/>
      <c r="BL25" s="983"/>
      <c r="BM25" s="1570"/>
      <c r="BN25" s="1571"/>
      <c r="BO25" s="1618" t="str">
        <f>IF(ISERROR(CU25),"",IF(CU25="","",IF(VLOOKUP(BG25,SectInfo!$B:$N,10,FALSE)="","","X")))</f>
        <v/>
      </c>
      <c r="BP25" s="1562"/>
      <c r="BQ25" s="1563" t="str">
        <f t="shared" si="21"/>
        <v/>
      </c>
      <c r="BR25" s="1564"/>
      <c r="BS25" s="672"/>
      <c r="BT25" s="982"/>
      <c r="BU25" s="983"/>
      <c r="BV25" s="1626"/>
      <c r="BW25" s="982"/>
      <c r="BX25" s="983"/>
      <c r="BY25" s="1570"/>
      <c r="BZ25" s="1571"/>
      <c r="CA25" s="1618" t="str">
        <f>IF(ISERROR(DE25),"",IF(DE25="","",IF(VLOOKUP(BS25,SectInfo!$B:$N,10,FALSE)="","","X")))</f>
        <v/>
      </c>
      <c r="CB25" s="1562"/>
      <c r="CC25" s="1563" t="str">
        <f t="shared" si="22"/>
        <v/>
      </c>
      <c r="CD25" s="1564"/>
      <c r="CE25" s="1575"/>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4" t="str">
        <f t="shared" si="50"/>
        <v/>
      </c>
      <c r="EF25" s="1294" t="str">
        <f>IF(EE25="ERR","ERR",IF(EE25="","",IF(DB25*TAN(DS25)&lt;=(VLOOKUP(AU25,$DF$2:$DN$9,8,FALSE)-(VLOOKUP(AU25,$DF$2:$DN$9,7,FALSE)-0.0625)),CV25-(EE25-FH25)/IF(OR(CU25="C",AND(CU25="M",$DD$1="N")),1,COS(DS25))-IF(MID(CW25,1,1)="R",0,DW25),(ABS(EE25-FH25)/IF(OR(CU25="C",AND(CU25="M",$DD$1="N")),1,COS(DS25))+CV25)-((DB25/2)*TAN(DS25))-IF(MID(CW25,1,1)="R",0,DW25))))</f>
        <v/>
      </c>
      <c r="EG25" s="1294"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4"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599" t="str">
        <f t="shared" si="82"/>
        <v/>
      </c>
      <c r="GB25" s="619" t="str">
        <f t="shared" si="83"/>
        <v/>
      </c>
      <c r="GC25" s="621" t="str">
        <f t="shared" si="84"/>
        <v/>
      </c>
      <c r="GD25" s="622" t="str">
        <f t="shared" si="85"/>
        <v/>
      </c>
      <c r="GE25" s="620" t="str">
        <f t="shared" si="86"/>
        <v/>
      </c>
      <c r="GF25" s="600" t="str">
        <f t="shared" si="87"/>
        <v/>
      </c>
      <c r="GG25" s="1131"/>
      <c r="GH25" s="1132"/>
      <c r="GI25" s="1131"/>
      <c r="GJ25" s="1132"/>
      <c r="GK25" s="1637">
        <f t="shared" si="88"/>
        <v>0</v>
      </c>
      <c r="GL25" s="1637" t="e">
        <f t="shared" si="89"/>
        <v>#VALUE!</v>
      </c>
      <c r="GM25" s="1638" t="e">
        <f>IF(ABS(GK25-GL25)&gt;='Job Info.'!$L$22,ABS(GK25-GL25),0)</f>
        <v>#VALUE!</v>
      </c>
      <c r="GZ25" s="415"/>
      <c r="HA25" s="1392"/>
      <c r="HB25" s="1393"/>
      <c r="HC25" s="1393"/>
      <c r="HD25" s="1394"/>
      <c r="HE25" s="1395"/>
      <c r="HF25" s="1393"/>
      <c r="HG25" s="1393"/>
      <c r="HH25" s="1393"/>
      <c r="HI25" s="1396"/>
      <c r="HJ25" s="1393"/>
      <c r="HK25" s="1393"/>
      <c r="HL25" s="1393"/>
      <c r="HM25" s="1393"/>
      <c r="HN25" s="1393"/>
      <c r="HO25" s="1393"/>
      <c r="HP25" s="1393"/>
      <c r="HQ25" s="1396"/>
      <c r="HR25" s="1393"/>
      <c r="HS25" s="1393"/>
      <c r="HT25" s="1393"/>
      <c r="HU25" s="1393"/>
      <c r="HV25" s="1393"/>
      <c r="HW25" s="1395"/>
      <c r="HX25" s="1395"/>
      <c r="HY25" s="1395"/>
      <c r="HZ25" s="1395"/>
      <c r="IA25" s="1395"/>
      <c r="IB25" s="1395"/>
      <c r="IC25" s="1395"/>
      <c r="ID25" s="1395"/>
      <c r="IE25" s="1395"/>
      <c r="IF25" s="1397"/>
    </row>
    <row r="26" spans="1:240" ht="12.6" customHeight="1" x14ac:dyDescent="0.25">
      <c r="A26" s="1215" t="str">
        <f t="shared" si="1"/>
        <v/>
      </c>
      <c r="B26" s="1709" t="str">
        <f t="shared" si="2"/>
        <v/>
      </c>
      <c r="C26" s="1216" t="str">
        <f t="shared" si="3"/>
        <v/>
      </c>
      <c r="D26" s="1217" t="str">
        <f t="shared" ref="D26:D40" si="95">IF(DP26="","",TRUNC(DP26/12))</f>
        <v/>
      </c>
      <c r="E26" s="1767" t="str">
        <f t="shared" ref="E26:E40" si="96">IF(DP26="","",DP26-(D26*12))</f>
        <v/>
      </c>
      <c r="F26" s="1220" t="str">
        <f t="shared" ref="F26:F40" si="97">IF(DX26=0,"",TRUNC(DX26/12))</f>
        <v/>
      </c>
      <c r="G26" s="1221" t="str">
        <f t="shared" ref="G26:G40" si="98">IF(DX26=0,"",DX26-(F26*12))</f>
        <v/>
      </c>
      <c r="H26" s="1768" t="str">
        <f t="shared" ref="H26:H40" si="99">IF(DX26=0,"",CW26)</f>
        <v/>
      </c>
      <c r="I26" s="1217" t="str">
        <f t="shared" ref="I26:I40" si="100">IF(ED26=0,"",TRUNC(ED26/12))</f>
        <v/>
      </c>
      <c r="J26" s="1221" t="str">
        <f t="shared" ref="J26:J40" si="101">IF(ED26=0,"",ED26-(I26*12))</f>
        <v/>
      </c>
      <c r="K26" s="1769" t="str">
        <f t="shared" ref="K26:K40" si="102">IF(ED26=0,"",DG26)</f>
        <v/>
      </c>
      <c r="L26" s="1224" t="str">
        <f t="shared" ref="L26:L40" si="103">DQ26</f>
        <v/>
      </c>
      <c r="M26" s="1225" t="str">
        <f t="shared" ref="M26:M40" si="104">DR26</f>
        <v/>
      </c>
      <c r="N26" s="1220" t="str">
        <f t="shared" ref="N26:N40" si="105">IF(ES26="","",IF(AND(ES26&lt;0,ES26&gt;-12),TRUNC(ES26/12)-0.0000001,TRUNC(ES26/12)))</f>
        <v/>
      </c>
      <c r="O26" s="1221" t="str">
        <f t="shared" ref="O26:O40" si="106">IF(ES26="","",IF(AND(ES26-(N26*12)=0,ES26&lt;0),-0.000001,ES26-(N26*12)))</f>
        <v/>
      </c>
      <c r="P26" s="1222" t="str">
        <f t="shared" ref="P26:P40" si="107">IF(ES26="","",IF(OR(CW26="Q",CW26="C"),3,CZ26))</f>
        <v/>
      </c>
      <c r="Q26" s="1217" t="str">
        <f t="shared" ref="Q26:Q40" si="108">IF(ET26="","",IF(AND(ET26&lt;0,ET26&gt;-12),TRUNC(ET26/12)-0.0000001,TRUNC(ET26/12)))</f>
        <v/>
      </c>
      <c r="R26" s="1221" t="str">
        <f t="shared" ref="R26:R40" si="109">IF(ET26="","",IF(AND(ET26-(Q26*12)=0,ET26&lt;0),-0.000001,ET26-(Q26*12)))</f>
        <v/>
      </c>
      <c r="S26" s="1748" t="str">
        <f t="shared" ref="S26:S40" si="110">IF(ET26="","",IF(OR(DG26="Q",DG26="C"),3,DJ26))</f>
        <v/>
      </c>
      <c r="T26" s="1220" t="str">
        <f t="shared" ref="T26:T40" si="111">IF(CH26="ERR","",IF(EK26="","",IF(EK26="ERR",TRUNC(EJ26/12),TRUNC(EK26/12))))</f>
        <v/>
      </c>
      <c r="U26" s="1221" t="str">
        <f t="shared" ref="U26:U40" si="112">IF(CH26="ERR","",IF(EK26="","",IF(EK26="ERR",EJ26-(T26*12),EK26-(T26*12))))</f>
        <v/>
      </c>
      <c r="V26" s="1217" t="str">
        <f t="shared" ref="V26:V40" si="113">IF(CI26="ERR","",IF(ER26="","",IF(ER26="ERR",TRUNC(EQ26/12),TRUNC(ER26/12))))</f>
        <v/>
      </c>
      <c r="W26" s="1221" t="str">
        <f t="shared" ref="W26:W40" si="114">IF(CI26="ERR","",IF(ER26="","",IF(ER26="ERR",EQ26-(V26*12),ER26-(V26*12))))</f>
        <v/>
      </c>
      <c r="X26" s="1745">
        <f t="shared" ref="X26:X40" si="115">IF(EV26="",0,EV26)</f>
        <v>0</v>
      </c>
      <c r="Y26" s="1770" t="str">
        <f t="shared" ref="Y26:Y40" si="116">FG26</f>
        <v/>
      </c>
      <c r="Z26" s="1771" t="str">
        <f t="shared" ref="Z26:Z40" si="117">FL26</f>
        <v/>
      </c>
      <c r="AA26" s="1772" t="str">
        <f t="shared" si="5"/>
        <v/>
      </c>
      <c r="AB26" s="1414"/>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1"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2" t="str">
        <f t="shared" si="18"/>
        <v/>
      </c>
      <c r="AV26" s="830" t="str">
        <f t="shared" si="19"/>
        <v/>
      </c>
      <c r="AW26" s="830" t="str">
        <f t="shared" si="90"/>
        <v/>
      </c>
      <c r="AX26" s="830" t="str">
        <f t="shared" si="94"/>
        <v/>
      </c>
      <c r="AY26" s="464" t="b">
        <f t="shared" si="20"/>
        <v>0</v>
      </c>
      <c r="AZ26" s="856" t="str">
        <f t="shared" si="91"/>
        <v/>
      </c>
      <c r="BA26" s="549"/>
      <c r="BB26" s="672"/>
      <c r="BC26" s="1685"/>
      <c r="BD26" s="733"/>
      <c r="BE26" s="734"/>
      <c r="BF26" s="735"/>
      <c r="BG26" s="672"/>
      <c r="BH26" s="982"/>
      <c r="BI26" s="983"/>
      <c r="BJ26" s="1626"/>
      <c r="BK26" s="982"/>
      <c r="BL26" s="983"/>
      <c r="BM26" s="1570"/>
      <c r="BN26" s="1571"/>
      <c r="BO26" s="1618" t="str">
        <f>IF(ISERROR(CU26),"",IF(CU26="","",IF(VLOOKUP(BG26,SectInfo!$B:$N,10,FALSE)="","","X")))</f>
        <v/>
      </c>
      <c r="BP26" s="1562"/>
      <c r="BQ26" s="1563" t="str">
        <f t="shared" si="21"/>
        <v/>
      </c>
      <c r="BR26" s="1564"/>
      <c r="BS26" s="672"/>
      <c r="BT26" s="982"/>
      <c r="BU26" s="983"/>
      <c r="BV26" s="1626"/>
      <c r="BW26" s="982"/>
      <c r="BX26" s="983"/>
      <c r="BY26" s="1570"/>
      <c r="BZ26" s="1571"/>
      <c r="CA26" s="1618" t="str">
        <f>IF(ISERROR(DE26),"",IF(DE26="","",IF(VLOOKUP(BS26,SectInfo!$B:$N,10,FALSE)="","","X")))</f>
        <v/>
      </c>
      <c r="CB26" s="1562"/>
      <c r="CC26" s="1563" t="str">
        <f t="shared" si="22"/>
        <v/>
      </c>
      <c r="CD26" s="1564"/>
      <c r="CE26" s="1575"/>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4"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4"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599" t="str">
        <f t="shared" si="82"/>
        <v/>
      </c>
      <c r="GB26" s="619" t="str">
        <f t="shared" si="83"/>
        <v/>
      </c>
      <c r="GC26" s="621" t="str">
        <f t="shared" si="84"/>
        <v/>
      </c>
      <c r="GD26" s="622" t="str">
        <f t="shared" si="85"/>
        <v/>
      </c>
      <c r="GE26" s="620" t="str">
        <f t="shared" si="86"/>
        <v/>
      </c>
      <c r="GF26" s="600" t="str">
        <f t="shared" si="87"/>
        <v/>
      </c>
      <c r="GG26" s="1131"/>
      <c r="GH26" s="1132"/>
      <c r="GI26" s="1131"/>
      <c r="GJ26" s="1132"/>
      <c r="GK26" s="1637">
        <f t="shared" si="88"/>
        <v>0</v>
      </c>
      <c r="GL26" s="1637" t="e">
        <f t="shared" si="89"/>
        <v>#VALUE!</v>
      </c>
      <c r="GM26" s="1638" t="e">
        <f>IF(ABS(GK26-GL26)&gt;='Job Info.'!$L$22,ABS(GK26-GL26),0)</f>
        <v>#VALUE!</v>
      </c>
      <c r="GZ26" s="415"/>
      <c r="HA26" s="1392"/>
      <c r="HB26" s="1393"/>
      <c r="HC26" s="1393"/>
      <c r="HD26" s="1394"/>
      <c r="HE26" s="1395"/>
      <c r="HF26" s="1393"/>
      <c r="HG26" s="1393"/>
      <c r="HH26" s="1393"/>
      <c r="HI26" s="1396"/>
      <c r="HJ26" s="1393"/>
      <c r="HK26" s="1393"/>
      <c r="HL26" s="1393"/>
      <c r="HM26" s="1393"/>
      <c r="HN26" s="1393"/>
      <c r="HO26" s="1393"/>
      <c r="HP26" s="1393"/>
      <c r="HQ26" s="1396"/>
      <c r="HR26" s="1393"/>
      <c r="HS26" s="1393"/>
      <c r="HT26" s="1393"/>
      <c r="HU26" s="1393"/>
      <c r="HV26" s="1393"/>
      <c r="HW26" s="1395"/>
      <c r="HX26" s="1395"/>
      <c r="HY26" s="1395"/>
      <c r="HZ26" s="1395"/>
      <c r="IA26" s="1395"/>
      <c r="IB26" s="1395"/>
      <c r="IC26" s="1395"/>
      <c r="ID26" s="1395"/>
      <c r="IE26" s="1395"/>
      <c r="IF26" s="1397"/>
    </row>
    <row r="27" spans="1:240" ht="12.6" customHeight="1" x14ac:dyDescent="0.25">
      <c r="A27" s="1215" t="str">
        <f t="shared" si="1"/>
        <v/>
      </c>
      <c r="B27" s="1709" t="str">
        <f t="shared" si="2"/>
        <v/>
      </c>
      <c r="C27" s="1216" t="str">
        <f t="shared" si="3"/>
        <v/>
      </c>
      <c r="D27" s="1217" t="str">
        <f t="shared" si="95"/>
        <v/>
      </c>
      <c r="E27" s="1767" t="str">
        <f t="shared" si="96"/>
        <v/>
      </c>
      <c r="F27" s="1220" t="str">
        <f t="shared" si="97"/>
        <v/>
      </c>
      <c r="G27" s="1221" t="str">
        <f t="shared" si="98"/>
        <v/>
      </c>
      <c r="H27" s="1768" t="str">
        <f t="shared" si="99"/>
        <v/>
      </c>
      <c r="I27" s="1217" t="str">
        <f t="shared" si="100"/>
        <v/>
      </c>
      <c r="J27" s="1221" t="str">
        <f t="shared" si="101"/>
        <v/>
      </c>
      <c r="K27" s="1769" t="str">
        <f t="shared" si="102"/>
        <v/>
      </c>
      <c r="L27" s="1224" t="str">
        <f t="shared" si="103"/>
        <v/>
      </c>
      <c r="M27" s="1225" t="str">
        <f t="shared" si="104"/>
        <v/>
      </c>
      <c r="N27" s="1220" t="str">
        <f t="shared" si="105"/>
        <v/>
      </c>
      <c r="O27" s="1221" t="str">
        <f t="shared" si="106"/>
        <v/>
      </c>
      <c r="P27" s="1222" t="str">
        <f t="shared" si="107"/>
        <v/>
      </c>
      <c r="Q27" s="1217" t="str">
        <f t="shared" si="108"/>
        <v/>
      </c>
      <c r="R27" s="1221" t="str">
        <f t="shared" si="109"/>
        <v/>
      </c>
      <c r="S27" s="1748" t="str">
        <f t="shared" si="110"/>
        <v/>
      </c>
      <c r="T27" s="1220" t="str">
        <f t="shared" si="111"/>
        <v/>
      </c>
      <c r="U27" s="1221" t="str">
        <f t="shared" si="112"/>
        <v/>
      </c>
      <c r="V27" s="1217" t="str">
        <f t="shared" si="113"/>
        <v/>
      </c>
      <c r="W27" s="1221" t="str">
        <f t="shared" si="114"/>
        <v/>
      </c>
      <c r="X27" s="1745">
        <f t="shared" si="115"/>
        <v>0</v>
      </c>
      <c r="Y27" s="1770" t="str">
        <f t="shared" si="116"/>
        <v/>
      </c>
      <c r="Z27" s="1771" t="str">
        <f t="shared" si="117"/>
        <v/>
      </c>
      <c r="AA27" s="1772" t="str">
        <f t="shared" si="5"/>
        <v/>
      </c>
      <c r="AB27" s="1414"/>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1"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2" t="str">
        <f t="shared" si="18"/>
        <v/>
      </c>
      <c r="AV27" s="830" t="str">
        <f t="shared" si="19"/>
        <v/>
      </c>
      <c r="AW27" s="830" t="str">
        <f t="shared" si="90"/>
        <v/>
      </c>
      <c r="AX27" s="830" t="str">
        <f t="shared" si="94"/>
        <v/>
      </c>
      <c r="AY27" s="464" t="b">
        <f t="shared" si="20"/>
        <v>0</v>
      </c>
      <c r="AZ27" s="856" t="str">
        <f t="shared" si="91"/>
        <v/>
      </c>
      <c r="BA27" s="549"/>
      <c r="BB27" s="672"/>
      <c r="BC27" s="1685"/>
      <c r="BD27" s="733"/>
      <c r="BE27" s="734"/>
      <c r="BF27" s="735"/>
      <c r="BG27" s="672"/>
      <c r="BH27" s="982"/>
      <c r="BI27" s="983"/>
      <c r="BJ27" s="1626"/>
      <c r="BK27" s="982"/>
      <c r="BL27" s="983"/>
      <c r="BM27" s="1570"/>
      <c r="BN27" s="1571"/>
      <c r="BO27" s="1618" t="str">
        <f>IF(ISERROR(CU27),"",IF(CU27="","",IF(VLOOKUP(BG27,SectInfo!$B:$N,10,FALSE)="","","X")))</f>
        <v/>
      </c>
      <c r="BP27" s="1562"/>
      <c r="BQ27" s="1563" t="str">
        <f t="shared" si="21"/>
        <v/>
      </c>
      <c r="BR27" s="1564"/>
      <c r="BS27" s="672"/>
      <c r="BT27" s="982"/>
      <c r="BU27" s="983"/>
      <c r="BV27" s="1626"/>
      <c r="BW27" s="982"/>
      <c r="BX27" s="983"/>
      <c r="BY27" s="1570"/>
      <c r="BZ27" s="1571"/>
      <c r="CA27" s="1618" t="str">
        <f>IF(ISERROR(DE27),"",IF(DE27="","",IF(VLOOKUP(BS27,SectInfo!$B:$N,10,FALSE)="","","X")))</f>
        <v/>
      </c>
      <c r="CB27" s="1562"/>
      <c r="CC27" s="1563" t="str">
        <f t="shared" si="22"/>
        <v/>
      </c>
      <c r="CD27" s="1564"/>
      <c r="CE27" s="1575"/>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4" t="str">
        <f t="shared" si="50"/>
        <v/>
      </c>
      <c r="EF27" s="822" t="str">
        <f t="shared" si="121"/>
        <v/>
      </c>
      <c r="EG27" s="822" t="str">
        <f t="shared" si="122"/>
        <v/>
      </c>
      <c r="EH27" s="856" t="e">
        <f t="shared" si="51"/>
        <v>#N/A</v>
      </c>
      <c r="EI27" s="856" t="e">
        <f t="shared" si="52"/>
        <v>#N/A</v>
      </c>
      <c r="EJ27" s="822" t="str">
        <f t="shared" si="123"/>
        <v/>
      </c>
      <c r="EK27" s="822" t="str">
        <f t="shared" si="124"/>
        <v/>
      </c>
      <c r="EL27" s="1294"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599" t="str">
        <f t="shared" si="82"/>
        <v/>
      </c>
      <c r="GB27" s="619" t="str">
        <f t="shared" si="83"/>
        <v/>
      </c>
      <c r="GC27" s="621" t="str">
        <f t="shared" si="84"/>
        <v/>
      </c>
      <c r="GD27" s="622" t="str">
        <f t="shared" si="85"/>
        <v/>
      </c>
      <c r="GE27" s="620" t="str">
        <f t="shared" si="86"/>
        <v/>
      </c>
      <c r="GF27" s="600" t="str">
        <f t="shared" si="87"/>
        <v/>
      </c>
      <c r="GG27" s="1131"/>
      <c r="GH27" s="1132"/>
      <c r="GI27" s="1131"/>
      <c r="GJ27" s="1132"/>
      <c r="GK27" s="1637">
        <f t="shared" si="88"/>
        <v>0</v>
      </c>
      <c r="GL27" s="1637" t="e">
        <f t="shared" si="89"/>
        <v>#VALUE!</v>
      </c>
      <c r="GM27" s="1638" t="e">
        <f>IF(ABS(GK27-GL27)&gt;='Job Info.'!$L$22,ABS(GK27-GL27),0)</f>
        <v>#VALUE!</v>
      </c>
      <c r="GZ27" s="415"/>
      <c r="HA27" s="1392"/>
      <c r="HB27" s="1393"/>
      <c r="HC27" s="1393"/>
      <c r="HD27" s="1394"/>
      <c r="HE27" s="1395"/>
      <c r="HF27" s="1393"/>
      <c r="HG27" s="1393"/>
      <c r="HH27" s="1393"/>
      <c r="HI27" s="1396"/>
      <c r="HJ27" s="1393"/>
      <c r="HK27" s="1393"/>
      <c r="HL27" s="1393"/>
      <c r="HM27" s="1393"/>
      <c r="HN27" s="1393"/>
      <c r="HO27" s="1393"/>
      <c r="HP27" s="1393"/>
      <c r="HQ27" s="1396"/>
      <c r="HR27" s="1393"/>
      <c r="HS27" s="1393"/>
      <c r="HT27" s="1393"/>
      <c r="HU27" s="1393"/>
      <c r="HV27" s="1393"/>
      <c r="HW27" s="1395"/>
      <c r="HX27" s="1395"/>
      <c r="HY27" s="1395"/>
      <c r="HZ27" s="1395"/>
      <c r="IA27" s="1395"/>
      <c r="IB27" s="1395"/>
      <c r="IC27" s="1395"/>
      <c r="ID27" s="1395"/>
      <c r="IE27" s="1395"/>
      <c r="IF27" s="1397"/>
    </row>
    <row r="28" spans="1:240" ht="12.6" customHeight="1" x14ac:dyDescent="0.25">
      <c r="A28" s="1215" t="str">
        <f t="shared" si="1"/>
        <v/>
      </c>
      <c r="B28" s="1709" t="str">
        <f t="shared" si="2"/>
        <v/>
      </c>
      <c r="C28" s="1216" t="str">
        <f t="shared" si="3"/>
        <v/>
      </c>
      <c r="D28" s="1217" t="str">
        <f t="shared" si="95"/>
        <v/>
      </c>
      <c r="E28" s="1767" t="str">
        <f t="shared" si="96"/>
        <v/>
      </c>
      <c r="F28" s="1220" t="str">
        <f t="shared" si="97"/>
        <v/>
      </c>
      <c r="G28" s="1221" t="str">
        <f t="shared" si="98"/>
        <v/>
      </c>
      <c r="H28" s="1768" t="str">
        <f t="shared" si="99"/>
        <v/>
      </c>
      <c r="I28" s="1217" t="str">
        <f t="shared" si="100"/>
        <v/>
      </c>
      <c r="J28" s="1221" t="str">
        <f t="shared" si="101"/>
        <v/>
      </c>
      <c r="K28" s="1769" t="str">
        <f t="shared" si="102"/>
        <v/>
      </c>
      <c r="L28" s="1224" t="str">
        <f t="shared" si="103"/>
        <v/>
      </c>
      <c r="M28" s="1225" t="str">
        <f t="shared" si="104"/>
        <v/>
      </c>
      <c r="N28" s="1220" t="str">
        <f t="shared" si="105"/>
        <v/>
      </c>
      <c r="O28" s="1221" t="str">
        <f t="shared" si="106"/>
        <v/>
      </c>
      <c r="P28" s="1222" t="str">
        <f t="shared" si="107"/>
        <v/>
      </c>
      <c r="Q28" s="1217" t="str">
        <f t="shared" si="108"/>
        <v/>
      </c>
      <c r="R28" s="1221" t="str">
        <f t="shared" si="109"/>
        <v/>
      </c>
      <c r="S28" s="1748" t="str">
        <f t="shared" si="110"/>
        <v/>
      </c>
      <c r="T28" s="1220" t="str">
        <f t="shared" si="111"/>
        <v/>
      </c>
      <c r="U28" s="1221" t="str">
        <f t="shared" si="112"/>
        <v/>
      </c>
      <c r="V28" s="1217" t="str">
        <f t="shared" si="113"/>
        <v/>
      </c>
      <c r="W28" s="1221" t="str">
        <f t="shared" si="114"/>
        <v/>
      </c>
      <c r="X28" s="1745">
        <f t="shared" si="115"/>
        <v>0</v>
      </c>
      <c r="Y28" s="1770" t="str">
        <f t="shared" si="116"/>
        <v/>
      </c>
      <c r="Z28" s="1771" t="str">
        <f t="shared" si="117"/>
        <v/>
      </c>
      <c r="AA28" s="1772" t="str">
        <f t="shared" si="5"/>
        <v/>
      </c>
      <c r="AB28" s="1414"/>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1"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2" t="str">
        <f t="shared" si="18"/>
        <v/>
      </c>
      <c r="AV28" s="830" t="str">
        <f t="shared" si="19"/>
        <v/>
      </c>
      <c r="AW28" s="830" t="str">
        <f t="shared" si="90"/>
        <v/>
      </c>
      <c r="AX28" s="830" t="str">
        <f t="shared" si="94"/>
        <v/>
      </c>
      <c r="AY28" s="464" t="b">
        <f t="shared" si="20"/>
        <v>0</v>
      </c>
      <c r="AZ28" s="856" t="str">
        <f t="shared" si="91"/>
        <v/>
      </c>
      <c r="BA28" s="549"/>
      <c r="BB28" s="672"/>
      <c r="BC28" s="1685"/>
      <c r="BD28" s="733"/>
      <c r="BE28" s="734"/>
      <c r="BF28" s="735"/>
      <c r="BG28" s="672"/>
      <c r="BH28" s="982"/>
      <c r="BI28" s="983"/>
      <c r="BJ28" s="1626"/>
      <c r="BK28" s="982"/>
      <c r="BL28" s="983"/>
      <c r="BM28" s="1570"/>
      <c r="BN28" s="1571"/>
      <c r="BO28" s="1618" t="str">
        <f>IF(ISERROR(CU28),"",IF(CU28="","",IF(VLOOKUP(BG28,SectInfo!$B:$N,10,FALSE)="","","X")))</f>
        <v/>
      </c>
      <c r="BP28" s="1562"/>
      <c r="BQ28" s="1563" t="str">
        <f t="shared" si="21"/>
        <v/>
      </c>
      <c r="BR28" s="1564"/>
      <c r="BS28" s="672"/>
      <c r="BT28" s="982"/>
      <c r="BU28" s="983"/>
      <c r="BV28" s="1626"/>
      <c r="BW28" s="982"/>
      <c r="BX28" s="983"/>
      <c r="BY28" s="1570"/>
      <c r="BZ28" s="1571"/>
      <c r="CA28" s="1618" t="str">
        <f>IF(ISERROR(DE28),"",IF(DE28="","",IF(VLOOKUP(BS28,SectInfo!$B:$N,10,FALSE)="","","X")))</f>
        <v/>
      </c>
      <c r="CB28" s="1562"/>
      <c r="CC28" s="1563" t="str">
        <f t="shared" si="22"/>
        <v/>
      </c>
      <c r="CD28" s="1564"/>
      <c r="CE28" s="1575"/>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4" t="str">
        <f t="shared" si="50"/>
        <v/>
      </c>
      <c r="EF28" s="822" t="str">
        <f t="shared" si="121"/>
        <v/>
      </c>
      <c r="EG28" s="822" t="str">
        <f t="shared" si="122"/>
        <v/>
      </c>
      <c r="EH28" s="856" t="e">
        <f t="shared" si="51"/>
        <v>#N/A</v>
      </c>
      <c r="EI28" s="856" t="e">
        <f t="shared" si="52"/>
        <v>#N/A</v>
      </c>
      <c r="EJ28" s="822" t="str">
        <f t="shared" si="123"/>
        <v/>
      </c>
      <c r="EK28" s="822" t="str">
        <f t="shared" si="124"/>
        <v/>
      </c>
      <c r="EL28" s="1294"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599" t="str">
        <f t="shared" si="82"/>
        <v/>
      </c>
      <c r="GB28" s="619" t="str">
        <f t="shared" si="83"/>
        <v/>
      </c>
      <c r="GC28" s="621" t="str">
        <f t="shared" si="84"/>
        <v/>
      </c>
      <c r="GD28" s="622" t="str">
        <f t="shared" si="85"/>
        <v/>
      </c>
      <c r="GE28" s="620" t="str">
        <f t="shared" si="86"/>
        <v/>
      </c>
      <c r="GF28" s="600" t="str">
        <f t="shared" si="87"/>
        <v/>
      </c>
      <c r="GG28" s="1131"/>
      <c r="GH28" s="1132"/>
      <c r="GI28" s="1131"/>
      <c r="GJ28" s="1132"/>
      <c r="GK28" s="1637">
        <f t="shared" si="88"/>
        <v>0</v>
      </c>
      <c r="GL28" s="1637" t="e">
        <f t="shared" si="89"/>
        <v>#VALUE!</v>
      </c>
      <c r="GM28" s="1638" t="e">
        <f>IF(ABS(GK28-GL28)&gt;='Job Info.'!$L$22,ABS(GK28-GL28),0)</f>
        <v>#VALUE!</v>
      </c>
      <c r="GZ28" s="415"/>
      <c r="HA28" s="1392"/>
      <c r="HB28" s="1393"/>
      <c r="HC28" s="1393"/>
      <c r="HD28" s="1394"/>
      <c r="HE28" s="1395"/>
      <c r="HF28" s="1393"/>
      <c r="HG28" s="1393"/>
      <c r="HH28" s="1393"/>
      <c r="HI28" s="1396"/>
      <c r="HJ28" s="1393"/>
      <c r="HK28" s="1393"/>
      <c r="HL28" s="1393"/>
      <c r="HM28" s="1393"/>
      <c r="HN28" s="1393"/>
      <c r="HO28" s="1393"/>
      <c r="HP28" s="1393"/>
      <c r="HQ28" s="1396"/>
      <c r="HR28" s="1393"/>
      <c r="HS28" s="1393"/>
      <c r="HT28" s="1393"/>
      <c r="HU28" s="1393"/>
      <c r="HV28" s="1393"/>
      <c r="HW28" s="1395"/>
      <c r="HX28" s="1395"/>
      <c r="HY28" s="1395"/>
      <c r="HZ28" s="1395"/>
      <c r="IA28" s="1395"/>
      <c r="IB28" s="1395"/>
      <c r="IC28" s="1395"/>
      <c r="ID28" s="1395"/>
      <c r="IE28" s="1395"/>
      <c r="IF28" s="1397"/>
    </row>
    <row r="29" spans="1:240" ht="12.6" customHeight="1" x14ac:dyDescent="0.25">
      <c r="A29" s="1215" t="str">
        <f t="shared" si="1"/>
        <v/>
      </c>
      <c r="B29" s="1709" t="str">
        <f t="shared" si="2"/>
        <v/>
      </c>
      <c r="C29" s="1216" t="str">
        <f t="shared" si="3"/>
        <v/>
      </c>
      <c r="D29" s="1217" t="str">
        <f t="shared" si="95"/>
        <v/>
      </c>
      <c r="E29" s="1767" t="str">
        <f t="shared" si="96"/>
        <v/>
      </c>
      <c r="F29" s="1220" t="str">
        <f t="shared" si="97"/>
        <v/>
      </c>
      <c r="G29" s="1221" t="str">
        <f t="shared" si="98"/>
        <v/>
      </c>
      <c r="H29" s="1768" t="str">
        <f t="shared" si="99"/>
        <v/>
      </c>
      <c r="I29" s="1217" t="str">
        <f t="shared" si="100"/>
        <v/>
      </c>
      <c r="J29" s="1221" t="str">
        <f t="shared" si="101"/>
        <v/>
      </c>
      <c r="K29" s="1769" t="str">
        <f t="shared" si="102"/>
        <v/>
      </c>
      <c r="L29" s="1224" t="str">
        <f t="shared" si="103"/>
        <v/>
      </c>
      <c r="M29" s="1225" t="str">
        <f t="shared" si="104"/>
        <v/>
      </c>
      <c r="N29" s="1220" t="str">
        <f t="shared" si="105"/>
        <v/>
      </c>
      <c r="O29" s="1221" t="str">
        <f t="shared" si="106"/>
        <v/>
      </c>
      <c r="P29" s="1222" t="str">
        <f t="shared" si="107"/>
        <v/>
      </c>
      <c r="Q29" s="1217" t="str">
        <f t="shared" si="108"/>
        <v/>
      </c>
      <c r="R29" s="1221" t="str">
        <f t="shared" si="109"/>
        <v/>
      </c>
      <c r="S29" s="1748" t="str">
        <f t="shared" si="110"/>
        <v/>
      </c>
      <c r="T29" s="1220" t="str">
        <f t="shared" si="111"/>
        <v/>
      </c>
      <c r="U29" s="1221" t="str">
        <f t="shared" si="112"/>
        <v/>
      </c>
      <c r="V29" s="1217" t="str">
        <f t="shared" si="113"/>
        <v/>
      </c>
      <c r="W29" s="1221" t="str">
        <f t="shared" si="114"/>
        <v/>
      </c>
      <c r="X29" s="1745">
        <f t="shared" si="115"/>
        <v>0</v>
      </c>
      <c r="Y29" s="1770" t="str">
        <f t="shared" si="116"/>
        <v/>
      </c>
      <c r="Z29" s="1771" t="str">
        <f t="shared" si="117"/>
        <v/>
      </c>
      <c r="AA29" s="1772" t="str">
        <f t="shared" si="5"/>
        <v/>
      </c>
      <c r="AB29" s="1414"/>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1"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2" t="str">
        <f t="shared" si="18"/>
        <v/>
      </c>
      <c r="AV29" s="830" t="str">
        <f t="shared" si="19"/>
        <v/>
      </c>
      <c r="AW29" s="830" t="str">
        <f t="shared" si="90"/>
        <v/>
      </c>
      <c r="AX29" s="830" t="str">
        <f t="shared" si="94"/>
        <v/>
      </c>
      <c r="AY29" s="464" t="b">
        <f t="shared" si="20"/>
        <v>0</v>
      </c>
      <c r="AZ29" s="856" t="str">
        <f t="shared" si="91"/>
        <v/>
      </c>
      <c r="BA29" s="549"/>
      <c r="BB29" s="672"/>
      <c r="BC29" s="1685"/>
      <c r="BD29" s="733"/>
      <c r="BE29" s="734"/>
      <c r="BF29" s="735"/>
      <c r="BG29" s="672"/>
      <c r="BH29" s="982"/>
      <c r="BI29" s="983"/>
      <c r="BJ29" s="1626"/>
      <c r="BK29" s="982"/>
      <c r="BL29" s="983"/>
      <c r="BM29" s="1570"/>
      <c r="BN29" s="1571"/>
      <c r="BO29" s="1618" t="str">
        <f>IF(ISERROR(CU29),"",IF(CU29="","",IF(VLOOKUP(BG29,SectInfo!$B:$N,10,FALSE)="","","X")))</f>
        <v/>
      </c>
      <c r="BP29" s="1562"/>
      <c r="BQ29" s="1563" t="str">
        <f t="shared" si="21"/>
        <v/>
      </c>
      <c r="BR29" s="1564"/>
      <c r="BS29" s="672"/>
      <c r="BT29" s="982"/>
      <c r="BU29" s="983"/>
      <c r="BV29" s="1626"/>
      <c r="BW29" s="982"/>
      <c r="BX29" s="983"/>
      <c r="BY29" s="1570"/>
      <c r="BZ29" s="1571"/>
      <c r="CA29" s="1618" t="str">
        <f>IF(ISERROR(DE29),"",IF(DE29="","",IF(VLOOKUP(BS29,SectInfo!$B:$N,10,FALSE)="","","X")))</f>
        <v/>
      </c>
      <c r="CB29" s="1562"/>
      <c r="CC29" s="1563" t="str">
        <f t="shared" si="22"/>
        <v/>
      </c>
      <c r="CD29" s="1564"/>
      <c r="CE29" s="1575"/>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4" t="str">
        <f t="shared" si="50"/>
        <v/>
      </c>
      <c r="EF29" s="822" t="str">
        <f t="shared" si="121"/>
        <v/>
      </c>
      <c r="EG29" s="822" t="str">
        <f t="shared" si="122"/>
        <v/>
      </c>
      <c r="EH29" s="856" t="e">
        <f t="shared" si="51"/>
        <v>#N/A</v>
      </c>
      <c r="EI29" s="856" t="e">
        <f t="shared" si="52"/>
        <v>#N/A</v>
      </c>
      <c r="EJ29" s="822" t="str">
        <f t="shared" si="123"/>
        <v/>
      </c>
      <c r="EK29" s="822" t="str">
        <f t="shared" si="124"/>
        <v/>
      </c>
      <c r="EL29" s="1294"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599" t="str">
        <f t="shared" si="82"/>
        <v/>
      </c>
      <c r="GB29" s="619" t="str">
        <f t="shared" si="83"/>
        <v/>
      </c>
      <c r="GC29" s="621" t="str">
        <f t="shared" si="84"/>
        <v/>
      </c>
      <c r="GD29" s="622" t="str">
        <f t="shared" si="85"/>
        <v/>
      </c>
      <c r="GE29" s="620" t="str">
        <f t="shared" si="86"/>
        <v/>
      </c>
      <c r="GF29" s="600" t="str">
        <f t="shared" si="87"/>
        <v/>
      </c>
      <c r="GG29" s="1131"/>
      <c r="GH29" s="1132"/>
      <c r="GI29" s="1131"/>
      <c r="GJ29" s="1132"/>
      <c r="GK29" s="1637">
        <f t="shared" si="88"/>
        <v>0</v>
      </c>
      <c r="GL29" s="1637" t="e">
        <f t="shared" si="89"/>
        <v>#VALUE!</v>
      </c>
      <c r="GM29" s="1638" t="e">
        <f>IF(ABS(GK29-GL29)&gt;='Job Info.'!$L$22,ABS(GK29-GL29),0)</f>
        <v>#VALUE!</v>
      </c>
      <c r="GZ29" s="415"/>
      <c r="HA29" s="1392"/>
      <c r="HB29" s="1393"/>
      <c r="HC29" s="1393"/>
      <c r="HD29" s="1394"/>
      <c r="HE29" s="1395"/>
      <c r="HF29" s="1393"/>
      <c r="HG29" s="1393"/>
      <c r="HH29" s="1393"/>
      <c r="HI29" s="1396"/>
      <c r="HJ29" s="1393"/>
      <c r="HK29" s="1393"/>
      <c r="HL29" s="1393"/>
      <c r="HM29" s="1393"/>
      <c r="HN29" s="1393"/>
      <c r="HO29" s="1393"/>
      <c r="HP29" s="1393"/>
      <c r="HQ29" s="1396"/>
      <c r="HR29" s="1393"/>
      <c r="HS29" s="1393"/>
      <c r="HT29" s="1393"/>
      <c r="HU29" s="1393"/>
      <c r="HV29" s="1393"/>
      <c r="HW29" s="1395"/>
      <c r="HX29" s="1395"/>
      <c r="HY29" s="1395"/>
      <c r="HZ29" s="1395"/>
      <c r="IA29" s="1395"/>
      <c r="IB29" s="1395"/>
      <c r="IC29" s="1395"/>
      <c r="ID29" s="1395"/>
      <c r="IE29" s="1395"/>
      <c r="IF29" s="1397"/>
    </row>
    <row r="30" spans="1:240" ht="12.6" customHeight="1" x14ac:dyDescent="0.25">
      <c r="A30" s="1215" t="str">
        <f t="shared" si="1"/>
        <v/>
      </c>
      <c r="B30" s="1709" t="str">
        <f t="shared" si="2"/>
        <v/>
      </c>
      <c r="C30" s="1216" t="str">
        <f t="shared" si="3"/>
        <v/>
      </c>
      <c r="D30" s="1217" t="str">
        <f t="shared" si="95"/>
        <v/>
      </c>
      <c r="E30" s="1767" t="str">
        <f t="shared" si="96"/>
        <v/>
      </c>
      <c r="F30" s="1220" t="str">
        <f t="shared" si="97"/>
        <v/>
      </c>
      <c r="G30" s="1221" t="str">
        <f t="shared" si="98"/>
        <v/>
      </c>
      <c r="H30" s="1768" t="str">
        <f t="shared" si="99"/>
        <v/>
      </c>
      <c r="I30" s="1217" t="str">
        <f t="shared" si="100"/>
        <v/>
      </c>
      <c r="J30" s="1221" t="str">
        <f t="shared" si="101"/>
        <v/>
      </c>
      <c r="K30" s="1769" t="str">
        <f t="shared" si="102"/>
        <v/>
      </c>
      <c r="L30" s="1224" t="str">
        <f t="shared" si="103"/>
        <v/>
      </c>
      <c r="M30" s="1225" t="str">
        <f t="shared" si="104"/>
        <v/>
      </c>
      <c r="N30" s="1220" t="str">
        <f t="shared" si="105"/>
        <v/>
      </c>
      <c r="O30" s="1221" t="str">
        <f t="shared" si="106"/>
        <v/>
      </c>
      <c r="P30" s="1222" t="str">
        <f t="shared" si="107"/>
        <v/>
      </c>
      <c r="Q30" s="1217" t="str">
        <f t="shared" si="108"/>
        <v/>
      </c>
      <c r="R30" s="1221" t="str">
        <f t="shared" si="109"/>
        <v/>
      </c>
      <c r="S30" s="1748" t="str">
        <f t="shared" si="110"/>
        <v/>
      </c>
      <c r="T30" s="1220" t="str">
        <f t="shared" si="111"/>
        <v/>
      </c>
      <c r="U30" s="1221" t="str">
        <f t="shared" si="112"/>
        <v/>
      </c>
      <c r="V30" s="1217" t="str">
        <f t="shared" si="113"/>
        <v/>
      </c>
      <c r="W30" s="1221" t="str">
        <f t="shared" si="114"/>
        <v/>
      </c>
      <c r="X30" s="1745">
        <f t="shared" si="115"/>
        <v>0</v>
      </c>
      <c r="Y30" s="1770" t="str">
        <f t="shared" si="116"/>
        <v/>
      </c>
      <c r="Z30" s="1771" t="str">
        <f t="shared" si="117"/>
        <v/>
      </c>
      <c r="AA30" s="1772" t="str">
        <f t="shared" si="5"/>
        <v/>
      </c>
      <c r="AB30" s="1414"/>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1"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2" t="str">
        <f t="shared" si="18"/>
        <v/>
      </c>
      <c r="AV30" s="830" t="str">
        <f t="shared" si="19"/>
        <v/>
      </c>
      <c r="AW30" s="830" t="str">
        <f t="shared" si="90"/>
        <v/>
      </c>
      <c r="AX30" s="830" t="str">
        <f t="shared" si="94"/>
        <v/>
      </c>
      <c r="AY30" s="464" t="b">
        <f t="shared" si="20"/>
        <v>0</v>
      </c>
      <c r="AZ30" s="856" t="str">
        <f t="shared" si="91"/>
        <v/>
      </c>
      <c r="BA30" s="549"/>
      <c r="BB30" s="672"/>
      <c r="BC30" s="1685"/>
      <c r="BD30" s="733"/>
      <c r="BE30" s="734"/>
      <c r="BF30" s="735"/>
      <c r="BG30" s="672"/>
      <c r="BH30" s="982"/>
      <c r="BI30" s="983"/>
      <c r="BJ30" s="1626"/>
      <c r="BK30" s="982"/>
      <c r="BL30" s="983"/>
      <c r="BM30" s="1570"/>
      <c r="BN30" s="1571"/>
      <c r="BO30" s="1618" t="str">
        <f>IF(ISERROR(CU30),"",IF(CU30="","",IF(VLOOKUP(BG30,SectInfo!$B:$N,10,FALSE)="","","X")))</f>
        <v/>
      </c>
      <c r="BP30" s="1562"/>
      <c r="BQ30" s="1563" t="str">
        <f t="shared" si="21"/>
        <v/>
      </c>
      <c r="BR30" s="1564"/>
      <c r="BS30" s="672"/>
      <c r="BT30" s="982"/>
      <c r="BU30" s="983"/>
      <c r="BV30" s="1626"/>
      <c r="BW30" s="982"/>
      <c r="BX30" s="983"/>
      <c r="BY30" s="1570"/>
      <c r="BZ30" s="1571"/>
      <c r="CA30" s="1618" t="str">
        <f>IF(ISERROR(DE30),"",IF(DE30="","",IF(VLOOKUP(BS30,SectInfo!$B:$N,10,FALSE)="","","X")))</f>
        <v/>
      </c>
      <c r="CB30" s="1562"/>
      <c r="CC30" s="1563" t="str">
        <f t="shared" si="22"/>
        <v/>
      </c>
      <c r="CD30" s="1564"/>
      <c r="CE30" s="1575"/>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4" t="str">
        <f t="shared" si="50"/>
        <v/>
      </c>
      <c r="EF30" s="822" t="str">
        <f t="shared" si="121"/>
        <v/>
      </c>
      <c r="EG30" s="822" t="str">
        <f t="shared" si="122"/>
        <v/>
      </c>
      <c r="EH30" s="856" t="e">
        <f t="shared" si="51"/>
        <v>#N/A</v>
      </c>
      <c r="EI30" s="856" t="e">
        <f t="shared" si="52"/>
        <v>#N/A</v>
      </c>
      <c r="EJ30" s="822" t="str">
        <f t="shared" si="123"/>
        <v/>
      </c>
      <c r="EK30" s="822" t="str">
        <f t="shared" si="124"/>
        <v/>
      </c>
      <c r="EL30" s="1294"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599" t="str">
        <f t="shared" si="82"/>
        <v/>
      </c>
      <c r="GB30" s="619" t="str">
        <f t="shared" si="83"/>
        <v/>
      </c>
      <c r="GC30" s="621" t="str">
        <f t="shared" si="84"/>
        <v/>
      </c>
      <c r="GD30" s="622" t="str">
        <f t="shared" si="85"/>
        <v/>
      </c>
      <c r="GE30" s="620" t="str">
        <f t="shared" si="86"/>
        <v/>
      </c>
      <c r="GF30" s="600" t="str">
        <f t="shared" si="87"/>
        <v/>
      </c>
      <c r="GG30" s="1131"/>
      <c r="GH30" s="1132"/>
      <c r="GI30" s="1131"/>
      <c r="GJ30" s="1132"/>
      <c r="GK30" s="1637">
        <f t="shared" si="88"/>
        <v>0</v>
      </c>
      <c r="GL30" s="1637" t="e">
        <f t="shared" si="89"/>
        <v>#VALUE!</v>
      </c>
      <c r="GM30" s="1638" t="e">
        <f>IF(ABS(GK30-GL30)&gt;='Job Info.'!$L$22,ABS(GK30-GL30),0)</f>
        <v>#VALUE!</v>
      </c>
      <c r="GZ30" s="415"/>
      <c r="HA30" s="1392"/>
      <c r="HB30" s="1393"/>
      <c r="HC30" s="1393"/>
      <c r="HD30" s="1394"/>
      <c r="HE30" s="1395"/>
      <c r="HF30" s="1393"/>
      <c r="HG30" s="1393"/>
      <c r="HH30" s="1393"/>
      <c r="HI30" s="1396"/>
      <c r="HJ30" s="1393"/>
      <c r="HK30" s="1393"/>
      <c r="HL30" s="1393"/>
      <c r="HM30" s="1393"/>
      <c r="HN30" s="1393"/>
      <c r="HO30" s="1393"/>
      <c r="HP30" s="1393"/>
      <c r="HQ30" s="1396"/>
      <c r="HR30" s="1393"/>
      <c r="HS30" s="1393"/>
      <c r="HT30" s="1393"/>
      <c r="HU30" s="1393"/>
      <c r="HV30" s="1393"/>
      <c r="HW30" s="1395"/>
      <c r="HX30" s="1395"/>
      <c r="HY30" s="1395"/>
      <c r="HZ30" s="1395"/>
      <c r="IA30" s="1395"/>
      <c r="IB30" s="1395"/>
      <c r="IC30" s="1395"/>
      <c r="ID30" s="1395"/>
      <c r="IE30" s="1395"/>
      <c r="IF30" s="1397"/>
    </row>
    <row r="31" spans="1:240" ht="12.6" customHeight="1" x14ac:dyDescent="0.25">
      <c r="A31" s="1215" t="str">
        <f t="shared" si="1"/>
        <v/>
      </c>
      <c r="B31" s="1709" t="str">
        <f t="shared" si="2"/>
        <v/>
      </c>
      <c r="C31" s="1216" t="str">
        <f t="shared" si="3"/>
        <v/>
      </c>
      <c r="D31" s="1217" t="str">
        <f t="shared" si="95"/>
        <v/>
      </c>
      <c r="E31" s="1767" t="str">
        <f t="shared" si="96"/>
        <v/>
      </c>
      <c r="F31" s="1220" t="str">
        <f t="shared" si="97"/>
        <v/>
      </c>
      <c r="G31" s="1221" t="str">
        <f t="shared" si="98"/>
        <v/>
      </c>
      <c r="H31" s="1768" t="str">
        <f t="shared" si="99"/>
        <v/>
      </c>
      <c r="I31" s="1217" t="str">
        <f t="shared" si="100"/>
        <v/>
      </c>
      <c r="J31" s="1221" t="str">
        <f t="shared" si="101"/>
        <v/>
      </c>
      <c r="K31" s="1769" t="str">
        <f t="shared" si="102"/>
        <v/>
      </c>
      <c r="L31" s="1224" t="str">
        <f t="shared" si="103"/>
        <v/>
      </c>
      <c r="M31" s="1225" t="str">
        <f t="shared" si="104"/>
        <v/>
      </c>
      <c r="N31" s="1220" t="str">
        <f t="shared" si="105"/>
        <v/>
      </c>
      <c r="O31" s="1221" t="str">
        <f t="shared" si="106"/>
        <v/>
      </c>
      <c r="P31" s="1222" t="str">
        <f t="shared" si="107"/>
        <v/>
      </c>
      <c r="Q31" s="1217" t="str">
        <f t="shared" si="108"/>
        <v/>
      </c>
      <c r="R31" s="1221" t="str">
        <f t="shared" si="109"/>
        <v/>
      </c>
      <c r="S31" s="1748" t="str">
        <f t="shared" si="110"/>
        <v/>
      </c>
      <c r="T31" s="1220" t="str">
        <f t="shared" si="111"/>
        <v/>
      </c>
      <c r="U31" s="1221" t="str">
        <f t="shared" si="112"/>
        <v/>
      </c>
      <c r="V31" s="1217" t="str">
        <f t="shared" si="113"/>
        <v/>
      </c>
      <c r="W31" s="1221" t="str">
        <f t="shared" si="114"/>
        <v/>
      </c>
      <c r="X31" s="1745">
        <f t="shared" si="115"/>
        <v>0</v>
      </c>
      <c r="Y31" s="1770" t="str">
        <f t="shared" si="116"/>
        <v/>
      </c>
      <c r="Z31" s="1771" t="str">
        <f t="shared" si="117"/>
        <v/>
      </c>
      <c r="AA31" s="1772" t="str">
        <f t="shared" si="5"/>
        <v/>
      </c>
      <c r="AB31" s="1414"/>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1"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2" t="str">
        <f t="shared" si="18"/>
        <v/>
      </c>
      <c r="AV31" s="830" t="str">
        <f t="shared" si="19"/>
        <v/>
      </c>
      <c r="AW31" s="830" t="str">
        <f t="shared" si="90"/>
        <v/>
      </c>
      <c r="AX31" s="830" t="str">
        <f t="shared" si="94"/>
        <v/>
      </c>
      <c r="AY31" s="464" t="b">
        <f t="shared" si="20"/>
        <v>0</v>
      </c>
      <c r="AZ31" s="856" t="str">
        <f t="shared" si="91"/>
        <v/>
      </c>
      <c r="BA31" s="549"/>
      <c r="BB31" s="672"/>
      <c r="BC31" s="1685"/>
      <c r="BD31" s="733"/>
      <c r="BE31" s="734"/>
      <c r="BF31" s="735"/>
      <c r="BG31" s="672"/>
      <c r="BH31" s="982"/>
      <c r="BI31" s="983"/>
      <c r="BJ31" s="1626"/>
      <c r="BK31" s="982"/>
      <c r="BL31" s="983"/>
      <c r="BM31" s="1570"/>
      <c r="BN31" s="1571"/>
      <c r="BO31" s="1618" t="str">
        <f>IF(ISERROR(CU31),"",IF(CU31="","",IF(VLOOKUP(BG31,SectInfo!$B:$N,10,FALSE)="","","X")))</f>
        <v/>
      </c>
      <c r="BP31" s="1562"/>
      <c r="BQ31" s="1563" t="str">
        <f t="shared" si="21"/>
        <v/>
      </c>
      <c r="BR31" s="1564"/>
      <c r="BS31" s="672"/>
      <c r="BT31" s="982"/>
      <c r="BU31" s="983"/>
      <c r="BV31" s="1626"/>
      <c r="BW31" s="982"/>
      <c r="BX31" s="983"/>
      <c r="BY31" s="1570"/>
      <c r="BZ31" s="1571"/>
      <c r="CA31" s="1618" t="str">
        <f>IF(ISERROR(DE31),"",IF(DE31="","",IF(VLOOKUP(BS31,SectInfo!$B:$N,10,FALSE)="","","X")))</f>
        <v/>
      </c>
      <c r="CB31" s="1562"/>
      <c r="CC31" s="1563" t="str">
        <f t="shared" si="22"/>
        <v/>
      </c>
      <c r="CD31" s="1564"/>
      <c r="CE31" s="1575"/>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4" t="str">
        <f t="shared" si="50"/>
        <v/>
      </c>
      <c r="EF31" s="822" t="str">
        <f t="shared" si="121"/>
        <v/>
      </c>
      <c r="EG31" s="822" t="str">
        <f t="shared" si="122"/>
        <v/>
      </c>
      <c r="EH31" s="856" t="e">
        <f t="shared" si="51"/>
        <v>#N/A</v>
      </c>
      <c r="EI31" s="856" t="e">
        <f t="shared" si="52"/>
        <v>#N/A</v>
      </c>
      <c r="EJ31" s="822" t="str">
        <f t="shared" si="123"/>
        <v/>
      </c>
      <c r="EK31" s="822" t="str">
        <f t="shared" si="124"/>
        <v/>
      </c>
      <c r="EL31" s="1294"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599" t="str">
        <f t="shared" si="82"/>
        <v/>
      </c>
      <c r="GB31" s="619" t="str">
        <f t="shared" si="83"/>
        <v/>
      </c>
      <c r="GC31" s="621" t="str">
        <f t="shared" si="84"/>
        <v/>
      </c>
      <c r="GD31" s="622" t="str">
        <f t="shared" si="85"/>
        <v/>
      </c>
      <c r="GE31" s="620" t="str">
        <f t="shared" si="86"/>
        <v/>
      </c>
      <c r="GF31" s="600" t="str">
        <f t="shared" si="87"/>
        <v/>
      </c>
      <c r="GG31" s="1131"/>
      <c r="GH31" s="1132"/>
      <c r="GI31" s="1131"/>
      <c r="GJ31" s="1132"/>
      <c r="GK31" s="1637">
        <f t="shared" si="88"/>
        <v>0</v>
      </c>
      <c r="GL31" s="1637" t="e">
        <f t="shared" si="89"/>
        <v>#VALUE!</v>
      </c>
      <c r="GM31" s="1638" t="e">
        <f>IF(ABS(GK31-GL31)&gt;='Job Info.'!$L$22,ABS(GK31-GL31),0)</f>
        <v>#VALUE!</v>
      </c>
      <c r="GZ31" s="415"/>
      <c r="HA31" s="1392"/>
      <c r="HB31" s="1393"/>
      <c r="HC31" s="1393"/>
      <c r="HD31" s="1394"/>
      <c r="HE31" s="1395"/>
      <c r="HF31" s="1393"/>
      <c r="HG31" s="1393"/>
      <c r="HH31" s="1393"/>
      <c r="HI31" s="1396"/>
      <c r="HJ31" s="1393"/>
      <c r="HK31" s="1393"/>
      <c r="HL31" s="1393"/>
      <c r="HM31" s="1393"/>
      <c r="HN31" s="1393"/>
      <c r="HO31" s="1393"/>
      <c r="HP31" s="1393"/>
      <c r="HQ31" s="1396"/>
      <c r="HR31" s="1393"/>
      <c r="HS31" s="1393"/>
      <c r="HT31" s="1393"/>
      <c r="HU31" s="1393"/>
      <c r="HV31" s="1393"/>
      <c r="HW31" s="1395"/>
      <c r="HX31" s="1395"/>
      <c r="HY31" s="1395"/>
      <c r="HZ31" s="1395"/>
      <c r="IA31" s="1395"/>
      <c r="IB31" s="1395"/>
      <c r="IC31" s="1395"/>
      <c r="ID31" s="1395"/>
      <c r="IE31" s="1395"/>
      <c r="IF31" s="1397"/>
    </row>
    <row r="32" spans="1:240" ht="12.6" customHeight="1" x14ac:dyDescent="0.25">
      <c r="A32" s="1215" t="str">
        <f t="shared" si="1"/>
        <v/>
      </c>
      <c r="B32" s="1709" t="str">
        <f t="shared" si="2"/>
        <v/>
      </c>
      <c r="C32" s="1216" t="str">
        <f t="shared" si="3"/>
        <v/>
      </c>
      <c r="D32" s="1217" t="str">
        <f t="shared" si="95"/>
        <v/>
      </c>
      <c r="E32" s="1767" t="str">
        <f t="shared" si="96"/>
        <v/>
      </c>
      <c r="F32" s="1220" t="str">
        <f t="shared" si="97"/>
        <v/>
      </c>
      <c r="G32" s="1221" t="str">
        <f t="shared" si="98"/>
        <v/>
      </c>
      <c r="H32" s="1768" t="str">
        <f t="shared" si="99"/>
        <v/>
      </c>
      <c r="I32" s="1217" t="str">
        <f t="shared" si="100"/>
        <v/>
      </c>
      <c r="J32" s="1221" t="str">
        <f t="shared" si="101"/>
        <v/>
      </c>
      <c r="K32" s="1769" t="str">
        <f t="shared" si="102"/>
        <v/>
      </c>
      <c r="L32" s="1224" t="str">
        <f t="shared" si="103"/>
        <v/>
      </c>
      <c r="M32" s="1225" t="str">
        <f t="shared" si="104"/>
        <v/>
      </c>
      <c r="N32" s="1220" t="str">
        <f t="shared" si="105"/>
        <v/>
      </c>
      <c r="O32" s="1221" t="str">
        <f t="shared" si="106"/>
        <v/>
      </c>
      <c r="P32" s="1222" t="str">
        <f t="shared" si="107"/>
        <v/>
      </c>
      <c r="Q32" s="1217" t="str">
        <f t="shared" si="108"/>
        <v/>
      </c>
      <c r="R32" s="1221" t="str">
        <f t="shared" si="109"/>
        <v/>
      </c>
      <c r="S32" s="1748" t="str">
        <f t="shared" si="110"/>
        <v/>
      </c>
      <c r="T32" s="1220" t="str">
        <f t="shared" si="111"/>
        <v/>
      </c>
      <c r="U32" s="1221" t="str">
        <f t="shared" si="112"/>
        <v/>
      </c>
      <c r="V32" s="1217" t="str">
        <f t="shared" si="113"/>
        <v/>
      </c>
      <c r="W32" s="1221" t="str">
        <f t="shared" si="114"/>
        <v/>
      </c>
      <c r="X32" s="1745">
        <f t="shared" si="115"/>
        <v>0</v>
      </c>
      <c r="Y32" s="1770" t="str">
        <f t="shared" si="116"/>
        <v/>
      </c>
      <c r="Z32" s="1771" t="str">
        <f t="shared" si="117"/>
        <v/>
      </c>
      <c r="AA32" s="1772" t="str">
        <f t="shared" si="5"/>
        <v/>
      </c>
      <c r="AB32" s="1414"/>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1"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2" t="str">
        <f t="shared" si="18"/>
        <v/>
      </c>
      <c r="AV32" s="830" t="str">
        <f t="shared" si="19"/>
        <v/>
      </c>
      <c r="AW32" s="830" t="str">
        <f t="shared" si="90"/>
        <v/>
      </c>
      <c r="AX32" s="830" t="str">
        <f t="shared" si="94"/>
        <v/>
      </c>
      <c r="AY32" s="464" t="b">
        <f t="shared" si="20"/>
        <v>0</v>
      </c>
      <c r="AZ32" s="856" t="str">
        <f t="shared" si="91"/>
        <v/>
      </c>
      <c r="BA32" s="549"/>
      <c r="BB32" s="672"/>
      <c r="BC32" s="1685"/>
      <c r="BD32" s="733"/>
      <c r="BE32" s="734"/>
      <c r="BF32" s="735"/>
      <c r="BG32" s="672"/>
      <c r="BH32" s="982"/>
      <c r="BI32" s="983"/>
      <c r="BJ32" s="1626"/>
      <c r="BK32" s="982"/>
      <c r="BL32" s="983"/>
      <c r="BM32" s="1570"/>
      <c r="BN32" s="1571"/>
      <c r="BO32" s="1618" t="str">
        <f>IF(ISERROR(CU32),"",IF(CU32="","",IF(VLOOKUP(BG32,SectInfo!$B:$N,10,FALSE)="","","X")))</f>
        <v/>
      </c>
      <c r="BP32" s="1562"/>
      <c r="BQ32" s="1563" t="str">
        <f t="shared" si="21"/>
        <v/>
      </c>
      <c r="BR32" s="1564"/>
      <c r="BS32" s="672"/>
      <c r="BT32" s="982"/>
      <c r="BU32" s="983"/>
      <c r="BV32" s="1626"/>
      <c r="BW32" s="982"/>
      <c r="BX32" s="983"/>
      <c r="BY32" s="1570"/>
      <c r="BZ32" s="1571"/>
      <c r="CA32" s="1618" t="str">
        <f>IF(ISERROR(DE32),"",IF(DE32="","",IF(VLOOKUP(BS32,SectInfo!$B:$N,10,FALSE)="","","X")))</f>
        <v/>
      </c>
      <c r="CB32" s="1562"/>
      <c r="CC32" s="1563" t="str">
        <f t="shared" si="22"/>
        <v/>
      </c>
      <c r="CD32" s="1564"/>
      <c r="CE32" s="1575"/>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4" t="str">
        <f t="shared" si="50"/>
        <v/>
      </c>
      <c r="EF32" s="822" t="str">
        <f t="shared" si="121"/>
        <v/>
      </c>
      <c r="EG32" s="822" t="str">
        <f t="shared" si="122"/>
        <v/>
      </c>
      <c r="EH32" s="856" t="e">
        <f t="shared" si="51"/>
        <v>#N/A</v>
      </c>
      <c r="EI32" s="856" t="e">
        <f t="shared" si="52"/>
        <v>#N/A</v>
      </c>
      <c r="EJ32" s="822" t="str">
        <f t="shared" si="123"/>
        <v/>
      </c>
      <c r="EK32" s="822" t="str">
        <f t="shared" si="124"/>
        <v/>
      </c>
      <c r="EL32" s="1294"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599" t="str">
        <f t="shared" si="82"/>
        <v/>
      </c>
      <c r="GB32" s="619" t="str">
        <f t="shared" si="83"/>
        <v/>
      </c>
      <c r="GC32" s="621" t="str">
        <f t="shared" si="84"/>
        <v/>
      </c>
      <c r="GD32" s="622" t="str">
        <f t="shared" si="85"/>
        <v/>
      </c>
      <c r="GE32" s="620" t="str">
        <f t="shared" si="86"/>
        <v/>
      </c>
      <c r="GF32" s="600" t="str">
        <f t="shared" si="87"/>
        <v/>
      </c>
      <c r="GG32" s="1131"/>
      <c r="GH32" s="1132"/>
      <c r="GI32" s="1131"/>
      <c r="GJ32" s="1132"/>
      <c r="GK32" s="1637">
        <f t="shared" si="88"/>
        <v>0</v>
      </c>
      <c r="GL32" s="1637" t="e">
        <f t="shared" si="89"/>
        <v>#VALUE!</v>
      </c>
      <c r="GM32" s="1638" t="e">
        <f>IF(ABS(GK32-GL32)&gt;='Job Info.'!$L$22,ABS(GK32-GL32),0)</f>
        <v>#VALUE!</v>
      </c>
      <c r="GZ32" s="415"/>
      <c r="HA32" s="1392"/>
      <c r="HB32" s="1393"/>
      <c r="HC32" s="1393"/>
      <c r="HD32" s="1394"/>
      <c r="HE32" s="1395"/>
      <c r="HF32" s="1393"/>
      <c r="HG32" s="1393"/>
      <c r="HH32" s="1393"/>
      <c r="HI32" s="1396"/>
      <c r="HJ32" s="1393"/>
      <c r="HK32" s="1393"/>
      <c r="HL32" s="1393"/>
      <c r="HM32" s="1393"/>
      <c r="HN32" s="1393"/>
      <c r="HO32" s="1393"/>
      <c r="HP32" s="1393"/>
      <c r="HQ32" s="1396"/>
      <c r="HR32" s="1393"/>
      <c r="HS32" s="1393"/>
      <c r="HT32" s="1393"/>
      <c r="HU32" s="1393"/>
      <c r="HV32" s="1393"/>
      <c r="HW32" s="1395"/>
      <c r="HX32" s="1395"/>
      <c r="HY32" s="1395"/>
      <c r="HZ32" s="1395"/>
      <c r="IA32" s="1395"/>
      <c r="IB32" s="1395"/>
      <c r="IC32" s="1395"/>
      <c r="ID32" s="1395"/>
      <c r="IE32" s="1395"/>
      <c r="IF32" s="1397"/>
    </row>
    <row r="33" spans="1:240" ht="12.6" customHeight="1" x14ac:dyDescent="0.25">
      <c r="A33" s="1215" t="str">
        <f t="shared" si="1"/>
        <v/>
      </c>
      <c r="B33" s="1709" t="str">
        <f t="shared" si="2"/>
        <v/>
      </c>
      <c r="C33" s="1216" t="str">
        <f t="shared" si="3"/>
        <v/>
      </c>
      <c r="D33" s="1217" t="str">
        <f t="shared" si="95"/>
        <v/>
      </c>
      <c r="E33" s="1767" t="str">
        <f t="shared" si="96"/>
        <v/>
      </c>
      <c r="F33" s="1220" t="str">
        <f t="shared" si="97"/>
        <v/>
      </c>
      <c r="G33" s="1221" t="str">
        <f t="shared" si="98"/>
        <v/>
      </c>
      <c r="H33" s="1768" t="str">
        <f t="shared" si="99"/>
        <v/>
      </c>
      <c r="I33" s="1217" t="str">
        <f t="shared" si="100"/>
        <v/>
      </c>
      <c r="J33" s="1221" t="str">
        <f t="shared" si="101"/>
        <v/>
      </c>
      <c r="K33" s="1769" t="str">
        <f t="shared" si="102"/>
        <v/>
      </c>
      <c r="L33" s="1224" t="str">
        <f t="shared" si="103"/>
        <v/>
      </c>
      <c r="M33" s="1225" t="str">
        <f t="shared" si="104"/>
        <v/>
      </c>
      <c r="N33" s="1220" t="str">
        <f t="shared" si="105"/>
        <v/>
      </c>
      <c r="O33" s="1221" t="str">
        <f t="shared" si="106"/>
        <v/>
      </c>
      <c r="P33" s="1222" t="str">
        <f t="shared" si="107"/>
        <v/>
      </c>
      <c r="Q33" s="1217" t="str">
        <f t="shared" si="108"/>
        <v/>
      </c>
      <c r="R33" s="1221" t="str">
        <f t="shared" si="109"/>
        <v/>
      </c>
      <c r="S33" s="1748" t="str">
        <f t="shared" si="110"/>
        <v/>
      </c>
      <c r="T33" s="1220" t="str">
        <f t="shared" si="111"/>
        <v/>
      </c>
      <c r="U33" s="1221" t="str">
        <f t="shared" si="112"/>
        <v/>
      </c>
      <c r="V33" s="1217" t="str">
        <f t="shared" si="113"/>
        <v/>
      </c>
      <c r="W33" s="1221" t="str">
        <f t="shared" si="114"/>
        <v/>
      </c>
      <c r="X33" s="1745">
        <f t="shared" si="115"/>
        <v>0</v>
      </c>
      <c r="Y33" s="1770" t="str">
        <f t="shared" si="116"/>
        <v/>
      </c>
      <c r="Z33" s="1771" t="str">
        <f t="shared" si="117"/>
        <v/>
      </c>
      <c r="AA33" s="1772" t="str">
        <f t="shared" si="5"/>
        <v/>
      </c>
      <c r="AB33" s="1414"/>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1"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2" t="str">
        <f t="shared" si="18"/>
        <v/>
      </c>
      <c r="AV33" s="830" t="str">
        <f t="shared" si="19"/>
        <v/>
      </c>
      <c r="AW33" s="830" t="str">
        <f t="shared" si="90"/>
        <v/>
      </c>
      <c r="AX33" s="830" t="str">
        <f t="shared" si="94"/>
        <v/>
      </c>
      <c r="AY33" s="464" t="b">
        <f t="shared" si="20"/>
        <v>0</v>
      </c>
      <c r="AZ33" s="856" t="str">
        <f t="shared" si="91"/>
        <v/>
      </c>
      <c r="BA33" s="549"/>
      <c r="BB33" s="672"/>
      <c r="BC33" s="1685"/>
      <c r="BD33" s="733"/>
      <c r="BE33" s="734"/>
      <c r="BF33" s="735"/>
      <c r="BG33" s="672"/>
      <c r="BH33" s="982"/>
      <c r="BI33" s="983"/>
      <c r="BJ33" s="1626"/>
      <c r="BK33" s="982"/>
      <c r="BL33" s="983"/>
      <c r="BM33" s="1570"/>
      <c r="BN33" s="1571"/>
      <c r="BO33" s="1618" t="str">
        <f>IF(ISERROR(CU33),"",IF(CU33="","",IF(VLOOKUP(BG33,SectInfo!$B:$N,10,FALSE)="","","X")))</f>
        <v/>
      </c>
      <c r="BP33" s="1562"/>
      <c r="BQ33" s="1563" t="str">
        <f t="shared" si="21"/>
        <v/>
      </c>
      <c r="BR33" s="1564"/>
      <c r="BS33" s="672"/>
      <c r="BT33" s="982"/>
      <c r="BU33" s="983"/>
      <c r="BV33" s="1626"/>
      <c r="BW33" s="982"/>
      <c r="BX33" s="983"/>
      <c r="BY33" s="1570"/>
      <c r="BZ33" s="1571"/>
      <c r="CA33" s="1618" t="str">
        <f>IF(ISERROR(DE33),"",IF(DE33="","",IF(VLOOKUP(BS33,SectInfo!$B:$N,10,FALSE)="","","X")))</f>
        <v/>
      </c>
      <c r="CB33" s="1562"/>
      <c r="CC33" s="1563" t="str">
        <f t="shared" si="22"/>
        <v/>
      </c>
      <c r="CD33" s="1564"/>
      <c r="CE33" s="1575"/>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4" t="str">
        <f t="shared" si="50"/>
        <v/>
      </c>
      <c r="EF33" s="822" t="str">
        <f t="shared" si="121"/>
        <v/>
      </c>
      <c r="EG33" s="822" t="str">
        <f t="shared" si="122"/>
        <v/>
      </c>
      <c r="EH33" s="856" t="e">
        <f t="shared" si="51"/>
        <v>#N/A</v>
      </c>
      <c r="EI33" s="856" t="e">
        <f t="shared" si="52"/>
        <v>#N/A</v>
      </c>
      <c r="EJ33" s="822" t="str">
        <f t="shared" si="123"/>
        <v/>
      </c>
      <c r="EK33" s="822" t="str">
        <f t="shared" si="124"/>
        <v/>
      </c>
      <c r="EL33" s="1294"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599" t="str">
        <f t="shared" si="82"/>
        <v/>
      </c>
      <c r="GB33" s="619" t="str">
        <f t="shared" si="83"/>
        <v/>
      </c>
      <c r="GC33" s="621" t="str">
        <f t="shared" si="84"/>
        <v/>
      </c>
      <c r="GD33" s="622" t="str">
        <f t="shared" si="85"/>
        <v/>
      </c>
      <c r="GE33" s="620" t="str">
        <f t="shared" si="86"/>
        <v/>
      </c>
      <c r="GF33" s="600" t="str">
        <f t="shared" si="87"/>
        <v/>
      </c>
      <c r="GG33" s="1131"/>
      <c r="GH33" s="1132"/>
      <c r="GI33" s="1131"/>
      <c r="GJ33" s="1132"/>
      <c r="GK33" s="1637">
        <f t="shared" si="88"/>
        <v>0</v>
      </c>
      <c r="GL33" s="1637" t="e">
        <f t="shared" si="89"/>
        <v>#VALUE!</v>
      </c>
      <c r="GM33" s="1638" t="e">
        <f>IF(ABS(GK33-GL33)&gt;='Job Info.'!$L$22,ABS(GK33-GL33),0)</f>
        <v>#VALUE!</v>
      </c>
      <c r="GZ33" s="415"/>
      <c r="HA33" s="1392"/>
      <c r="HB33" s="1393"/>
      <c r="HC33" s="1393"/>
      <c r="HD33" s="1394"/>
      <c r="HE33" s="1395"/>
      <c r="HF33" s="1393"/>
      <c r="HG33" s="1393"/>
      <c r="HH33" s="1393"/>
      <c r="HI33" s="1396"/>
      <c r="HJ33" s="1393"/>
      <c r="HK33" s="1393"/>
      <c r="HL33" s="1393"/>
      <c r="HM33" s="1393"/>
      <c r="HN33" s="1393"/>
      <c r="HO33" s="1393"/>
      <c r="HP33" s="1393"/>
      <c r="HQ33" s="1396"/>
      <c r="HR33" s="1393"/>
      <c r="HS33" s="1393"/>
      <c r="HT33" s="1393"/>
      <c r="HU33" s="1393"/>
      <c r="HV33" s="1393"/>
      <c r="HW33" s="1395"/>
      <c r="HX33" s="1395"/>
      <c r="HY33" s="1395"/>
      <c r="HZ33" s="1395"/>
      <c r="IA33" s="1395"/>
      <c r="IB33" s="1395"/>
      <c r="IC33" s="1395"/>
      <c r="ID33" s="1395"/>
      <c r="IE33" s="1395"/>
      <c r="IF33" s="1397"/>
    </row>
    <row r="34" spans="1:240" ht="12.6" customHeight="1" x14ac:dyDescent="0.25">
      <c r="A34" s="1215" t="str">
        <f t="shared" si="1"/>
        <v/>
      </c>
      <c r="B34" s="1709" t="str">
        <f t="shared" si="2"/>
        <v/>
      </c>
      <c r="C34" s="1216" t="str">
        <f t="shared" si="3"/>
        <v/>
      </c>
      <c r="D34" s="1217" t="str">
        <f t="shared" si="95"/>
        <v/>
      </c>
      <c r="E34" s="1767" t="str">
        <f t="shared" si="96"/>
        <v/>
      </c>
      <c r="F34" s="1220" t="str">
        <f t="shared" si="97"/>
        <v/>
      </c>
      <c r="G34" s="1221" t="str">
        <f t="shared" si="98"/>
        <v/>
      </c>
      <c r="H34" s="1768" t="str">
        <f t="shared" si="99"/>
        <v/>
      </c>
      <c r="I34" s="1217" t="str">
        <f t="shared" si="100"/>
        <v/>
      </c>
      <c r="J34" s="1221" t="str">
        <f t="shared" si="101"/>
        <v/>
      </c>
      <c r="K34" s="1769" t="str">
        <f t="shared" si="102"/>
        <v/>
      </c>
      <c r="L34" s="1224" t="str">
        <f t="shared" si="103"/>
        <v/>
      </c>
      <c r="M34" s="1225" t="str">
        <f t="shared" si="104"/>
        <v/>
      </c>
      <c r="N34" s="1220" t="str">
        <f t="shared" si="105"/>
        <v/>
      </c>
      <c r="O34" s="1221" t="str">
        <f t="shared" si="106"/>
        <v/>
      </c>
      <c r="P34" s="1222" t="str">
        <f t="shared" si="107"/>
        <v/>
      </c>
      <c r="Q34" s="1217" t="str">
        <f t="shared" si="108"/>
        <v/>
      </c>
      <c r="R34" s="1221" t="str">
        <f t="shared" si="109"/>
        <v/>
      </c>
      <c r="S34" s="1748" t="str">
        <f t="shared" si="110"/>
        <v/>
      </c>
      <c r="T34" s="1220" t="str">
        <f t="shared" si="111"/>
        <v/>
      </c>
      <c r="U34" s="1221" t="str">
        <f t="shared" si="112"/>
        <v/>
      </c>
      <c r="V34" s="1217" t="str">
        <f t="shared" si="113"/>
        <v/>
      </c>
      <c r="W34" s="1221" t="str">
        <f t="shared" si="114"/>
        <v/>
      </c>
      <c r="X34" s="1745">
        <f t="shared" si="115"/>
        <v>0</v>
      </c>
      <c r="Y34" s="1770" t="str">
        <f t="shared" si="116"/>
        <v/>
      </c>
      <c r="Z34" s="1771" t="str">
        <f t="shared" si="117"/>
        <v/>
      </c>
      <c r="AA34" s="1772" t="str">
        <f t="shared" si="5"/>
        <v/>
      </c>
      <c r="AB34" s="1414"/>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1"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2" t="str">
        <f t="shared" si="18"/>
        <v/>
      </c>
      <c r="AV34" s="830" t="str">
        <f t="shared" si="19"/>
        <v/>
      </c>
      <c r="AW34" s="830" t="str">
        <f t="shared" si="90"/>
        <v/>
      </c>
      <c r="AX34" s="830" t="str">
        <f t="shared" si="94"/>
        <v/>
      </c>
      <c r="AY34" s="464" t="b">
        <f t="shared" si="20"/>
        <v>0</v>
      </c>
      <c r="AZ34" s="856" t="str">
        <f t="shared" si="91"/>
        <v/>
      </c>
      <c r="BA34" s="549"/>
      <c r="BB34" s="672"/>
      <c r="BC34" s="1685"/>
      <c r="BD34" s="733"/>
      <c r="BE34" s="734"/>
      <c r="BF34" s="735"/>
      <c r="BG34" s="672"/>
      <c r="BH34" s="982"/>
      <c r="BI34" s="983"/>
      <c r="BJ34" s="1626"/>
      <c r="BK34" s="982"/>
      <c r="BL34" s="983"/>
      <c r="BM34" s="1570"/>
      <c r="BN34" s="1571"/>
      <c r="BO34" s="1618" t="str">
        <f>IF(ISERROR(CU34),"",IF(CU34="","",IF(VLOOKUP(BG34,SectInfo!$B:$N,10,FALSE)="","","X")))</f>
        <v/>
      </c>
      <c r="BP34" s="1562"/>
      <c r="BQ34" s="1563" t="str">
        <f t="shared" si="21"/>
        <v/>
      </c>
      <c r="BR34" s="1564"/>
      <c r="BS34" s="672"/>
      <c r="BT34" s="982"/>
      <c r="BU34" s="983"/>
      <c r="BV34" s="1626"/>
      <c r="BW34" s="982"/>
      <c r="BX34" s="983"/>
      <c r="BY34" s="1570"/>
      <c r="BZ34" s="1571"/>
      <c r="CA34" s="1618" t="str">
        <f>IF(ISERROR(DE34),"",IF(DE34="","",IF(VLOOKUP(BS34,SectInfo!$B:$N,10,FALSE)="","","X")))</f>
        <v/>
      </c>
      <c r="CB34" s="1562"/>
      <c r="CC34" s="1563" t="str">
        <f t="shared" si="22"/>
        <v/>
      </c>
      <c r="CD34" s="1564"/>
      <c r="CE34" s="1575"/>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4" t="str">
        <f t="shared" si="50"/>
        <v/>
      </c>
      <c r="EF34" s="822" t="str">
        <f t="shared" si="121"/>
        <v/>
      </c>
      <c r="EG34" s="822" t="str">
        <f t="shared" si="122"/>
        <v/>
      </c>
      <c r="EH34" s="856" t="e">
        <f t="shared" si="51"/>
        <v>#N/A</v>
      </c>
      <c r="EI34" s="856" t="e">
        <f t="shared" si="52"/>
        <v>#N/A</v>
      </c>
      <c r="EJ34" s="822" t="str">
        <f t="shared" si="123"/>
        <v/>
      </c>
      <c r="EK34" s="822" t="str">
        <f t="shared" si="124"/>
        <v/>
      </c>
      <c r="EL34" s="1294"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599" t="str">
        <f t="shared" si="82"/>
        <v/>
      </c>
      <c r="GB34" s="619" t="str">
        <f t="shared" si="83"/>
        <v/>
      </c>
      <c r="GC34" s="621" t="str">
        <f t="shared" si="84"/>
        <v/>
      </c>
      <c r="GD34" s="622" t="str">
        <f t="shared" si="85"/>
        <v/>
      </c>
      <c r="GE34" s="620" t="str">
        <f t="shared" si="86"/>
        <v/>
      </c>
      <c r="GF34" s="600" t="str">
        <f t="shared" si="87"/>
        <v/>
      </c>
      <c r="GG34" s="1131"/>
      <c r="GH34" s="1132"/>
      <c r="GI34" s="1131"/>
      <c r="GJ34" s="1132"/>
      <c r="GK34" s="1637">
        <f t="shared" si="88"/>
        <v>0</v>
      </c>
      <c r="GL34" s="1637" t="e">
        <f t="shared" si="89"/>
        <v>#VALUE!</v>
      </c>
      <c r="GM34" s="1638" t="e">
        <f>IF(ABS(GK34-GL34)&gt;='Job Info.'!$L$22,ABS(GK34-GL34),0)</f>
        <v>#VALUE!</v>
      </c>
      <c r="GZ34" s="415"/>
      <c r="HA34" s="1392"/>
      <c r="HB34" s="1393"/>
      <c r="HC34" s="1393"/>
      <c r="HD34" s="1394"/>
      <c r="HE34" s="1395"/>
      <c r="HF34" s="1393"/>
      <c r="HG34" s="1393"/>
      <c r="HH34" s="1393"/>
      <c r="HI34" s="1396"/>
      <c r="HJ34" s="1393"/>
      <c r="HK34" s="1393"/>
      <c r="HL34" s="1393"/>
      <c r="HM34" s="1393"/>
      <c r="HN34" s="1393"/>
      <c r="HO34" s="1393"/>
      <c r="HP34" s="1393"/>
      <c r="HQ34" s="1396"/>
      <c r="HR34" s="1393"/>
      <c r="HS34" s="1393"/>
      <c r="HT34" s="1393"/>
      <c r="HU34" s="1393"/>
      <c r="HV34" s="1393"/>
      <c r="HW34" s="1395"/>
      <c r="HX34" s="1395"/>
      <c r="HY34" s="1395"/>
      <c r="HZ34" s="1395"/>
      <c r="IA34" s="1395"/>
      <c r="IB34" s="1395"/>
      <c r="IC34" s="1395"/>
      <c r="ID34" s="1395"/>
      <c r="IE34" s="1395"/>
      <c r="IF34" s="1397"/>
    </row>
    <row r="35" spans="1:240" ht="12.6" customHeight="1" x14ac:dyDescent="0.25">
      <c r="A35" s="1215" t="str">
        <f t="shared" si="1"/>
        <v/>
      </c>
      <c r="B35" s="1709" t="str">
        <f t="shared" si="2"/>
        <v/>
      </c>
      <c r="C35" s="1216" t="str">
        <f t="shared" si="3"/>
        <v/>
      </c>
      <c r="D35" s="1217" t="str">
        <f t="shared" si="95"/>
        <v/>
      </c>
      <c r="E35" s="1767" t="str">
        <f t="shared" si="96"/>
        <v/>
      </c>
      <c r="F35" s="1220" t="str">
        <f t="shared" si="97"/>
        <v/>
      </c>
      <c r="G35" s="1221" t="str">
        <f t="shared" si="98"/>
        <v/>
      </c>
      <c r="H35" s="1768" t="str">
        <f t="shared" si="99"/>
        <v/>
      </c>
      <c r="I35" s="1217" t="str">
        <f t="shared" si="100"/>
        <v/>
      </c>
      <c r="J35" s="1221" t="str">
        <f t="shared" si="101"/>
        <v/>
      </c>
      <c r="K35" s="1769" t="str">
        <f t="shared" si="102"/>
        <v/>
      </c>
      <c r="L35" s="1224" t="str">
        <f t="shared" si="103"/>
        <v/>
      </c>
      <c r="M35" s="1225" t="str">
        <f t="shared" si="104"/>
        <v/>
      </c>
      <c r="N35" s="1220" t="str">
        <f t="shared" si="105"/>
        <v/>
      </c>
      <c r="O35" s="1221" t="str">
        <f t="shared" si="106"/>
        <v/>
      </c>
      <c r="P35" s="1222" t="str">
        <f t="shared" si="107"/>
        <v/>
      </c>
      <c r="Q35" s="1217" t="str">
        <f t="shared" si="108"/>
        <v/>
      </c>
      <c r="R35" s="1221" t="str">
        <f t="shared" si="109"/>
        <v/>
      </c>
      <c r="S35" s="1748" t="str">
        <f t="shared" si="110"/>
        <v/>
      </c>
      <c r="T35" s="1220" t="str">
        <f t="shared" si="111"/>
        <v/>
      </c>
      <c r="U35" s="1221" t="str">
        <f t="shared" si="112"/>
        <v/>
      </c>
      <c r="V35" s="1217" t="str">
        <f t="shared" si="113"/>
        <v/>
      </c>
      <c r="W35" s="1221" t="str">
        <f t="shared" si="114"/>
        <v/>
      </c>
      <c r="X35" s="1745">
        <f t="shared" si="115"/>
        <v>0</v>
      </c>
      <c r="Y35" s="1770" t="str">
        <f t="shared" si="116"/>
        <v/>
      </c>
      <c r="Z35" s="1771" t="str">
        <f t="shared" si="117"/>
        <v/>
      </c>
      <c r="AA35" s="1772" t="str">
        <f t="shared" si="5"/>
        <v/>
      </c>
      <c r="AB35" s="1414"/>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1"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2" t="str">
        <f t="shared" si="18"/>
        <v/>
      </c>
      <c r="AV35" s="830" t="str">
        <f t="shared" si="19"/>
        <v/>
      </c>
      <c r="AW35" s="830" t="str">
        <f t="shared" si="90"/>
        <v/>
      </c>
      <c r="AX35" s="830" t="str">
        <f t="shared" si="94"/>
        <v/>
      </c>
      <c r="AY35" s="464" t="b">
        <f t="shared" si="20"/>
        <v>0</v>
      </c>
      <c r="AZ35" s="856" t="str">
        <f t="shared" si="91"/>
        <v/>
      </c>
      <c r="BA35" s="549"/>
      <c r="BB35" s="672"/>
      <c r="BC35" s="1685"/>
      <c r="BD35" s="733"/>
      <c r="BE35" s="734"/>
      <c r="BF35" s="735"/>
      <c r="BG35" s="672"/>
      <c r="BH35" s="982"/>
      <c r="BI35" s="983"/>
      <c r="BJ35" s="1626"/>
      <c r="BK35" s="982"/>
      <c r="BL35" s="983"/>
      <c r="BM35" s="1570"/>
      <c r="BN35" s="1571"/>
      <c r="BO35" s="1618" t="str">
        <f>IF(ISERROR(CU35),"",IF(CU35="","",IF(VLOOKUP(BG35,SectInfo!$B:$N,10,FALSE)="","","X")))</f>
        <v/>
      </c>
      <c r="BP35" s="1562"/>
      <c r="BQ35" s="1563" t="str">
        <f t="shared" si="21"/>
        <v/>
      </c>
      <c r="BR35" s="1564"/>
      <c r="BS35" s="672"/>
      <c r="BT35" s="982"/>
      <c r="BU35" s="983"/>
      <c r="BV35" s="1626"/>
      <c r="BW35" s="982"/>
      <c r="BX35" s="983"/>
      <c r="BY35" s="1570"/>
      <c r="BZ35" s="1571"/>
      <c r="CA35" s="1618" t="str">
        <f>IF(ISERROR(DE35),"",IF(DE35="","",IF(VLOOKUP(BS35,SectInfo!$B:$N,10,FALSE)="","","X")))</f>
        <v/>
      </c>
      <c r="CB35" s="1562"/>
      <c r="CC35" s="1563" t="str">
        <f t="shared" si="22"/>
        <v/>
      </c>
      <c r="CD35" s="1564"/>
      <c r="CE35" s="1575"/>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4" t="str">
        <f t="shared" si="50"/>
        <v/>
      </c>
      <c r="EF35" s="822" t="str">
        <f t="shared" si="121"/>
        <v/>
      </c>
      <c r="EG35" s="822" t="str">
        <f t="shared" si="122"/>
        <v/>
      </c>
      <c r="EH35" s="856" t="e">
        <f t="shared" si="51"/>
        <v>#N/A</v>
      </c>
      <c r="EI35" s="856" t="e">
        <f t="shared" si="52"/>
        <v>#N/A</v>
      </c>
      <c r="EJ35" s="822" t="str">
        <f t="shared" si="123"/>
        <v/>
      </c>
      <c r="EK35" s="822" t="str">
        <f t="shared" si="124"/>
        <v/>
      </c>
      <c r="EL35" s="1294"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599" t="str">
        <f t="shared" si="82"/>
        <v/>
      </c>
      <c r="GB35" s="619" t="str">
        <f t="shared" si="83"/>
        <v/>
      </c>
      <c r="GC35" s="621" t="str">
        <f t="shared" si="84"/>
        <v/>
      </c>
      <c r="GD35" s="622" t="str">
        <f t="shared" si="85"/>
        <v/>
      </c>
      <c r="GE35" s="620" t="str">
        <f t="shared" si="86"/>
        <v/>
      </c>
      <c r="GF35" s="600" t="str">
        <f t="shared" si="87"/>
        <v/>
      </c>
      <c r="GG35" s="1131"/>
      <c r="GH35" s="1132"/>
      <c r="GI35" s="1131"/>
      <c r="GJ35" s="1132"/>
      <c r="GK35" s="1637">
        <f t="shared" si="88"/>
        <v>0</v>
      </c>
      <c r="GL35" s="1637" t="e">
        <f t="shared" si="89"/>
        <v>#VALUE!</v>
      </c>
      <c r="GM35" s="1638" t="e">
        <f>IF(ABS(GK35-GL35)&gt;='Job Info.'!$L$22,ABS(GK35-GL35),0)</f>
        <v>#VALUE!</v>
      </c>
      <c r="GZ35" s="415"/>
      <c r="HA35" s="1392"/>
      <c r="HB35" s="1393"/>
      <c r="HC35" s="1393"/>
      <c r="HD35" s="1394"/>
      <c r="HE35" s="1395"/>
      <c r="HF35" s="1393"/>
      <c r="HG35" s="1393"/>
      <c r="HH35" s="1393"/>
      <c r="HI35" s="1396"/>
      <c r="HJ35" s="1393"/>
      <c r="HK35" s="1393"/>
      <c r="HL35" s="1393"/>
      <c r="HM35" s="1393"/>
      <c r="HN35" s="1393"/>
      <c r="HO35" s="1393"/>
      <c r="HP35" s="1393"/>
      <c r="HQ35" s="1396"/>
      <c r="HR35" s="1393"/>
      <c r="HS35" s="1393"/>
      <c r="HT35" s="1393"/>
      <c r="HU35" s="1393"/>
      <c r="HV35" s="1393"/>
      <c r="HW35" s="1395"/>
      <c r="HX35" s="1395"/>
      <c r="HY35" s="1395"/>
      <c r="HZ35" s="1395"/>
      <c r="IA35" s="1395"/>
      <c r="IB35" s="1395"/>
      <c r="IC35" s="1395"/>
      <c r="ID35" s="1395"/>
      <c r="IE35" s="1395"/>
      <c r="IF35" s="1397"/>
    </row>
    <row r="36" spans="1:240" ht="12.6" customHeight="1" x14ac:dyDescent="0.25">
      <c r="A36" s="1215" t="str">
        <f t="shared" si="1"/>
        <v/>
      </c>
      <c r="B36" s="1709" t="str">
        <f t="shared" si="2"/>
        <v/>
      </c>
      <c r="C36" s="1216" t="str">
        <f t="shared" si="3"/>
        <v/>
      </c>
      <c r="D36" s="1217" t="str">
        <f t="shared" si="95"/>
        <v/>
      </c>
      <c r="E36" s="1767" t="str">
        <f t="shared" si="96"/>
        <v/>
      </c>
      <c r="F36" s="1220" t="str">
        <f t="shared" si="97"/>
        <v/>
      </c>
      <c r="G36" s="1221" t="str">
        <f t="shared" si="98"/>
        <v/>
      </c>
      <c r="H36" s="1768" t="str">
        <f t="shared" si="99"/>
        <v/>
      </c>
      <c r="I36" s="1217" t="str">
        <f t="shared" si="100"/>
        <v/>
      </c>
      <c r="J36" s="1221" t="str">
        <f t="shared" si="101"/>
        <v/>
      </c>
      <c r="K36" s="1769" t="str">
        <f t="shared" si="102"/>
        <v/>
      </c>
      <c r="L36" s="1224" t="str">
        <f t="shared" si="103"/>
        <v/>
      </c>
      <c r="M36" s="1225" t="str">
        <f t="shared" si="104"/>
        <v/>
      </c>
      <c r="N36" s="1220" t="str">
        <f t="shared" si="105"/>
        <v/>
      </c>
      <c r="O36" s="1221" t="str">
        <f t="shared" si="106"/>
        <v/>
      </c>
      <c r="P36" s="1222" t="str">
        <f t="shared" si="107"/>
        <v/>
      </c>
      <c r="Q36" s="1217" t="str">
        <f t="shared" si="108"/>
        <v/>
      </c>
      <c r="R36" s="1221" t="str">
        <f t="shared" si="109"/>
        <v/>
      </c>
      <c r="S36" s="1748" t="str">
        <f t="shared" si="110"/>
        <v/>
      </c>
      <c r="T36" s="1220" t="str">
        <f t="shared" si="111"/>
        <v/>
      </c>
      <c r="U36" s="1221" t="str">
        <f t="shared" si="112"/>
        <v/>
      </c>
      <c r="V36" s="1217" t="str">
        <f t="shared" si="113"/>
        <v/>
      </c>
      <c r="W36" s="1221" t="str">
        <f t="shared" si="114"/>
        <v/>
      </c>
      <c r="X36" s="1745">
        <f t="shared" si="115"/>
        <v>0</v>
      </c>
      <c r="Y36" s="1770" t="str">
        <f t="shared" si="116"/>
        <v/>
      </c>
      <c r="Z36" s="1771" t="str">
        <f t="shared" si="117"/>
        <v/>
      </c>
      <c r="AA36" s="1772" t="str">
        <f t="shared" si="5"/>
        <v/>
      </c>
      <c r="AB36" s="1414"/>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1"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2" t="str">
        <f t="shared" si="18"/>
        <v/>
      </c>
      <c r="AV36" s="830" t="str">
        <f t="shared" si="19"/>
        <v/>
      </c>
      <c r="AW36" s="830" t="str">
        <f t="shared" si="90"/>
        <v/>
      </c>
      <c r="AX36" s="830" t="str">
        <f t="shared" si="94"/>
        <v/>
      </c>
      <c r="AY36" s="464" t="b">
        <f t="shared" si="20"/>
        <v>0</v>
      </c>
      <c r="AZ36" s="856" t="str">
        <f t="shared" si="91"/>
        <v/>
      </c>
      <c r="BA36" s="549"/>
      <c r="BB36" s="672"/>
      <c r="BC36" s="1685"/>
      <c r="BD36" s="733"/>
      <c r="BE36" s="734"/>
      <c r="BF36" s="735"/>
      <c r="BG36" s="672"/>
      <c r="BH36" s="982"/>
      <c r="BI36" s="983"/>
      <c r="BJ36" s="1626"/>
      <c r="BK36" s="982"/>
      <c r="BL36" s="983"/>
      <c r="BM36" s="1570"/>
      <c r="BN36" s="1571"/>
      <c r="BO36" s="1618" t="str">
        <f>IF(ISERROR(CU36),"",IF(CU36="","",IF(VLOOKUP(BG36,SectInfo!$B:$N,10,FALSE)="","","X")))</f>
        <v/>
      </c>
      <c r="BP36" s="1562"/>
      <c r="BQ36" s="1563" t="str">
        <f t="shared" si="21"/>
        <v/>
      </c>
      <c r="BR36" s="1564"/>
      <c r="BS36" s="672"/>
      <c r="BT36" s="982"/>
      <c r="BU36" s="983"/>
      <c r="BV36" s="1626"/>
      <c r="BW36" s="982"/>
      <c r="BX36" s="983"/>
      <c r="BY36" s="1570"/>
      <c r="BZ36" s="1571"/>
      <c r="CA36" s="1618" t="str">
        <f>IF(ISERROR(DE36),"",IF(DE36="","",IF(VLOOKUP(BS36,SectInfo!$B:$N,10,FALSE)="","","X")))</f>
        <v/>
      </c>
      <c r="CB36" s="1562"/>
      <c r="CC36" s="1563" t="str">
        <f t="shared" si="22"/>
        <v/>
      </c>
      <c r="CD36" s="1564"/>
      <c r="CE36" s="1575"/>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4" t="str">
        <f t="shared" si="50"/>
        <v/>
      </c>
      <c r="EF36" s="822" t="str">
        <f t="shared" si="121"/>
        <v/>
      </c>
      <c r="EG36" s="822" t="str">
        <f t="shared" si="122"/>
        <v/>
      </c>
      <c r="EH36" s="856" t="e">
        <f t="shared" si="51"/>
        <v>#N/A</v>
      </c>
      <c r="EI36" s="856" t="e">
        <f t="shared" si="52"/>
        <v>#N/A</v>
      </c>
      <c r="EJ36" s="822" t="str">
        <f t="shared" si="123"/>
        <v/>
      </c>
      <c r="EK36" s="822" t="str">
        <f t="shared" si="124"/>
        <v/>
      </c>
      <c r="EL36" s="1294"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599" t="str">
        <f t="shared" si="82"/>
        <v/>
      </c>
      <c r="GB36" s="619" t="str">
        <f t="shared" si="83"/>
        <v/>
      </c>
      <c r="GC36" s="621" t="str">
        <f t="shared" si="84"/>
        <v/>
      </c>
      <c r="GD36" s="622" t="str">
        <f t="shared" si="85"/>
        <v/>
      </c>
      <c r="GE36" s="620" t="str">
        <f t="shared" si="86"/>
        <v/>
      </c>
      <c r="GF36" s="600" t="str">
        <f t="shared" si="87"/>
        <v/>
      </c>
      <c r="GG36" s="1131"/>
      <c r="GH36" s="1132"/>
      <c r="GI36" s="1131"/>
      <c r="GJ36" s="1132"/>
      <c r="GK36" s="1637">
        <f t="shared" si="88"/>
        <v>0</v>
      </c>
      <c r="GL36" s="1637" t="e">
        <f t="shared" si="89"/>
        <v>#VALUE!</v>
      </c>
      <c r="GM36" s="1638" t="e">
        <f>IF(ABS(GK36-GL36)&gt;='Job Info.'!$L$22,ABS(GK36-GL36),0)</f>
        <v>#VALUE!</v>
      </c>
      <c r="GZ36" s="415"/>
      <c r="HA36" s="1392"/>
      <c r="HB36" s="1393"/>
      <c r="HC36" s="1393"/>
      <c r="HD36" s="1394"/>
      <c r="HE36" s="1395"/>
      <c r="HF36" s="1393"/>
      <c r="HG36" s="1393"/>
      <c r="HH36" s="1393"/>
      <c r="HI36" s="1396"/>
      <c r="HJ36" s="1393"/>
      <c r="HK36" s="1393"/>
      <c r="HL36" s="1393"/>
      <c r="HM36" s="1393"/>
      <c r="HN36" s="1393"/>
      <c r="HO36" s="1393"/>
      <c r="HP36" s="1393"/>
      <c r="HQ36" s="1396"/>
      <c r="HR36" s="1393"/>
      <c r="HS36" s="1393"/>
      <c r="HT36" s="1393"/>
      <c r="HU36" s="1393"/>
      <c r="HV36" s="1393"/>
      <c r="HW36" s="1395"/>
      <c r="HX36" s="1395"/>
      <c r="HY36" s="1395"/>
      <c r="HZ36" s="1395"/>
      <c r="IA36" s="1395"/>
      <c r="IB36" s="1395"/>
      <c r="IC36" s="1395"/>
      <c r="ID36" s="1395"/>
      <c r="IE36" s="1395"/>
      <c r="IF36" s="1397"/>
    </row>
    <row r="37" spans="1:240" ht="12.6" customHeight="1" x14ac:dyDescent="0.25">
      <c r="A37" s="1215" t="str">
        <f t="shared" si="1"/>
        <v/>
      </c>
      <c r="B37" s="1709" t="str">
        <f t="shared" si="2"/>
        <v/>
      </c>
      <c r="C37" s="1216" t="str">
        <f t="shared" si="3"/>
        <v/>
      </c>
      <c r="D37" s="1217" t="str">
        <f t="shared" si="95"/>
        <v/>
      </c>
      <c r="E37" s="1767" t="str">
        <f t="shared" si="96"/>
        <v/>
      </c>
      <c r="F37" s="1220" t="str">
        <f t="shared" si="97"/>
        <v/>
      </c>
      <c r="G37" s="1221" t="str">
        <f t="shared" si="98"/>
        <v/>
      </c>
      <c r="H37" s="1768" t="str">
        <f t="shared" si="99"/>
        <v/>
      </c>
      <c r="I37" s="1217" t="str">
        <f t="shared" si="100"/>
        <v/>
      </c>
      <c r="J37" s="1221" t="str">
        <f t="shared" si="101"/>
        <v/>
      </c>
      <c r="K37" s="1769" t="str">
        <f t="shared" si="102"/>
        <v/>
      </c>
      <c r="L37" s="1224" t="str">
        <f t="shared" si="103"/>
        <v/>
      </c>
      <c r="M37" s="1225" t="str">
        <f t="shared" si="104"/>
        <v/>
      </c>
      <c r="N37" s="1220" t="str">
        <f t="shared" si="105"/>
        <v/>
      </c>
      <c r="O37" s="1221" t="str">
        <f t="shared" si="106"/>
        <v/>
      </c>
      <c r="P37" s="1222" t="str">
        <f t="shared" si="107"/>
        <v/>
      </c>
      <c r="Q37" s="1217" t="str">
        <f t="shared" si="108"/>
        <v/>
      </c>
      <c r="R37" s="1221" t="str">
        <f t="shared" si="109"/>
        <v/>
      </c>
      <c r="S37" s="1748" t="str">
        <f t="shared" si="110"/>
        <v/>
      </c>
      <c r="T37" s="1220" t="str">
        <f t="shared" si="111"/>
        <v/>
      </c>
      <c r="U37" s="1221" t="str">
        <f t="shared" si="112"/>
        <v/>
      </c>
      <c r="V37" s="1217" t="str">
        <f t="shared" si="113"/>
        <v/>
      </c>
      <c r="W37" s="1221" t="str">
        <f t="shared" si="114"/>
        <v/>
      </c>
      <c r="X37" s="1745">
        <f t="shared" si="115"/>
        <v>0</v>
      </c>
      <c r="Y37" s="1770" t="str">
        <f t="shared" si="116"/>
        <v/>
      </c>
      <c r="Z37" s="1771" t="str">
        <f t="shared" si="117"/>
        <v/>
      </c>
      <c r="AA37" s="1772" t="str">
        <f t="shared" si="5"/>
        <v/>
      </c>
      <c r="AB37" s="1414"/>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1"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2" t="str">
        <f t="shared" si="18"/>
        <v/>
      </c>
      <c r="AV37" s="830" t="str">
        <f t="shared" si="19"/>
        <v/>
      </c>
      <c r="AW37" s="830" t="str">
        <f t="shared" si="90"/>
        <v/>
      </c>
      <c r="AX37" s="830" t="str">
        <f t="shared" si="94"/>
        <v/>
      </c>
      <c r="AY37" s="464" t="b">
        <f t="shared" si="20"/>
        <v>0</v>
      </c>
      <c r="AZ37" s="856" t="str">
        <f t="shared" si="91"/>
        <v/>
      </c>
      <c r="BA37" s="549"/>
      <c r="BB37" s="672"/>
      <c r="BC37" s="1685"/>
      <c r="BD37" s="733"/>
      <c r="BE37" s="734"/>
      <c r="BF37" s="735"/>
      <c r="BG37" s="672"/>
      <c r="BH37" s="982"/>
      <c r="BI37" s="983"/>
      <c r="BJ37" s="1626"/>
      <c r="BK37" s="982"/>
      <c r="BL37" s="983"/>
      <c r="BM37" s="1570"/>
      <c r="BN37" s="1571"/>
      <c r="BO37" s="1618" t="str">
        <f>IF(ISERROR(CU37),"",IF(CU37="","",IF(VLOOKUP(BG37,SectInfo!$B:$N,10,FALSE)="","","X")))</f>
        <v/>
      </c>
      <c r="BP37" s="1562"/>
      <c r="BQ37" s="1563" t="str">
        <f t="shared" si="21"/>
        <v/>
      </c>
      <c r="BR37" s="1564"/>
      <c r="BS37" s="672"/>
      <c r="BT37" s="982"/>
      <c r="BU37" s="983"/>
      <c r="BV37" s="1626"/>
      <c r="BW37" s="982"/>
      <c r="BX37" s="983"/>
      <c r="BY37" s="1570"/>
      <c r="BZ37" s="1571"/>
      <c r="CA37" s="1618" t="str">
        <f>IF(ISERROR(DE37),"",IF(DE37="","",IF(VLOOKUP(BS37,SectInfo!$B:$N,10,FALSE)="","","X")))</f>
        <v/>
      </c>
      <c r="CB37" s="1562"/>
      <c r="CC37" s="1563" t="str">
        <f t="shared" si="22"/>
        <v/>
      </c>
      <c r="CD37" s="1564"/>
      <c r="CE37" s="1575"/>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4" t="str">
        <f t="shared" si="50"/>
        <v/>
      </c>
      <c r="EF37" s="822" t="str">
        <f t="shared" si="121"/>
        <v/>
      </c>
      <c r="EG37" s="822" t="str">
        <f t="shared" si="122"/>
        <v/>
      </c>
      <c r="EH37" s="856" t="e">
        <f t="shared" si="51"/>
        <v>#N/A</v>
      </c>
      <c r="EI37" s="856" t="e">
        <f t="shared" si="52"/>
        <v>#N/A</v>
      </c>
      <c r="EJ37" s="822" t="str">
        <f t="shared" si="123"/>
        <v/>
      </c>
      <c r="EK37" s="822" t="str">
        <f t="shared" si="124"/>
        <v/>
      </c>
      <c r="EL37" s="1294"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599" t="str">
        <f t="shared" si="82"/>
        <v/>
      </c>
      <c r="GB37" s="619" t="str">
        <f t="shared" si="83"/>
        <v/>
      </c>
      <c r="GC37" s="621" t="str">
        <f t="shared" si="84"/>
        <v/>
      </c>
      <c r="GD37" s="622" t="str">
        <f t="shared" si="85"/>
        <v/>
      </c>
      <c r="GE37" s="620" t="str">
        <f t="shared" si="86"/>
        <v/>
      </c>
      <c r="GF37" s="600" t="str">
        <f t="shared" si="87"/>
        <v/>
      </c>
      <c r="GG37" s="1131"/>
      <c r="GH37" s="1132"/>
      <c r="GI37" s="1131"/>
      <c r="GJ37" s="1132"/>
      <c r="GK37" s="1637">
        <f t="shared" si="88"/>
        <v>0</v>
      </c>
      <c r="GL37" s="1637" t="e">
        <f t="shared" si="89"/>
        <v>#VALUE!</v>
      </c>
      <c r="GM37" s="1638" t="e">
        <f>IF(ABS(GK37-GL37)&gt;='Job Info.'!$L$22,ABS(GK37-GL37),0)</f>
        <v>#VALUE!</v>
      </c>
      <c r="GZ37" s="415"/>
      <c r="HA37" s="1392"/>
      <c r="HB37" s="1393"/>
      <c r="HC37" s="1393"/>
      <c r="HD37" s="1394"/>
      <c r="HE37" s="1395"/>
      <c r="HF37" s="1393"/>
      <c r="HG37" s="1393"/>
      <c r="HH37" s="1393"/>
      <c r="HI37" s="1396"/>
      <c r="HJ37" s="1393"/>
      <c r="HK37" s="1393"/>
      <c r="HL37" s="1393"/>
      <c r="HM37" s="1393"/>
      <c r="HN37" s="1393"/>
      <c r="HO37" s="1393"/>
      <c r="HP37" s="1393"/>
      <c r="HQ37" s="1396"/>
      <c r="HR37" s="1393"/>
      <c r="HS37" s="1393"/>
      <c r="HT37" s="1393"/>
      <c r="HU37" s="1393"/>
      <c r="HV37" s="1393"/>
      <c r="HW37" s="1395"/>
      <c r="HX37" s="1395"/>
      <c r="HY37" s="1395"/>
      <c r="HZ37" s="1395"/>
      <c r="IA37" s="1395"/>
      <c r="IB37" s="1395"/>
      <c r="IC37" s="1395"/>
      <c r="ID37" s="1395"/>
      <c r="IE37" s="1395"/>
      <c r="IF37" s="1397"/>
    </row>
    <row r="38" spans="1:240" ht="12.6" customHeight="1" x14ac:dyDescent="0.25">
      <c r="A38" s="1215" t="str">
        <f t="shared" si="1"/>
        <v/>
      </c>
      <c r="B38" s="1709" t="str">
        <f t="shared" si="2"/>
        <v/>
      </c>
      <c r="C38" s="1216" t="str">
        <f t="shared" si="3"/>
        <v/>
      </c>
      <c r="D38" s="1217" t="str">
        <f t="shared" si="95"/>
        <v/>
      </c>
      <c r="E38" s="1767" t="str">
        <f t="shared" si="96"/>
        <v/>
      </c>
      <c r="F38" s="1220" t="str">
        <f t="shared" si="97"/>
        <v/>
      </c>
      <c r="G38" s="1221" t="str">
        <f t="shared" si="98"/>
        <v/>
      </c>
      <c r="H38" s="1768" t="str">
        <f t="shared" si="99"/>
        <v/>
      </c>
      <c r="I38" s="1217" t="str">
        <f t="shared" si="100"/>
        <v/>
      </c>
      <c r="J38" s="1221" t="str">
        <f t="shared" si="101"/>
        <v/>
      </c>
      <c r="K38" s="1769" t="str">
        <f t="shared" si="102"/>
        <v/>
      </c>
      <c r="L38" s="1224" t="str">
        <f t="shared" si="103"/>
        <v/>
      </c>
      <c r="M38" s="1225" t="str">
        <f t="shared" si="104"/>
        <v/>
      </c>
      <c r="N38" s="1220" t="str">
        <f t="shared" si="105"/>
        <v/>
      </c>
      <c r="O38" s="1221" t="str">
        <f t="shared" si="106"/>
        <v/>
      </c>
      <c r="P38" s="1222" t="str">
        <f t="shared" si="107"/>
        <v/>
      </c>
      <c r="Q38" s="1217" t="str">
        <f t="shared" si="108"/>
        <v/>
      </c>
      <c r="R38" s="1221" t="str">
        <f t="shared" si="109"/>
        <v/>
      </c>
      <c r="S38" s="1748" t="str">
        <f t="shared" si="110"/>
        <v/>
      </c>
      <c r="T38" s="1220" t="str">
        <f t="shared" si="111"/>
        <v/>
      </c>
      <c r="U38" s="1221" t="str">
        <f t="shared" si="112"/>
        <v/>
      </c>
      <c r="V38" s="1217" t="str">
        <f t="shared" si="113"/>
        <v/>
      </c>
      <c r="W38" s="1221" t="str">
        <f t="shared" si="114"/>
        <v/>
      </c>
      <c r="X38" s="1745">
        <f t="shared" si="115"/>
        <v>0</v>
      </c>
      <c r="Y38" s="1770" t="str">
        <f t="shared" si="116"/>
        <v/>
      </c>
      <c r="Z38" s="1771" t="str">
        <f t="shared" si="117"/>
        <v/>
      </c>
      <c r="AA38" s="1772" t="str">
        <f t="shared" si="5"/>
        <v/>
      </c>
      <c r="AB38" s="1414"/>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1"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2" t="str">
        <f t="shared" si="18"/>
        <v/>
      </c>
      <c r="AV38" s="830" t="str">
        <f t="shared" si="19"/>
        <v/>
      </c>
      <c r="AW38" s="830" t="str">
        <f t="shared" si="90"/>
        <v/>
      </c>
      <c r="AX38" s="830" t="str">
        <f t="shared" si="94"/>
        <v/>
      </c>
      <c r="AY38" s="464" t="b">
        <f t="shared" si="20"/>
        <v>0</v>
      </c>
      <c r="AZ38" s="856" t="str">
        <f t="shared" si="91"/>
        <v/>
      </c>
      <c r="BA38" s="549"/>
      <c r="BB38" s="672"/>
      <c r="BC38" s="1685"/>
      <c r="BD38" s="733"/>
      <c r="BE38" s="734"/>
      <c r="BF38" s="735"/>
      <c r="BG38" s="672"/>
      <c r="BH38" s="982"/>
      <c r="BI38" s="983"/>
      <c r="BJ38" s="1626"/>
      <c r="BK38" s="982"/>
      <c r="BL38" s="983"/>
      <c r="BM38" s="1570"/>
      <c r="BN38" s="1571"/>
      <c r="BO38" s="1618" t="str">
        <f>IF(ISERROR(CU38),"",IF(CU38="","",IF(VLOOKUP(BG38,SectInfo!$B:$N,10,FALSE)="","","X")))</f>
        <v/>
      </c>
      <c r="BP38" s="1562"/>
      <c r="BQ38" s="1563" t="str">
        <f t="shared" si="21"/>
        <v/>
      </c>
      <c r="BR38" s="1564"/>
      <c r="BS38" s="672"/>
      <c r="BT38" s="982"/>
      <c r="BU38" s="983"/>
      <c r="BV38" s="1626"/>
      <c r="BW38" s="982"/>
      <c r="BX38" s="983"/>
      <c r="BY38" s="1570"/>
      <c r="BZ38" s="1571"/>
      <c r="CA38" s="1618" t="str">
        <f>IF(ISERROR(DE38),"",IF(DE38="","",IF(VLOOKUP(BS38,SectInfo!$B:$N,10,FALSE)="","","X")))</f>
        <v/>
      </c>
      <c r="CB38" s="1562"/>
      <c r="CC38" s="1563" t="str">
        <f t="shared" si="22"/>
        <v/>
      </c>
      <c r="CD38" s="1564"/>
      <c r="CE38" s="1575"/>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4" t="str">
        <f t="shared" si="50"/>
        <v/>
      </c>
      <c r="EF38" s="822" t="str">
        <f t="shared" si="121"/>
        <v/>
      </c>
      <c r="EG38" s="822" t="str">
        <f t="shared" si="122"/>
        <v/>
      </c>
      <c r="EH38" s="856" t="e">
        <f t="shared" si="51"/>
        <v>#N/A</v>
      </c>
      <c r="EI38" s="856" t="e">
        <f t="shared" si="52"/>
        <v>#N/A</v>
      </c>
      <c r="EJ38" s="822" t="str">
        <f t="shared" si="123"/>
        <v/>
      </c>
      <c r="EK38" s="822" t="str">
        <f t="shared" si="124"/>
        <v/>
      </c>
      <c r="EL38" s="1294"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599" t="str">
        <f t="shared" si="82"/>
        <v/>
      </c>
      <c r="GB38" s="619" t="str">
        <f t="shared" si="83"/>
        <v/>
      </c>
      <c r="GC38" s="621" t="str">
        <f t="shared" si="84"/>
        <v/>
      </c>
      <c r="GD38" s="622" t="str">
        <f t="shared" si="85"/>
        <v/>
      </c>
      <c r="GE38" s="620" t="str">
        <f t="shared" si="86"/>
        <v/>
      </c>
      <c r="GF38" s="600" t="str">
        <f t="shared" si="87"/>
        <v/>
      </c>
      <c r="GG38" s="1131"/>
      <c r="GH38" s="1132"/>
      <c r="GI38" s="1131"/>
      <c r="GJ38" s="1132"/>
      <c r="GK38" s="1637">
        <f t="shared" si="88"/>
        <v>0</v>
      </c>
      <c r="GL38" s="1637" t="e">
        <f t="shared" si="89"/>
        <v>#VALUE!</v>
      </c>
      <c r="GM38" s="1638" t="e">
        <f>IF(ABS(GK38-GL38)&gt;='Job Info.'!$L$22,ABS(GK38-GL38),0)</f>
        <v>#VALUE!</v>
      </c>
      <c r="GZ38" s="415"/>
      <c r="HA38" s="1392"/>
      <c r="HB38" s="1393"/>
      <c r="HC38" s="1393"/>
      <c r="HD38" s="1394"/>
      <c r="HE38" s="1395"/>
      <c r="HF38" s="1393"/>
      <c r="HG38" s="1393"/>
      <c r="HH38" s="1393"/>
      <c r="HI38" s="1396"/>
      <c r="HJ38" s="1393"/>
      <c r="HK38" s="1393"/>
      <c r="HL38" s="1393"/>
      <c r="HM38" s="1393"/>
      <c r="HN38" s="1393"/>
      <c r="HO38" s="1393"/>
      <c r="HP38" s="1393"/>
      <c r="HQ38" s="1396"/>
      <c r="HR38" s="1393"/>
      <c r="HS38" s="1393"/>
      <c r="HT38" s="1393"/>
      <c r="HU38" s="1393"/>
      <c r="HV38" s="1393"/>
      <c r="HW38" s="1395"/>
      <c r="HX38" s="1395"/>
      <c r="HY38" s="1395"/>
      <c r="HZ38" s="1395"/>
      <c r="IA38" s="1395"/>
      <c r="IB38" s="1395"/>
      <c r="IC38" s="1395"/>
      <c r="ID38" s="1395"/>
      <c r="IE38" s="1395"/>
      <c r="IF38" s="1397"/>
    </row>
    <row r="39" spans="1:240" ht="12.6" customHeight="1" x14ac:dyDescent="0.25">
      <c r="A39" s="1215" t="str">
        <f t="shared" si="1"/>
        <v/>
      </c>
      <c r="B39" s="1709" t="str">
        <f t="shared" si="2"/>
        <v/>
      </c>
      <c r="C39" s="1216" t="str">
        <f t="shared" si="3"/>
        <v/>
      </c>
      <c r="D39" s="1217" t="str">
        <f t="shared" si="95"/>
        <v/>
      </c>
      <c r="E39" s="1767" t="str">
        <f t="shared" si="96"/>
        <v/>
      </c>
      <c r="F39" s="1220" t="str">
        <f t="shared" si="97"/>
        <v/>
      </c>
      <c r="G39" s="1221" t="str">
        <f t="shared" si="98"/>
        <v/>
      </c>
      <c r="H39" s="1768" t="str">
        <f t="shared" si="99"/>
        <v/>
      </c>
      <c r="I39" s="1217" t="str">
        <f t="shared" si="100"/>
        <v/>
      </c>
      <c r="J39" s="1221" t="str">
        <f t="shared" si="101"/>
        <v/>
      </c>
      <c r="K39" s="1769" t="str">
        <f t="shared" si="102"/>
        <v/>
      </c>
      <c r="L39" s="1224" t="str">
        <f t="shared" si="103"/>
        <v/>
      </c>
      <c r="M39" s="1225" t="str">
        <f t="shared" si="104"/>
        <v/>
      </c>
      <c r="N39" s="1220" t="str">
        <f t="shared" si="105"/>
        <v/>
      </c>
      <c r="O39" s="1221" t="str">
        <f t="shared" si="106"/>
        <v/>
      </c>
      <c r="P39" s="1222" t="str">
        <f t="shared" si="107"/>
        <v/>
      </c>
      <c r="Q39" s="1217" t="str">
        <f t="shared" si="108"/>
        <v/>
      </c>
      <c r="R39" s="1221" t="str">
        <f t="shared" si="109"/>
        <v/>
      </c>
      <c r="S39" s="1748" t="str">
        <f t="shared" si="110"/>
        <v/>
      </c>
      <c r="T39" s="1220" t="str">
        <f t="shared" si="111"/>
        <v/>
      </c>
      <c r="U39" s="1221" t="str">
        <f t="shared" si="112"/>
        <v/>
      </c>
      <c r="V39" s="1217" t="str">
        <f t="shared" si="113"/>
        <v/>
      </c>
      <c r="W39" s="1221" t="str">
        <f t="shared" si="114"/>
        <v/>
      </c>
      <c r="X39" s="1745">
        <f t="shared" si="115"/>
        <v>0</v>
      </c>
      <c r="Y39" s="1770" t="str">
        <f t="shared" si="116"/>
        <v/>
      </c>
      <c r="Z39" s="1771" t="str">
        <f t="shared" si="117"/>
        <v/>
      </c>
      <c r="AA39" s="1772" t="str">
        <f t="shared" si="5"/>
        <v/>
      </c>
      <c r="AB39" s="1414"/>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1"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2" t="str">
        <f t="shared" si="18"/>
        <v/>
      </c>
      <c r="AV39" s="830" t="str">
        <f t="shared" si="19"/>
        <v/>
      </c>
      <c r="AW39" s="830" t="str">
        <f t="shared" si="90"/>
        <v/>
      </c>
      <c r="AX39" s="830" t="str">
        <f t="shared" si="94"/>
        <v/>
      </c>
      <c r="AY39" s="464" t="b">
        <f t="shared" si="20"/>
        <v>0</v>
      </c>
      <c r="AZ39" s="856" t="str">
        <f t="shared" si="91"/>
        <v/>
      </c>
      <c r="BA39" s="549"/>
      <c r="BB39" s="672"/>
      <c r="BC39" s="1685"/>
      <c r="BD39" s="733"/>
      <c r="BE39" s="734"/>
      <c r="BF39" s="735"/>
      <c r="BG39" s="672"/>
      <c r="BH39" s="982"/>
      <c r="BI39" s="983"/>
      <c r="BJ39" s="1626"/>
      <c r="BK39" s="982"/>
      <c r="BL39" s="983"/>
      <c r="BM39" s="1570"/>
      <c r="BN39" s="1571"/>
      <c r="BO39" s="1618" t="str">
        <f>IF(ISERROR(CU39),"",IF(CU39="","",IF(VLOOKUP(BG39,SectInfo!$B:$N,10,FALSE)="","","X")))</f>
        <v/>
      </c>
      <c r="BP39" s="1562"/>
      <c r="BQ39" s="1563" t="str">
        <f t="shared" si="21"/>
        <v/>
      </c>
      <c r="BR39" s="1564"/>
      <c r="BS39" s="672"/>
      <c r="BT39" s="982"/>
      <c r="BU39" s="983"/>
      <c r="BV39" s="1626"/>
      <c r="BW39" s="982"/>
      <c r="BX39" s="983"/>
      <c r="BY39" s="1570"/>
      <c r="BZ39" s="1571"/>
      <c r="CA39" s="1618" t="str">
        <f>IF(ISERROR(DE39),"",IF(DE39="","",IF(VLOOKUP(BS39,SectInfo!$B:$N,10,FALSE)="","","X")))</f>
        <v/>
      </c>
      <c r="CB39" s="1562"/>
      <c r="CC39" s="1563" t="str">
        <f t="shared" si="22"/>
        <v/>
      </c>
      <c r="CD39" s="1564"/>
      <c r="CE39" s="1575"/>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4" t="str">
        <f t="shared" si="50"/>
        <v/>
      </c>
      <c r="EF39" s="822" t="str">
        <f t="shared" si="121"/>
        <v/>
      </c>
      <c r="EG39" s="822" t="str">
        <f t="shared" si="122"/>
        <v/>
      </c>
      <c r="EH39" s="856" t="e">
        <f t="shared" si="51"/>
        <v>#N/A</v>
      </c>
      <c r="EI39" s="856" t="e">
        <f t="shared" si="52"/>
        <v>#N/A</v>
      </c>
      <c r="EJ39" s="822" t="str">
        <f t="shared" si="123"/>
        <v/>
      </c>
      <c r="EK39" s="822" t="str">
        <f t="shared" si="124"/>
        <v/>
      </c>
      <c r="EL39" s="1294"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599" t="str">
        <f t="shared" si="82"/>
        <v/>
      </c>
      <c r="GB39" s="619" t="str">
        <f t="shared" si="83"/>
        <v/>
      </c>
      <c r="GC39" s="621" t="str">
        <f t="shared" si="84"/>
        <v/>
      </c>
      <c r="GD39" s="622" t="str">
        <f t="shared" si="85"/>
        <v/>
      </c>
      <c r="GE39" s="620" t="str">
        <f t="shared" si="86"/>
        <v/>
      </c>
      <c r="GF39" s="600" t="str">
        <f t="shared" si="87"/>
        <v/>
      </c>
      <c r="GG39" s="1131"/>
      <c r="GH39" s="1132"/>
      <c r="GI39" s="1131"/>
      <c r="GJ39" s="1132"/>
      <c r="GK39" s="1637">
        <f t="shared" si="88"/>
        <v>0</v>
      </c>
      <c r="GL39" s="1637" t="e">
        <f t="shared" si="89"/>
        <v>#VALUE!</v>
      </c>
      <c r="GM39" s="1638" t="e">
        <f>IF(ABS(GK39-GL39)&gt;='Job Info.'!$L$22,ABS(GK39-GL39),0)</f>
        <v>#VALUE!</v>
      </c>
      <c r="GZ39" s="415"/>
      <c r="HA39" s="1392"/>
      <c r="HB39" s="1393"/>
      <c r="HC39" s="1393"/>
      <c r="HD39" s="1394"/>
      <c r="HE39" s="1395"/>
      <c r="HF39" s="1393"/>
      <c r="HG39" s="1393"/>
      <c r="HH39" s="1393"/>
      <c r="HI39" s="1396"/>
      <c r="HJ39" s="1393"/>
      <c r="HK39" s="1393"/>
      <c r="HL39" s="1393"/>
      <c r="HM39" s="1393"/>
      <c r="HN39" s="1393"/>
      <c r="HO39" s="1393"/>
      <c r="HP39" s="1393"/>
      <c r="HQ39" s="1396"/>
      <c r="HR39" s="1393"/>
      <c r="HS39" s="1393"/>
      <c r="HT39" s="1393"/>
      <c r="HU39" s="1393"/>
      <c r="HV39" s="1393"/>
      <c r="HW39" s="1395"/>
      <c r="HX39" s="1395"/>
      <c r="HY39" s="1395"/>
      <c r="HZ39" s="1395"/>
      <c r="IA39" s="1395"/>
      <c r="IB39" s="1395"/>
      <c r="IC39" s="1395"/>
      <c r="ID39" s="1395"/>
      <c r="IE39" s="1395"/>
      <c r="IF39" s="1397"/>
    </row>
    <row r="40" spans="1:240" ht="12.6" customHeight="1" thickBot="1" x14ac:dyDescent="0.3">
      <c r="A40" s="1711" t="str">
        <f t="shared" si="1"/>
        <v/>
      </c>
      <c r="B40" s="1712" t="str">
        <f t="shared" si="2"/>
        <v/>
      </c>
      <c r="C40" s="1713" t="str">
        <f t="shared" si="3"/>
        <v/>
      </c>
      <c r="D40" s="1714" t="str">
        <f t="shared" si="95"/>
        <v/>
      </c>
      <c r="E40" s="1773" t="str">
        <f t="shared" si="96"/>
        <v/>
      </c>
      <c r="F40" s="1717" t="str">
        <f t="shared" si="97"/>
        <v/>
      </c>
      <c r="G40" s="1718" t="str">
        <f t="shared" si="98"/>
        <v/>
      </c>
      <c r="H40" s="1774" t="str">
        <f t="shared" si="99"/>
        <v/>
      </c>
      <c r="I40" s="1714" t="str">
        <f t="shared" si="100"/>
        <v/>
      </c>
      <c r="J40" s="1718" t="str">
        <f t="shared" si="101"/>
        <v/>
      </c>
      <c r="K40" s="1775" t="str">
        <f t="shared" si="102"/>
        <v/>
      </c>
      <c r="L40" s="1721" t="str">
        <f t="shared" si="103"/>
        <v/>
      </c>
      <c r="M40" s="1722" t="str">
        <f t="shared" si="104"/>
        <v/>
      </c>
      <c r="N40" s="1717" t="str">
        <f t="shared" si="105"/>
        <v/>
      </c>
      <c r="O40" s="1718" t="str">
        <f t="shared" si="106"/>
        <v/>
      </c>
      <c r="P40" s="1719" t="str">
        <f t="shared" si="107"/>
        <v/>
      </c>
      <c r="Q40" s="1714" t="str">
        <f t="shared" si="108"/>
        <v/>
      </c>
      <c r="R40" s="1718" t="str">
        <f t="shared" si="109"/>
        <v/>
      </c>
      <c r="S40" s="1755" t="str">
        <f t="shared" si="110"/>
        <v/>
      </c>
      <c r="T40" s="1717" t="str">
        <f t="shared" si="111"/>
        <v/>
      </c>
      <c r="U40" s="1718" t="str">
        <f t="shared" si="112"/>
        <v/>
      </c>
      <c r="V40" s="1714" t="str">
        <f t="shared" si="113"/>
        <v/>
      </c>
      <c r="W40" s="1718" t="str">
        <f t="shared" si="114"/>
        <v/>
      </c>
      <c r="X40" s="1752">
        <f t="shared" si="115"/>
        <v>0</v>
      </c>
      <c r="Y40" s="1776" t="str">
        <f t="shared" si="116"/>
        <v/>
      </c>
      <c r="Z40" s="1777" t="str">
        <f t="shared" si="117"/>
        <v/>
      </c>
      <c r="AA40" s="1778" t="str">
        <f t="shared" si="5"/>
        <v/>
      </c>
      <c r="AB40" s="1414"/>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1"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2" t="str">
        <f t="shared" si="18"/>
        <v/>
      </c>
      <c r="AV40" s="830" t="str">
        <f t="shared" si="19"/>
        <v/>
      </c>
      <c r="AW40" s="830" t="str">
        <f t="shared" si="90"/>
        <v/>
      </c>
      <c r="AX40" s="830" t="str">
        <f t="shared" si="94"/>
        <v/>
      </c>
      <c r="AY40" s="464" t="b">
        <f t="shared" si="20"/>
        <v>0</v>
      </c>
      <c r="AZ40" s="856" t="str">
        <f t="shared" si="91"/>
        <v/>
      </c>
      <c r="BA40" s="549"/>
      <c r="BB40" s="681"/>
      <c r="BC40" s="1686"/>
      <c r="BD40" s="807"/>
      <c r="BE40" s="808"/>
      <c r="BF40" s="809"/>
      <c r="BG40" s="681"/>
      <c r="BH40" s="985"/>
      <c r="BI40" s="986"/>
      <c r="BJ40" s="1627"/>
      <c r="BK40" s="985"/>
      <c r="BL40" s="986"/>
      <c r="BM40" s="1572"/>
      <c r="BN40" s="1573"/>
      <c r="BO40" s="1619" t="str">
        <f>IF(ISERROR(CU40),"",IF(CU40="","",IF(VLOOKUP(BG40,SectInfo!$B:$N,10,FALSE)="","","X")))</f>
        <v/>
      </c>
      <c r="BP40" s="1565"/>
      <c r="BQ40" s="1566" t="str">
        <f t="shared" si="21"/>
        <v/>
      </c>
      <c r="BR40" s="1567"/>
      <c r="BS40" s="681"/>
      <c r="BT40" s="985"/>
      <c r="BU40" s="986"/>
      <c r="BV40" s="1627"/>
      <c r="BW40" s="985"/>
      <c r="BX40" s="986"/>
      <c r="BY40" s="1572"/>
      <c r="BZ40" s="1573"/>
      <c r="CA40" s="1619" t="str">
        <f>IF(ISERROR(DE40),"",IF(DE40="","",IF(VLOOKUP(BS40,SectInfo!$B:$N,10,FALSE)="","","X")))</f>
        <v/>
      </c>
      <c r="CB40" s="1565"/>
      <c r="CC40" s="1566" t="str">
        <f t="shared" si="22"/>
        <v/>
      </c>
      <c r="CD40" s="1567"/>
      <c r="CE40" s="1576"/>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8" t="str">
        <f>IF(BG40="","",IF(VLOOKUP(BG40,SectInfo!$B:$N,10,FALSE)="","",(IF(BO40="X",VLOOKUP(BG40,SectInfo!$B:$N,10,FALSE),VALUE(BO40))*-1)))</f>
        <v/>
      </c>
      <c r="CZ40" s="1124"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8" t="str">
        <f>IF(BS40="","",IF(VLOOKUP(BS40,SectInfo!$B:$N,10,FALSE)="","",(IF(CA40="X",VLOOKUP(BS40,SectInfo!$B:$N,10,FALSE),VALUE(CA40))*-1)))</f>
        <v/>
      </c>
      <c r="DJ40" s="1124"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9" t="str">
        <f t="shared" si="45"/>
        <v/>
      </c>
      <c r="DX40" s="1007">
        <f t="shared" si="118"/>
        <v>0</v>
      </c>
      <c r="DY40" s="838">
        <f t="shared" si="46"/>
        <v>0</v>
      </c>
      <c r="DZ40" s="839">
        <f t="shared" si="47"/>
        <v>0</v>
      </c>
      <c r="EA40" s="839" t="str">
        <f t="shared" si="48"/>
        <v/>
      </c>
      <c r="EB40" s="838" t="str">
        <f t="shared" si="119"/>
        <v/>
      </c>
      <c r="EC40" s="1129" t="str">
        <f t="shared" si="49"/>
        <v/>
      </c>
      <c r="ED40" s="1007">
        <f t="shared" si="120"/>
        <v>0</v>
      </c>
      <c r="EE40" s="1295" t="str">
        <f t="shared" si="50"/>
        <v/>
      </c>
      <c r="EF40" s="838" t="str">
        <f t="shared" si="121"/>
        <v/>
      </c>
      <c r="EG40" s="838" t="str">
        <f t="shared" si="122"/>
        <v/>
      </c>
      <c r="EH40" s="856" t="e">
        <f t="shared" si="51"/>
        <v>#N/A</v>
      </c>
      <c r="EI40" s="856" t="e">
        <f t="shared" si="52"/>
        <v>#N/A</v>
      </c>
      <c r="EJ40" s="838" t="str">
        <f t="shared" si="123"/>
        <v/>
      </c>
      <c r="EK40" s="838" t="str">
        <f t="shared" si="124"/>
        <v/>
      </c>
      <c r="EL40" s="1295"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8" t="e">
        <f t="shared" si="74"/>
        <v>#VALUE!</v>
      </c>
      <c r="FP40" s="1388" t="e">
        <f t="shared" si="75"/>
        <v>#VALUE!</v>
      </c>
      <c r="FQ40" s="841" t="e">
        <f t="shared" si="76"/>
        <v>#VALUE!</v>
      </c>
      <c r="FR40" s="842" t="e">
        <f t="shared" si="77"/>
        <v>#VALUE!</v>
      </c>
      <c r="FS40" s="843" t="str">
        <f t="shared" si="78"/>
        <v/>
      </c>
      <c r="FT40" s="844" t="str">
        <f t="shared" si="79"/>
        <v/>
      </c>
      <c r="FU40" s="1011">
        <f t="shared" si="80"/>
        <v>0</v>
      </c>
      <c r="FV40" s="1012">
        <f t="shared" si="81"/>
        <v>0</v>
      </c>
      <c r="GA40" s="599" t="str">
        <f t="shared" si="82"/>
        <v/>
      </c>
      <c r="GB40" s="619" t="str">
        <f t="shared" si="83"/>
        <v/>
      </c>
      <c r="GC40" s="621" t="str">
        <f t="shared" si="84"/>
        <v/>
      </c>
      <c r="GD40" s="622" t="str">
        <f t="shared" si="85"/>
        <v/>
      </c>
      <c r="GE40" s="620" t="str">
        <f t="shared" si="86"/>
        <v/>
      </c>
      <c r="GF40" s="600" t="str">
        <f t="shared" si="87"/>
        <v/>
      </c>
      <c r="GG40" s="1133"/>
      <c r="GH40" s="1134"/>
      <c r="GI40" s="1133"/>
      <c r="GJ40" s="1134"/>
      <c r="GK40" s="1637">
        <f t="shared" si="88"/>
        <v>0</v>
      </c>
      <c r="GL40" s="1637" t="e">
        <f t="shared" si="89"/>
        <v>#VALUE!</v>
      </c>
      <c r="GM40" s="1638" t="e">
        <f>IF(ABS(GK40-GL40)&gt;='Job Info.'!$L$22,ABS(GK40-GL40),0)</f>
        <v>#VALUE!</v>
      </c>
      <c r="GZ40" s="415"/>
      <c r="HA40" s="1398"/>
      <c r="HB40" s="1399"/>
      <c r="HC40" s="1399"/>
      <c r="HD40" s="1400"/>
      <c r="HE40" s="1401"/>
      <c r="HF40" s="1399"/>
      <c r="HG40" s="1399"/>
      <c r="HH40" s="1399"/>
      <c r="HI40" s="1402"/>
      <c r="HJ40" s="1399"/>
      <c r="HK40" s="1399"/>
      <c r="HL40" s="1399"/>
      <c r="HM40" s="1399"/>
      <c r="HN40" s="1399"/>
      <c r="HO40" s="1399"/>
      <c r="HP40" s="1399"/>
      <c r="HQ40" s="1402"/>
      <c r="HR40" s="1399"/>
      <c r="HS40" s="1399"/>
      <c r="HT40" s="1399"/>
      <c r="HU40" s="1399"/>
      <c r="HV40" s="1399"/>
      <c r="HW40" s="1401"/>
      <c r="HX40" s="1401"/>
      <c r="HY40" s="1401"/>
      <c r="HZ40" s="1401"/>
      <c r="IA40" s="1401"/>
      <c r="IB40" s="1401"/>
      <c r="IC40" s="1401"/>
      <c r="ID40" s="1401"/>
      <c r="IE40" s="1401"/>
      <c r="IF40" s="1403"/>
    </row>
    <row r="41" spans="1:240" ht="15" customHeight="1" thickTop="1" thickBot="1" x14ac:dyDescent="0.25">
      <c r="A41" s="1144"/>
      <c r="B41" s="1144"/>
      <c r="C41" s="1144"/>
      <c r="D41" s="1144"/>
      <c r="E41" s="1144"/>
      <c r="F41" s="1144"/>
      <c r="G41" s="1144"/>
      <c r="H41" s="1144"/>
      <c r="I41" s="1144"/>
      <c r="J41" s="1144"/>
      <c r="K41" s="1144"/>
      <c r="L41" s="1144"/>
      <c r="M41" s="1144"/>
      <c r="N41" s="1144"/>
      <c r="O41" s="1144"/>
      <c r="P41" s="1144"/>
      <c r="Q41" s="1144"/>
      <c r="R41" s="1144"/>
      <c r="S41" s="1144"/>
      <c r="T41" s="1144"/>
      <c r="U41" s="1144"/>
      <c r="V41" s="1144"/>
      <c r="W41" s="1144"/>
      <c r="X41" s="1144"/>
      <c r="Y41" s="1144"/>
      <c r="Z41" s="1144"/>
      <c r="AA41" s="1144"/>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440" t="s">
        <v>1060</v>
      </c>
      <c r="EL47" s="2440"/>
      <c r="EM47" s="2440"/>
      <c r="EN47" s="2440"/>
      <c r="EO47" s="2440"/>
    </row>
    <row r="48" spans="1:240" s="1008" customFormat="1" ht="15" hidden="1" customHeight="1" x14ac:dyDescent="0.2">
      <c r="AA48" s="1195"/>
      <c r="AI48" s="1085"/>
      <c r="HD48" s="1196"/>
      <c r="HE48" s="1197"/>
    </row>
    <row r="49" spans="1:192" ht="15" hidden="1" customHeight="1" x14ac:dyDescent="0.2"/>
    <row r="50" spans="1:192" ht="11.25" hidden="1" customHeight="1" x14ac:dyDescent="0.2">
      <c r="A50" s="1321"/>
      <c r="B50" s="1321"/>
      <c r="C50" s="1321"/>
      <c r="D50" s="1321"/>
      <c r="E50" s="1321"/>
      <c r="F50" s="1321"/>
      <c r="G50" s="1321"/>
      <c r="H50" s="1321"/>
      <c r="I50" s="1321"/>
      <c r="J50" s="1321"/>
      <c r="K50" s="1321"/>
      <c r="L50" s="1321"/>
      <c r="M50" s="1321"/>
      <c r="N50" s="1321"/>
      <c r="O50" s="1321"/>
      <c r="P50" s="1321"/>
      <c r="Q50" s="1321"/>
      <c r="R50" s="1321"/>
      <c r="S50" s="1321"/>
      <c r="T50" s="1321"/>
      <c r="U50" s="1321"/>
      <c r="V50" s="1321"/>
      <c r="W50" s="1321"/>
      <c r="X50" s="1321"/>
      <c r="Y50" s="1321"/>
      <c r="Z50" s="1321"/>
      <c r="AA50" s="1321"/>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5"/>
    </row>
    <row r="57" spans="1:192" ht="15" hidden="1" customHeight="1" x14ac:dyDescent="0.25">
      <c r="A57" s="1001" t="e">
        <f>IF(#REF!="","",UPPER(#REF!))</f>
        <v>#REF!</v>
      </c>
      <c r="B57" s="1680"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8" t="str">
        <f>IF(ES57="","",IF(OR(CW57="Q",CW57="C"),3,CZ57))</f>
        <v/>
      </c>
      <c r="Q57" s="998" t="str">
        <f>IF(ET57="","",IF(AND(ET57&lt;0,ET57&gt;-12),TRUNC(ET57/12)-0.0000001,TRUNC(ET57/12)))</f>
        <v/>
      </c>
      <c r="R57" s="999" t="str">
        <f>IF(ET57="","",IF(AND(ET57-(Q57*12)=0,ET57&lt;0),-0.000001,ET57-(Q57*12)))</f>
        <v/>
      </c>
      <c r="S57" s="1319"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7"/>
      <c r="GH57" s="1648"/>
      <c r="GI57" s="1647"/>
      <c r="GJ57" s="1648"/>
    </row>
    <row r="58" spans="1:192" ht="15" hidden="1" customHeight="1" x14ac:dyDescent="0.2">
      <c r="AA58" s="1146"/>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27">
        <v>40961</v>
      </c>
      <c r="CT69" s="2428"/>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6"/>
      <c r="HE70" s="1197"/>
    </row>
    <row r="71" spans="1:213" ht="15" customHeight="1" x14ac:dyDescent="0.2">
      <c r="A71" s="907" t="s">
        <v>721</v>
      </c>
      <c r="EL71" s="2430" t="s">
        <v>524</v>
      </c>
      <c r="EM71" s="2431"/>
      <c r="EN71" s="2431"/>
      <c r="EO71" s="2432"/>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BB18:CB19"/>
    <mergeCell ref="CD18:CG19"/>
    <mergeCell ref="BJ21:BJ22"/>
    <mergeCell ref="BK21:BL22"/>
    <mergeCell ref="BM21:BM22"/>
    <mergeCell ref="BN21:BN22"/>
    <mergeCell ref="BO21:BO22"/>
    <mergeCell ref="BP21:BR21"/>
    <mergeCell ref="BB20:BF20"/>
    <mergeCell ref="BZ21:BZ22"/>
    <mergeCell ref="CA21:CA22"/>
    <mergeCell ref="CB21:CD21"/>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s>
  <phoneticPr fontId="0" type="noConversion"/>
  <conditionalFormatting sqref="BD23:BD40">
    <cfRule type="expression" dxfId="1179" priority="363">
      <formula>AND(NOT($AY23),NOT($AP23))</formula>
    </cfRule>
  </conditionalFormatting>
  <conditionalFormatting sqref="EF69 EF23:EF40">
    <cfRule type="cellIs" dxfId="1178" priority="677" stopIfTrue="1" operator="notEqual">
      <formula>$EG23</formula>
    </cfRule>
  </conditionalFormatting>
  <conditionalFormatting sqref="EM69 EM23:EM40">
    <cfRule type="cellIs" dxfId="1177" priority="678" stopIfTrue="1" operator="notEqual">
      <formula>$EN23</formula>
    </cfRule>
  </conditionalFormatting>
  <conditionalFormatting sqref="CB69:CC69">
    <cfRule type="cellIs" dxfId="1176" priority="712" stopIfTrue="1" operator="equal">
      <formula>0</formula>
    </cfRule>
    <cfRule type="expression" dxfId="1175" priority="713" stopIfTrue="1">
      <formula>OR(CB69&lt;0,CB69&gt;FU69)</formula>
    </cfRule>
  </conditionalFormatting>
  <conditionalFormatting sqref="P2:S4">
    <cfRule type="cellIs" dxfId="1174" priority="714" stopIfTrue="1" operator="equal">
      <formula>""</formula>
    </cfRule>
  </conditionalFormatting>
  <conditionalFormatting sqref="CC16">
    <cfRule type="expression" dxfId="1173" priority="715" stopIfTrue="1">
      <formula>ISBLANK($CC$16)</formula>
    </cfRule>
  </conditionalFormatting>
  <conditionalFormatting sqref="CC15">
    <cfRule type="expression" dxfId="1172" priority="716" stopIfTrue="1">
      <formula>ISBLANK($CC$15)</formula>
    </cfRule>
  </conditionalFormatting>
  <conditionalFormatting sqref="M7">
    <cfRule type="expression" dxfId="1171" priority="718" stopIfTrue="1">
      <formula>NOT(OR(COUNTIF(masterFinishList, $M$7) &gt; 0, COUNTIF($M$7, "Other:*") &gt; 0))</formula>
    </cfRule>
  </conditionalFormatting>
  <conditionalFormatting sqref="U23:U40">
    <cfRule type="expression" dxfId="1170" priority="327">
      <formula>AND(NOT($AY23),NOT(AR23),$P23&lt;&gt;3)</formula>
    </cfRule>
  </conditionalFormatting>
  <conditionalFormatting sqref="W23:W40">
    <cfRule type="expression" dxfId="1169" priority="335">
      <formula>AND(NOT($AY23),NOT(AT23),$S23&lt;&gt;3)</formula>
    </cfRule>
  </conditionalFormatting>
  <conditionalFormatting sqref="A23:B40">
    <cfRule type="expression" dxfId="1168" priority="36">
      <formula>AND(NOT($AE$1),$B23=0,$AD$1="M")</formula>
    </cfRule>
  </conditionalFormatting>
  <conditionalFormatting sqref="T23:T40">
    <cfRule type="expression" dxfId="1167" priority="324">
      <formula>AND(NOT($AY23),NOT(AR23),$P23&lt;&gt;3)</formula>
    </cfRule>
  </conditionalFormatting>
  <conditionalFormatting sqref="V23:V40">
    <cfRule type="expression" dxfId="1166" priority="332">
      <formula>AND(NOT($AY23),NOT(AT23),$S23&lt;&gt;3)</formula>
    </cfRule>
  </conditionalFormatting>
  <conditionalFormatting sqref="C23:C40">
    <cfRule type="expression" dxfId="1165" priority="106">
      <formula>AND(NOT($AY23),NOT($AP23))</formula>
    </cfRule>
  </conditionalFormatting>
  <conditionalFormatting sqref="M7:S7">
    <cfRule type="expression" dxfId="1164" priority="241">
      <formula>OR(ISBLANK($M$7),$M$7="")</formula>
    </cfRule>
  </conditionalFormatting>
  <conditionalFormatting sqref="X23:X40">
    <cfRule type="expression" dxfId="1163" priority="19">
      <formula>$X23=0</formula>
    </cfRule>
  </conditionalFormatting>
  <conditionalFormatting sqref="BO23:BO40">
    <cfRule type="expression" dxfId="1162" priority="143">
      <formula>AND(BO23="X",CY23="")</formula>
    </cfRule>
    <cfRule type="expression" dxfId="1161" priority="144">
      <formula>AND(BO23="",CY23&lt;&gt;"")</formula>
    </cfRule>
  </conditionalFormatting>
  <conditionalFormatting sqref="CA23:CA40">
    <cfRule type="expression" dxfId="1160" priority="145">
      <formula>AND(CA23="X",DI23="")</formula>
    </cfRule>
    <cfRule type="expression" dxfId="1159" priority="146">
      <formula>AND(CA23="",DI23&lt;&gt;"")</formula>
    </cfRule>
  </conditionalFormatting>
  <conditionalFormatting sqref="BQ23:BQ40">
    <cfRule type="expression" dxfId="1158" priority="126">
      <formula>CP23&lt;&gt;""</formula>
    </cfRule>
  </conditionalFormatting>
  <conditionalFormatting sqref="CC23:CC40">
    <cfRule type="expression" dxfId="1157" priority="125">
      <formula>CQ23&lt;&gt;""</formula>
    </cfRule>
  </conditionalFormatting>
  <conditionalFormatting sqref="CG23:CG40">
    <cfRule type="expression" dxfId="1156" priority="749">
      <formula>OR(CH23&lt;&gt;"",CI23&lt;&gt;"",CJ23&lt;&gt;"",CK23&lt;&gt;"",CL23&lt;&gt;"",CM23&lt;&gt;"",CP23&lt;&gt;"",CQ23&lt;&gt;"")</formula>
    </cfRule>
  </conditionalFormatting>
  <conditionalFormatting sqref="BE23:BF40">
    <cfRule type="expression" dxfId="1155" priority="750">
      <formula>AND(NOT($AY23),AND($AZ23,AND($AK23&lt;&gt;"HDR",$AK23&lt;&gt;"JS",$AJ23&gt;=8)))</formula>
    </cfRule>
  </conditionalFormatting>
  <conditionalFormatting sqref="D23:E40">
    <cfRule type="expression" dxfId="1154" priority="115">
      <formula>AND(NOT($AY23),AND($AZ23,AND($AK23&lt;&gt;"HDR",$AK23&lt;&gt;"JS",$AJ23&gt;=8)))</formula>
    </cfRule>
  </conditionalFormatting>
  <conditionalFormatting sqref="CF23:CG40">
    <cfRule type="expression" dxfId="1153" priority="112">
      <formula>LEN($AA23)&gt;31</formula>
    </cfRule>
  </conditionalFormatting>
  <conditionalFormatting sqref="AA12">
    <cfRule type="expression" dxfId="1152" priority="109">
      <formula>OR(ISBLANK(AA12),AA12="")</formula>
    </cfRule>
  </conditionalFormatting>
  <conditionalFormatting sqref="A23:AA40">
    <cfRule type="expression" dxfId="1151" priority="825">
      <formula>$AC23</formula>
    </cfRule>
  </conditionalFormatting>
  <conditionalFormatting sqref="AA23:AA40">
    <cfRule type="expression" dxfId="1150" priority="20">
      <formula>AND(NOT($AY23),LEN(AA23)&gt;31)</formula>
    </cfRule>
  </conditionalFormatting>
  <conditionalFormatting sqref="GA23:GB40">
    <cfRule type="expression" dxfId="1149" priority="18" stopIfTrue="1">
      <formula>$GM23&gt;=0.125</formula>
    </cfRule>
  </conditionalFormatting>
  <conditionalFormatting sqref="EF43">
    <cfRule type="cellIs" dxfId="1148" priority="12" stopIfTrue="1" operator="notEqual">
      <formula>$EG43</formula>
    </cfRule>
  </conditionalFormatting>
  <conditionalFormatting sqref="U57">
    <cfRule type="expression" dxfId="1147" priority="8">
      <formula>AND(NOT($AY57),NOT(AR57),$P57&lt;&gt;3)</formula>
    </cfRule>
  </conditionalFormatting>
  <conditionalFormatting sqref="W57">
    <cfRule type="expression" dxfId="1146" priority="10">
      <formula>AND(NOT($AY57),NOT(AT57),$S57&lt;&gt;3)</formula>
    </cfRule>
  </conditionalFormatting>
  <conditionalFormatting sqref="A57:B57">
    <cfRule type="expression" dxfId="1145" priority="4">
      <formula>AND(NOT($AE$1),$B57=0,$AD$1="M")</formula>
    </cfRule>
  </conditionalFormatting>
  <conditionalFormatting sqref="T57">
    <cfRule type="expression" dxfId="1144" priority="7">
      <formula>AND(NOT($AY57),NOT(AR57),$P57&lt;&gt;3)</formula>
    </cfRule>
  </conditionalFormatting>
  <conditionalFormatting sqref="V57">
    <cfRule type="expression" dxfId="1143" priority="9">
      <formula>AND(NOT($AY57),NOT(AT57),$S57&lt;&gt;3)</formula>
    </cfRule>
  </conditionalFormatting>
  <conditionalFormatting sqref="C57">
    <cfRule type="expression" dxfId="1142" priority="5">
      <formula>AND(NOT($AY57),NOT($AP57))</formula>
    </cfRule>
  </conditionalFormatting>
  <conditionalFormatting sqref="X57">
    <cfRule type="expression" dxfId="1141" priority="2">
      <formula>$X57=0</formula>
    </cfRule>
  </conditionalFormatting>
  <conditionalFormatting sqref="D57:E57">
    <cfRule type="expression" dxfId="1140" priority="6">
      <formula>AND(NOT($AY57),AND($AZ57,AND($AK57&lt;&gt;"HDR",$AK57&lt;&gt;"JS",$AJ57&gt;=8)))</formula>
    </cfRule>
  </conditionalFormatting>
  <conditionalFormatting sqref="A57:AA57">
    <cfRule type="expression" dxfId="1139" priority="11">
      <formula>$AC57</formula>
    </cfRule>
  </conditionalFormatting>
  <conditionalFormatting sqref="AA57">
    <cfRule type="expression" dxfId="1138" priority="3">
      <formula>AND(NOT($AY57),LEN(AA57)&gt;31)</formula>
    </cfRule>
  </conditionalFormatting>
  <conditionalFormatting sqref="BB23:BC40">
    <cfRule type="expression" dxfId="1137" priority="1251">
      <formula>AND(NOT($AE$1),$B23=0,$AD$1="M")</formula>
    </cfRule>
  </conditionalFormatting>
  <conditionalFormatting sqref="CE23:CG40">
    <cfRule type="expression" dxfId="1136" priority="1284">
      <formula>$AC23</formula>
    </cfRule>
  </conditionalFormatting>
  <conditionalFormatting sqref="BB23:CD40">
    <cfRule type="expression" dxfId="1135" priority="1320">
      <formula>$AC23</formula>
    </cfRule>
  </conditionalFormatting>
  <conditionalFormatting sqref="BS23:BS40">
    <cfRule type="expression" dxfId="1134" priority="1393">
      <formula>AND(NOT($AY23),ISERROR(DE23))</formula>
    </cfRule>
    <cfRule type="expression" dxfId="1133" priority="1394">
      <formula>AND(NOT($AY23),OR(DE23="", CQ23&lt;&gt;""))</formula>
    </cfRule>
  </conditionalFormatting>
  <conditionalFormatting sqref="BG23:BG40">
    <cfRule type="expression" dxfId="1132" priority="1395">
      <formula>AND(NOT($AY23),ISERROR(CU23))</formula>
    </cfRule>
    <cfRule type="expression" dxfId="1131" priority="1396">
      <formula>AND(NOT($AY23),OR(CP23&lt;&gt;"", CU23=""))</formula>
    </cfRule>
  </conditionalFormatting>
  <conditionalFormatting sqref="BH23:BH40">
    <cfRule type="expression" dxfId="1130" priority="1429">
      <formula>AND(NOT($AY23),OR($CU23="M",$CU23="C",AND($CU23="B",$DC23&gt;0)))</formula>
    </cfRule>
    <cfRule type="expression" dxfId="1129" priority="1430">
      <formula>AND(NOT($AY23),AND(BH23="",BI23="",OR($CU23="B",$CU23="G")))</formula>
    </cfRule>
    <cfRule type="expression" dxfId="1128" priority="1431">
      <formula>AND(NOT($AY23),(BH23/2)/COS(RADIANS(BM23))+CV23-DW23&lt;VLOOKUP(AU23,$DF$2:$DJ$9,5,FALSE))</formula>
    </cfRule>
  </conditionalFormatting>
  <conditionalFormatting sqref="BI23:BI40">
    <cfRule type="expression" dxfId="1127" priority="1432">
      <formula>AND(NOT($AY23),OR($CU23="M",$CU23="C",AND($CU23="B",$DC23&gt;0)))</formula>
    </cfRule>
    <cfRule type="expression" dxfId="1126" priority="1433">
      <formula>AND(NOT($AY23),AND(BH23="",BI23="",OR($CU23="B",$CU23="G")))</formula>
    </cfRule>
    <cfRule type="expression" dxfId="1125" priority="1434">
      <formula>AND(NOT($AY23),(BI23/2)/COS(RADIANS(BM23))+CV23-DW23&lt;VLOOKUP(AU23,$DF$2:$DJ$9,5,FALSE))</formula>
    </cfRule>
  </conditionalFormatting>
  <conditionalFormatting sqref="BK23:BK40">
    <cfRule type="expression" dxfId="1124" priority="1435">
      <formula>AND(NOT($AY23),OR($CU23="M",$CU23="C",AND($CU23="B",$DA23&lt;&gt;"")))</formula>
    </cfRule>
    <cfRule type="expression" dxfId="1123" priority="1436">
      <formula>AND(NOT($AY23),AND(BJ23="X",BK23="",BL23=""))</formula>
    </cfRule>
    <cfRule type="expression" dxfId="1122" priority="1437">
      <formula>AND(NOT($AY23),EZ23="ERR")</formula>
    </cfRule>
  </conditionalFormatting>
  <conditionalFormatting sqref="BL23:BL40">
    <cfRule type="expression" dxfId="1121" priority="1438">
      <formula>AND(NOT($AY23),OR($CU23="M",$CU23="C",AND($CU23="B",$DA23&lt;&gt;"")))</formula>
    </cfRule>
    <cfRule type="expression" dxfId="1120" priority="1439">
      <formula>AND(NOT($AY23),AND(BJ23="X",BK23="",BL23=""))</formula>
    </cfRule>
    <cfRule type="expression" dxfId="1119" priority="1440">
      <formula>AND(NOT($AY23),EZ23="ERR")</formula>
    </cfRule>
  </conditionalFormatting>
  <conditionalFormatting sqref="BW23:BW40">
    <cfRule type="expression" dxfId="1118" priority="1441">
      <formula>AND(NOT($AY23),OR($DE23="M",$DE23="C",AND($DE23="B",$DK23&lt;&gt;"")))</formula>
    </cfRule>
    <cfRule type="expression" dxfId="1117" priority="1442">
      <formula>AND(NOT($AY23),AND(BV23="X",BW23="",BX23=""))</formula>
    </cfRule>
    <cfRule type="expression" dxfId="1116" priority="1443">
      <formula>AND(NOT($AY23),FC23="ERR")</formula>
    </cfRule>
  </conditionalFormatting>
  <conditionalFormatting sqref="BX23:BX40">
    <cfRule type="expression" dxfId="1115" priority="1444">
      <formula>AND(NOT($AY23),OR($DE23="M",$DE23="C",AND($DE23="B",$DK23&lt;&gt;"")))</formula>
    </cfRule>
    <cfRule type="expression" dxfId="1114" priority="1445">
      <formula>AND(NOT($AY23),AND(BV23="X",BW23="",BX23=""))</formula>
    </cfRule>
    <cfRule type="expression" dxfId="1113" priority="1446">
      <formula>AND(NOT($AY23),FC23="ERR")</formula>
    </cfRule>
  </conditionalFormatting>
  <conditionalFormatting sqref="BT23:BT40">
    <cfRule type="expression" dxfId="1112" priority="1447">
      <formula>AND(NOT($AY23),OR($DE23="M",$DE23="C",AND($DE23="B",$DM23&gt;0)))</formula>
    </cfRule>
    <cfRule type="expression" dxfId="1111" priority="1448">
      <formula>AND(NOT($AY23),AND(BT23="",BU23="",OR($DE23="B",$DE23="G")))</formula>
    </cfRule>
    <cfRule type="expression" dxfId="1110" priority="1449">
      <formula>AND(NOT($AY23),(BT23/2)/COS(RADIANS(BY23))+DF23-EC23&lt;VLOOKUP(AU23,$DF$2:$DJ$9,5,FALSE))</formula>
    </cfRule>
  </conditionalFormatting>
  <conditionalFormatting sqref="BU23:BU40">
    <cfRule type="expression" dxfId="1109" priority="1450">
      <formula>AND(NOT($AY23),OR($DE23="M",$DE23="C",AND($DE23="B",$DM23&gt;0)))</formula>
    </cfRule>
    <cfRule type="expression" dxfId="1108" priority="1451">
      <formula>AND(NOT($AY23),AND(BT23="",BU23="",OR($DE23="B",$DE23="G")))</formula>
    </cfRule>
    <cfRule type="expression" dxfId="1107" priority="1452">
      <formula>AND(NOT($AY23),(BU23/2)/COS(RADIANS(BY23))+DF23-EC23&lt;VLOOKUP(AU23,$DF$2:$DJ$9,5,FALSE))</formula>
    </cfRule>
  </conditionalFormatting>
  <conditionalFormatting sqref="BZ23:BZ40 BN23:BN40">
    <cfRule type="expression" dxfId="1106" priority="1453">
      <formula>AND(NOT($AY23),AND(ISBLANK(BN23),AND(NOT(ISBLANK(BM23)),$CE23&lt;&gt;0)))</formula>
    </cfRule>
  </conditionalFormatting>
  <conditionalFormatting sqref="BJ23:BJ40">
    <cfRule type="expression" dxfId="1105" priority="1455">
      <formula>AND(NOT($AY23),OR($CU23="C",AND($CU23="M",$DA23&gt;0)))</formula>
    </cfRule>
    <cfRule type="expression" dxfId="1104" priority="1456">
      <formula>AND(NOT($AY23),OR(NOT(IF(AND(OR(MID($BB23,1,1)="T",($BE23+$BF23/12)/IF(ABS($CE23)&gt;$DQ$1,COS($DO23),1)&gt;=40),OR($CU23="B",$CU23="G")),"X","")="X"),$EZ23="ERR"))</formula>
    </cfRule>
    <cfRule type="expression" dxfId="1103" priority="1457">
      <formula>AND(NOT($AY23),$BJ23&lt;&gt;"X",$BJ23&lt;&gt;IF(AND(OR(MID(BB23,1,1)="T",($BE23+$BF23/12)/IF(ABS($CE23)&gt;$DQ$1,COS($DO23),1)&gt;=40),OR($CU23="B",$CU23="G")),"X",""))</formula>
    </cfRule>
  </conditionalFormatting>
  <conditionalFormatting sqref="BV23:BV40">
    <cfRule type="expression" dxfId="1102" priority="1458">
      <formula>AND(NOT($AY23),OR($DE23="C",AND($DE23="M",$DK23&gt;0)))</formula>
    </cfRule>
    <cfRule type="expression" dxfId="1101" priority="1459">
      <formula>AND(NOT($AY23),OR(NOT(IF(AND(OR(MID($BB23,1,1)="T",($BE23+$BF23/12)/IF(ABS($CE23)&gt;$DQ$1,COS($DO23),1)&gt;=40),OR($DE23="B",$DE23="G")),"X","")="X"),$FC23="ERR"))</formula>
    </cfRule>
    <cfRule type="expression" dxfId="1100" priority="1460">
      <formula>AND(NOT($AY23),$BV23&lt;&gt;"X",$BV23&lt;&gt;IF(AND(OR(MID(BB23,1,1)="T",($BE23+$BF23/12)/IF(ABS($CE23)&gt;$DQ$1,COS($DO23),1)&gt;=40),OR($DE23="B",$DE23="G")),"X",""))</formula>
    </cfRule>
  </conditionalFormatting>
  <conditionalFormatting sqref="GA57:GB57">
    <cfRule type="expression" dxfId="1099" priority="1" stopIfTrue="1">
      <formula>$GM57&gt;=0.125</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topLeftCell="BB1" zoomScaleNormal="100" zoomScaleSheetLayoutView="75" workbookViewId="0">
      <selection activeCell="BB16" sqref="BB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02" t="str">
        <f>IF(AD1="","",VLOOKUP(AD1,'Job Info.'!X:AA,4,FALSE))</f>
        <v>Master</v>
      </c>
      <c r="Q1" s="1802"/>
      <c r="R1" s="1802"/>
      <c r="S1" s="1802"/>
      <c r="T1" s="374"/>
      <c r="U1" s="374"/>
      <c r="V1" s="375"/>
      <c r="W1" s="375"/>
      <c r="X1" s="1101"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07" t="str">
        <f>IF(AD1="","",IF(VLOOKUP(AD1,'Job Info.'!X:Z,2,FALSE),"Released for Fabrication",""))</f>
        <v/>
      </c>
      <c r="Q2" s="1808"/>
      <c r="R2" s="1808"/>
      <c r="S2" s="1809"/>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1">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10"/>
      <c r="Q3" s="1811"/>
      <c r="R3" s="1811"/>
      <c r="S3" s="1812"/>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5">
        <f>'Job Info.'!$N8/2</f>
        <v>0.5</v>
      </c>
      <c r="DH3" s="1656">
        <f>'Job Info.'!$H8</f>
        <v>2.5</v>
      </c>
      <c r="DI3" s="1657">
        <f>'Job Info.'!$J8</f>
        <v>4</v>
      </c>
      <c r="DJ3" s="1657">
        <f>'Job Info.'!$I8</f>
        <v>2.5</v>
      </c>
      <c r="DK3" s="1657">
        <f>'Job Info.'!$K8</f>
        <v>3.5</v>
      </c>
      <c r="DL3" s="1658">
        <f>'Job Info.'!$M8</f>
        <v>0.5625</v>
      </c>
      <c r="DM3" s="1657">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13" t="str">
        <f>IF(AD1="","",IF(VLOOKUP(AD1,'Job Info.'!X:Z,2,FALSE),VLOOKUP(AD1,'Job Info.'!X:Z,3,FALSE),""))</f>
        <v/>
      </c>
      <c r="Q4" s="1814"/>
      <c r="R4" s="1814"/>
      <c r="S4" s="1815"/>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1">
        <f>'Job Info.'!$N$7</f>
        <v>1</v>
      </c>
      <c r="CW4" s="1662">
        <f>'Job Info.'!$H$7</f>
        <v>2.5</v>
      </c>
      <c r="CX4" s="1663">
        <f>'Job Info.'!$J$7</f>
        <v>4</v>
      </c>
      <c r="CY4" s="1663">
        <f>'Job Info.'!$I$7</f>
        <v>2.5</v>
      </c>
      <c r="CZ4" s="1663">
        <f>'Job Info.'!$K$7</f>
        <v>3.5</v>
      </c>
      <c r="DA4" s="1664">
        <f>'Job Info.'!$M$7</f>
        <v>0.5625</v>
      </c>
      <c r="DB4" s="1663">
        <f>'Job Info.'!$L$7</f>
        <v>1.5</v>
      </c>
      <c r="DC4" s="1665">
        <f>'Job Info.'!$O$7</f>
        <v>2.5</v>
      </c>
      <c r="DE4" s="246"/>
      <c r="DF4" s="505" t="s">
        <v>75</v>
      </c>
      <c r="DG4" s="1655">
        <f>'Job Info.'!$N9/2</f>
        <v>0.5</v>
      </c>
      <c r="DH4" s="1656">
        <f>'Job Info.'!$H9</f>
        <v>2.5</v>
      </c>
      <c r="DI4" s="1657">
        <f>'Job Info.'!$J9</f>
        <v>4</v>
      </c>
      <c r="DJ4" s="1657">
        <f>'Job Info.'!$I9</f>
        <v>2.5</v>
      </c>
      <c r="DK4" s="1657">
        <f>'Job Info.'!$K9</f>
        <v>3.5</v>
      </c>
      <c r="DL4" s="1658">
        <f>'Job Info.'!$M9</f>
        <v>0.5625</v>
      </c>
      <c r="DM4" s="1657">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18" t="str">
        <f ca="1">'Job Info.'!D11</f>
        <v>8200 Woolery Way | Fallon, NV 89406 | www.newmill.com</v>
      </c>
      <c r="B5" s="2358"/>
      <c r="C5" s="2358"/>
      <c r="D5" s="2358"/>
      <c r="E5" s="2358"/>
      <c r="F5" s="2358"/>
      <c r="G5" s="2358"/>
      <c r="H5" s="2358"/>
      <c r="I5" s="2358"/>
      <c r="J5" s="2358"/>
      <c r="K5" s="2358"/>
      <c r="L5" s="2358"/>
      <c r="M5" s="2358"/>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6">
        <f>'Job Info.'!$N$8</f>
        <v>1</v>
      </c>
      <c r="CW5" s="1667">
        <f>'Job Info.'!$H$8</f>
        <v>2.5</v>
      </c>
      <c r="CX5" s="1667">
        <f>'Job Info.'!$J$8</f>
        <v>4</v>
      </c>
      <c r="CY5" s="1667">
        <f>'Job Info.'!$I$8</f>
        <v>2.5</v>
      </c>
      <c r="CZ5" s="1667">
        <f>'Job Info.'!$K$8</f>
        <v>3.5</v>
      </c>
      <c r="DA5" s="1668">
        <f>'Job Info.'!$M$8</f>
        <v>0.5625</v>
      </c>
      <c r="DB5" s="1667">
        <f>'Job Info.'!$L$8</f>
        <v>1.5</v>
      </c>
      <c r="DC5" s="1669">
        <f>'Job Info.'!$O$8</f>
        <v>2.5</v>
      </c>
      <c r="DE5" s="246"/>
      <c r="DF5" s="505" t="s">
        <v>1111</v>
      </c>
      <c r="DG5" s="1655">
        <f>'Job Info.'!$N10/2</f>
        <v>1</v>
      </c>
      <c r="DH5" s="1657">
        <f>'Job Info.'!$H10</f>
        <v>5</v>
      </c>
      <c r="DI5" s="1657">
        <f>'Job Info.'!$J10</f>
        <v>4</v>
      </c>
      <c r="DJ5" s="1657">
        <f>'Job Info.'!$I10</f>
        <v>2.5</v>
      </c>
      <c r="DK5" s="1657">
        <f>'Job Info.'!$K10</f>
        <v>4</v>
      </c>
      <c r="DL5" s="1658">
        <f>'Job Info.'!$M10</f>
        <v>0.8125</v>
      </c>
      <c r="DM5" s="1657">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374"/>
      <c r="W6" s="374"/>
      <c r="X6" s="460" t="s">
        <v>20</v>
      </c>
      <c r="Y6" s="1799">
        <f>IF(ISBLANK('Job Info.'!D8),"",'Job Info.'!D8)</f>
        <v>44909</v>
      </c>
      <c r="Z6" s="1799"/>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388"/>
      <c r="CD6" s="2214"/>
      <c r="CE6" s="2214"/>
      <c r="CF6" s="2214"/>
      <c r="CG6" s="244"/>
      <c r="CH6" s="244"/>
      <c r="CI6" s="244"/>
      <c r="CJ6" s="544"/>
      <c r="CK6" s="544"/>
      <c r="CL6" s="544"/>
      <c r="CM6" s="544"/>
      <c r="CN6" s="544"/>
      <c r="CO6" s="544"/>
      <c r="CP6" s="244"/>
      <c r="CQ6" s="244"/>
      <c r="CR6" s="374"/>
      <c r="CS6" s="244"/>
      <c r="CU6" s="579" t="s">
        <v>415</v>
      </c>
      <c r="CV6" s="1670">
        <f>'Job Info.'!$N$8</f>
        <v>1</v>
      </c>
      <c r="CW6" s="1671">
        <f>'Job Info.'!$H$8</f>
        <v>2.5</v>
      </c>
      <c r="CX6" s="1671">
        <f>'Job Info.'!$J$8</f>
        <v>4</v>
      </c>
      <c r="CY6" s="1671">
        <f>'Job Info.'!$I$8</f>
        <v>2.5</v>
      </c>
      <c r="CZ6" s="1671">
        <f>'Job Info.'!$K$8</f>
        <v>3.5</v>
      </c>
      <c r="DA6" s="1672">
        <f>'Job Info.'!$M$8</f>
        <v>0.5625</v>
      </c>
      <c r="DB6" s="1671">
        <f>'Job Info.'!$L$8</f>
        <v>1.5</v>
      </c>
      <c r="DC6" s="1673">
        <f>'Job Info.'!$O$15</f>
        <v>5</v>
      </c>
      <c r="DD6" s="246"/>
      <c r="DE6" s="246"/>
      <c r="DF6" s="505" t="s">
        <v>74</v>
      </c>
      <c r="DG6" s="1655">
        <f>'Job Info.'!$N11/2</f>
        <v>1</v>
      </c>
      <c r="DH6" s="1657">
        <f>'Job Info.'!$H11</f>
        <v>5</v>
      </c>
      <c r="DI6" s="1657">
        <f>'Job Info.'!$J11</f>
        <v>4</v>
      </c>
      <c r="DJ6" s="1657">
        <f>'Job Info.'!$I11</f>
        <v>4</v>
      </c>
      <c r="DK6" s="1657">
        <f>'Job Info.'!$K11</f>
        <v>4</v>
      </c>
      <c r="DL6" s="1658">
        <f>'Job Info.'!$M11</f>
        <v>0.8125</v>
      </c>
      <c r="DM6" s="1657">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41" t="str">
        <f>IF(ISBLANK(CC6),"",CC6)</f>
        <v/>
      </c>
      <c r="N7" s="1971"/>
      <c r="O7" s="1971"/>
      <c r="P7" s="1971"/>
      <c r="Q7" s="1971"/>
      <c r="R7" s="1971"/>
      <c r="S7" s="1971"/>
      <c r="T7"/>
      <c r="U7" s="1092"/>
      <c r="V7" s="374"/>
      <c r="W7" s="374"/>
      <c r="X7" s="460" t="s">
        <v>21</v>
      </c>
      <c r="Y7" s="1176" t="str">
        <f>CONCATENATE(AC7, " of ",IF(ISBLANK('Job Info.'!D9),"",'Job Info.'!D9))</f>
        <v xml:space="preserve"> of 28</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5">
        <f>'Job Info.'!$N12/2</f>
        <v>1</v>
      </c>
      <c r="DH7" s="1657">
        <f>'Job Info.'!$H12</f>
        <v>5</v>
      </c>
      <c r="DI7" s="1657">
        <f>'Job Info.'!$J12</f>
        <v>4</v>
      </c>
      <c r="DJ7" s="1657">
        <f>'Job Info.'!$I12</f>
        <v>4</v>
      </c>
      <c r="DK7" s="1657">
        <f>'Job Info.'!$K12</f>
        <v>4</v>
      </c>
      <c r="DL7" s="1658">
        <f>'Job Info.'!$M12</f>
        <v>0.8125</v>
      </c>
      <c r="DM7" s="1657">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5">
        <f>'Job Info.'!$N13/2</f>
        <v>1</v>
      </c>
      <c r="DH8" s="1657">
        <f>'Job Info.'!$H13</f>
        <v>5</v>
      </c>
      <c r="DI8" s="1657">
        <f>'Job Info.'!$J13</f>
        <v>4</v>
      </c>
      <c r="DJ8" s="1657">
        <f>'Job Info.'!$I13</f>
        <v>4</v>
      </c>
      <c r="DK8" s="1657">
        <f>'Job Info.'!$K13</f>
        <v>4</v>
      </c>
      <c r="DL8" s="1658">
        <f>'Job Info.'!$M13</f>
        <v>0.8125</v>
      </c>
      <c r="DM8" s="1657">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796" t="str">
        <f>IF(ISBLANK('Job Info.'!D3),"",'Job Info.'!D3)</f>
        <v>SUNCAP CHEYENNE&amp;COMMERCE BLDG A&amp;B PP</v>
      </c>
      <c r="D9" s="1796"/>
      <c r="E9" s="1796"/>
      <c r="F9" s="1796"/>
      <c r="G9" s="1796"/>
      <c r="H9" s="1796"/>
      <c r="I9" s="1796"/>
      <c r="J9" s="1796"/>
      <c r="K9" s="1796"/>
      <c r="L9" s="1796"/>
      <c r="M9" s="1796"/>
      <c r="N9" s="1796"/>
      <c r="O9" s="1797"/>
      <c r="P9" s="397"/>
      <c r="Q9" s="398"/>
      <c r="R9" s="458" t="s">
        <v>2</v>
      </c>
      <c r="S9" s="1797" t="str">
        <f>IF(ISBLANK('Job Info.'!D5),"",'Job Info.'!D5)</f>
        <v>9122-0050</v>
      </c>
      <c r="T9" s="2119"/>
      <c r="U9" s="2119"/>
      <c r="V9" s="2119"/>
      <c r="W9" s="2119"/>
      <c r="X9" s="2119"/>
      <c r="Y9" s="2119"/>
      <c r="Z9" s="2119"/>
      <c r="AA9" s="2119"/>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4">
        <f>'Job Info.'!$N14/2</f>
        <v>1</v>
      </c>
      <c r="DH9" s="1675">
        <f>'Job Info.'!$H14</f>
        <v>5</v>
      </c>
      <c r="DI9" s="1675">
        <f>'Job Info.'!$J14</f>
        <v>6</v>
      </c>
      <c r="DJ9" s="1675">
        <f>'Job Info.'!$I14</f>
        <v>4</v>
      </c>
      <c r="DK9" s="1675">
        <f>'Job Info.'!$K14</f>
        <v>4</v>
      </c>
      <c r="DL9" s="1676">
        <f>'Job Info.'!$M14</f>
        <v>0.8125</v>
      </c>
      <c r="DM9" s="1675">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796" t="str">
        <f>IF(ISBLANK('Job Info.'!D4),"",'Job Info.'!D4)</f>
        <v>LAS VEGAS, NV</v>
      </c>
      <c r="D10" s="1796"/>
      <c r="E10" s="1796"/>
      <c r="F10" s="1796"/>
      <c r="G10" s="1796"/>
      <c r="H10" s="1796"/>
      <c r="I10" s="1796"/>
      <c r="J10" s="1796"/>
      <c r="K10" s="1796"/>
      <c r="L10" s="1796"/>
      <c r="M10" s="1796"/>
      <c r="N10" s="1796"/>
      <c r="O10" s="1797"/>
      <c r="P10" s="402"/>
      <c r="Q10" s="403"/>
      <c r="R10" s="459" t="s">
        <v>22</v>
      </c>
      <c r="S10" s="1796" t="str">
        <f>IF(ISBLANK('Job Info.'!D6),"",'Job Info.'!D6)</f>
        <v>SA</v>
      </c>
      <c r="T10" s="1796"/>
      <c r="U10" s="1796"/>
      <c r="V10" s="1796"/>
      <c r="W10" s="1797"/>
      <c r="X10" s="403"/>
      <c r="Y10" s="459" t="s">
        <v>23</v>
      </c>
      <c r="Z10" s="1797" t="str">
        <f>IF(ISBLANK('Job Info.'!D7),"",'Job Info.'!D7)</f>
        <v>NR</v>
      </c>
      <c r="AA10" s="2119"/>
      <c r="AB10" s="399"/>
      <c r="BA10" s="246"/>
      <c r="BB10" s="1623">
        <f>J_A!BB17</f>
        <v>6</v>
      </c>
      <c r="BC10" s="1623">
        <f>J_A!BC17</f>
        <v>4</v>
      </c>
      <c r="BD10" s="1623">
        <f>J_A!BD17</f>
        <v>13</v>
      </c>
      <c r="BE10" s="1623">
        <f>J_A!BE17</f>
        <v>4</v>
      </c>
      <c r="BF10" s="1623">
        <f>J_A!BF17</f>
        <v>5</v>
      </c>
      <c r="BG10" s="1624">
        <f>J_A!BG17</f>
        <v>3</v>
      </c>
      <c r="BH10" s="1624">
        <f>J_A!BH17</f>
        <v>4.57</v>
      </c>
      <c r="BI10" s="1624">
        <f>J_A!BI17</f>
        <v>4.57</v>
      </c>
      <c r="BJ10" s="1624">
        <f>J_A!BJ17</f>
        <v>2.71</v>
      </c>
      <c r="BK10" s="1624">
        <f>J_A!BK17</f>
        <v>4.57</v>
      </c>
      <c r="BL10" s="1624">
        <f>J_A!BL17</f>
        <v>4.57</v>
      </c>
      <c r="BM10" s="1624">
        <f>J_A!BM17</f>
        <v>4</v>
      </c>
      <c r="BN10" s="1624">
        <f>J_A!BN17</f>
        <v>5</v>
      </c>
      <c r="BO10" s="1624">
        <f>J_A!BO17</f>
        <v>2.71</v>
      </c>
      <c r="BP10" s="1624">
        <f>J_A!BP17</f>
        <v>5.29</v>
      </c>
      <c r="BQ10" s="1624">
        <f>J_A!BQ17</f>
        <v>5.29</v>
      </c>
      <c r="BR10" s="1624">
        <f>J_A!BR17</f>
        <v>4</v>
      </c>
      <c r="BS10" s="1624">
        <f>J_A!BS17</f>
        <v>3</v>
      </c>
      <c r="BT10" s="1624">
        <f>J_A!BT17</f>
        <v>4.57</v>
      </c>
      <c r="BU10" s="1624">
        <f>J_A!BU17</f>
        <v>4.57</v>
      </c>
      <c r="BV10" s="1624">
        <f>J_A!BV17</f>
        <v>2.71</v>
      </c>
      <c r="BW10" s="1623">
        <f>J_A!BW17</f>
        <v>4.57</v>
      </c>
      <c r="BX10" s="1623">
        <f>J_A!BX17</f>
        <v>4.57</v>
      </c>
      <c r="BY10" s="1623">
        <f>J_A!BY17</f>
        <v>4</v>
      </c>
      <c r="BZ10" s="1623">
        <f>J_A!BZ17</f>
        <v>5</v>
      </c>
      <c r="CA10" s="1623">
        <f>J_A!CA17</f>
        <v>2.71</v>
      </c>
      <c r="CB10" s="1624">
        <f>J_A!CB17</f>
        <v>5.29</v>
      </c>
      <c r="CC10" s="1623">
        <f>J_A!CC17</f>
        <v>5.29</v>
      </c>
      <c r="CD10" s="1623">
        <f>J_A!CD17</f>
        <v>4</v>
      </c>
      <c r="CE10" s="1623">
        <f>J_A!CE17</f>
        <v>5</v>
      </c>
      <c r="CF10" s="1623">
        <f>J_A!CF17</f>
        <v>17.14</v>
      </c>
      <c r="CG10" s="1624">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89" t="s">
        <v>592</v>
      </c>
      <c r="BC11" s="2390"/>
      <c r="BD11" s="2390"/>
      <c r="BE11" s="2390"/>
      <c r="BF11" s="2390"/>
      <c r="BG11" s="2390"/>
      <c r="BH11" s="2390"/>
      <c r="BI11" s="2390"/>
      <c r="BJ11" s="2390"/>
      <c r="BK11" s="2390"/>
      <c r="BL11" s="2390"/>
      <c r="BM11" s="2390"/>
      <c r="BN11" s="2390"/>
      <c r="BO11" s="2390"/>
      <c r="BP11" s="2390"/>
      <c r="BQ11" s="2390"/>
      <c r="BR11" s="2390"/>
      <c r="BS11" s="2390"/>
      <c r="BT11" s="2390"/>
      <c r="BU11" s="2390"/>
      <c r="BV11" s="2390"/>
      <c r="BW11" s="2390"/>
      <c r="BX11" s="2390"/>
      <c r="BY11" s="2390"/>
      <c r="BZ11" s="2390"/>
      <c r="CA11" s="2390"/>
      <c r="CB11" s="2390"/>
      <c r="CC11" s="1558"/>
      <c r="CD11" s="2393"/>
      <c r="CE11" s="2393"/>
      <c r="CF11" s="2393"/>
      <c r="CG11" s="239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IF(ISBLANK(CC7),"",CC7)</f>
        <v/>
      </c>
      <c r="AB12" s="405" t="str">
        <f>AA12</f>
        <v/>
      </c>
      <c r="BA12" s="246"/>
      <c r="BB12" s="2391"/>
      <c r="BC12" s="2392"/>
      <c r="BD12" s="2392"/>
      <c r="BE12" s="2392"/>
      <c r="BF12" s="2392"/>
      <c r="BG12" s="2392"/>
      <c r="BH12" s="2392"/>
      <c r="BI12" s="2392"/>
      <c r="BJ12" s="2392"/>
      <c r="BK12" s="2392"/>
      <c r="BL12" s="2392"/>
      <c r="BM12" s="2392"/>
      <c r="BN12" s="2392"/>
      <c r="BO12" s="2392"/>
      <c r="BP12" s="2392"/>
      <c r="BQ12" s="2392"/>
      <c r="BR12" s="2392"/>
      <c r="BS12" s="2392"/>
      <c r="BT12" s="2392"/>
      <c r="BU12" s="2392"/>
      <c r="BV12" s="2392"/>
      <c r="BW12" s="2392"/>
      <c r="BX12" s="2392"/>
      <c r="BY12" s="2392"/>
      <c r="BZ12" s="2392"/>
      <c r="CA12" s="2392"/>
      <c r="CB12" s="2392"/>
      <c r="CC12" s="1557"/>
      <c r="CD12" s="2395"/>
      <c r="CE12" s="2396"/>
      <c r="CF12" s="2396"/>
      <c r="CG12" s="2397"/>
      <c r="CH12" s="244"/>
      <c r="CI12" s="244"/>
      <c r="CJ12" s="244"/>
      <c r="CK12" s="244"/>
      <c r="CL12" s="244"/>
      <c r="CM12" s="933"/>
      <c r="CN12" s="2353" t="s">
        <v>679</v>
      </c>
      <c r="CO12" s="2354"/>
      <c r="CP12" s="2098" t="s">
        <v>615</v>
      </c>
      <c r="CQ12" s="2348"/>
      <c r="CR12" s="2379" t="s">
        <v>482</v>
      </c>
      <c r="CS12" s="2365"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11" t="s">
        <v>581</v>
      </c>
      <c r="EW12" s="2290" t="s">
        <v>472</v>
      </c>
      <c r="EX12" s="2290" t="s">
        <v>525</v>
      </c>
      <c r="EY12" s="2290" t="s">
        <v>526</v>
      </c>
      <c r="EZ12" s="2290" t="s">
        <v>527</v>
      </c>
      <c r="FA12" s="2290" t="s">
        <v>528</v>
      </c>
      <c r="FB12" s="2290" t="s">
        <v>529</v>
      </c>
      <c r="FC12" s="2290" t="s">
        <v>530</v>
      </c>
      <c r="FD12" s="2290" t="s">
        <v>531</v>
      </c>
      <c r="FE12" s="2290" t="s">
        <v>473</v>
      </c>
      <c r="FF12" s="2290" t="s">
        <v>532</v>
      </c>
      <c r="FG12" s="2290" t="s">
        <v>583</v>
      </c>
      <c r="FH12" s="2290" t="s">
        <v>474</v>
      </c>
      <c r="FI12" s="2290" t="s">
        <v>533</v>
      </c>
      <c r="FJ12" s="2290" t="s">
        <v>475</v>
      </c>
      <c r="FK12" s="2290" t="s">
        <v>534</v>
      </c>
      <c r="FL12" s="2290" t="s">
        <v>584</v>
      </c>
      <c r="FM12" s="2290" t="s">
        <v>476</v>
      </c>
      <c r="FN12" s="2290" t="s">
        <v>477</v>
      </c>
      <c r="FQ12" s="2373" t="s">
        <v>656</v>
      </c>
      <c r="FR12" s="2374"/>
      <c r="GA12" s="374"/>
      <c r="GB12" s="374"/>
      <c r="GC12" s="374"/>
      <c r="GD12" s="374"/>
      <c r="GE12" s="374"/>
      <c r="GF12" s="374"/>
      <c r="GG12" s="374"/>
      <c r="GH12" s="374"/>
      <c r="GI12" s="374"/>
      <c r="GJ12" s="374"/>
      <c r="HA12" s="2295" t="s">
        <v>621</v>
      </c>
      <c r="HB12" s="2296"/>
      <c r="HC12" s="2296"/>
      <c r="HD12" s="2296"/>
      <c r="HE12" s="2296"/>
      <c r="HF12" s="2296"/>
      <c r="HG12" s="2296"/>
      <c r="HH12" s="2296"/>
      <c r="HI12" s="2296"/>
      <c r="HJ12" s="2296"/>
      <c r="HK12" s="2296"/>
      <c r="HL12" s="2296"/>
      <c r="HM12" s="2296"/>
      <c r="HN12" s="2296"/>
      <c r="HO12" s="2296"/>
      <c r="HP12" s="2296"/>
      <c r="HQ12" s="2296"/>
      <c r="HR12" s="2296"/>
      <c r="HS12" s="2296"/>
      <c r="HT12" s="2296"/>
      <c r="HU12" s="2296"/>
      <c r="HV12" s="2297"/>
      <c r="HW12" s="2297"/>
      <c r="HX12" s="2297"/>
      <c r="HY12" s="2298"/>
      <c r="HZ12" s="2298"/>
      <c r="IA12" s="2298"/>
      <c r="IB12" s="2298"/>
      <c r="IC12" s="2298"/>
      <c r="ID12" s="2298"/>
      <c r="IE12" s="2298"/>
      <c r="IF12" s="2299"/>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72" t="s">
        <v>450</v>
      </c>
      <c r="AV13" s="2373" t="s">
        <v>451</v>
      </c>
      <c r="AW13" s="2374"/>
      <c r="AX13" s="465"/>
      <c r="BA13" s="246"/>
      <c r="BB13" s="2470"/>
      <c r="BC13" s="2471"/>
      <c r="BD13" s="2471"/>
      <c r="BE13" s="2471"/>
      <c r="BF13" s="2236"/>
      <c r="BG13" s="2334" t="s">
        <v>469</v>
      </c>
      <c r="BH13" s="2335"/>
      <c r="BI13" s="2335"/>
      <c r="BJ13" s="2335"/>
      <c r="BK13" s="2335"/>
      <c r="BL13" s="2336"/>
      <c r="BM13" s="2337"/>
      <c r="BN13" s="2337"/>
      <c r="BO13" s="2338"/>
      <c r="BP13" s="2338"/>
      <c r="BQ13" s="2338"/>
      <c r="BR13" s="2339"/>
      <c r="BS13" s="2334" t="s">
        <v>470</v>
      </c>
      <c r="BT13" s="2336"/>
      <c r="BU13" s="2336"/>
      <c r="BV13" s="2336"/>
      <c r="BW13" s="2336"/>
      <c r="BX13" s="2336"/>
      <c r="BY13" s="2337"/>
      <c r="BZ13" s="2337"/>
      <c r="CA13" s="2338"/>
      <c r="CB13" s="2338"/>
      <c r="CC13" s="2338"/>
      <c r="CD13" s="2339"/>
      <c r="CE13" s="2465" t="s">
        <v>804</v>
      </c>
      <c r="CF13" s="2321"/>
      <c r="CG13" s="2322"/>
      <c r="CH13" s="244"/>
      <c r="CI13" s="244"/>
      <c r="CJ13" s="244"/>
      <c r="CK13" s="244"/>
      <c r="CL13" s="934"/>
      <c r="CM13" s="935"/>
      <c r="CN13" s="2355"/>
      <c r="CO13" s="2356"/>
      <c r="CP13" s="2349"/>
      <c r="CQ13" s="2350"/>
      <c r="CR13" s="2380"/>
      <c r="CS13" s="2366"/>
      <c r="CU13" s="2329" t="s">
        <v>471</v>
      </c>
      <c r="CV13" s="2330"/>
      <c r="CW13" s="2330"/>
      <c r="CX13" s="2330"/>
      <c r="CY13" s="2330"/>
      <c r="CZ13" s="2330"/>
      <c r="DA13" s="2330"/>
      <c r="DB13" s="2330"/>
      <c r="DC13" s="2330"/>
      <c r="DD13" s="2331"/>
      <c r="DE13" s="2329" t="s">
        <v>470</v>
      </c>
      <c r="DF13" s="2330"/>
      <c r="DG13" s="2330"/>
      <c r="DH13" s="2330"/>
      <c r="DI13" s="2330"/>
      <c r="DJ13" s="2330"/>
      <c r="DK13" s="2330"/>
      <c r="DL13" s="2330"/>
      <c r="DM13" s="2330"/>
      <c r="DN13" s="2331"/>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12"/>
      <c r="EW13" s="2415"/>
      <c r="EX13" s="2291"/>
      <c r="EY13" s="2291"/>
      <c r="EZ13" s="2342"/>
      <c r="FA13" s="2291"/>
      <c r="FB13" s="2291"/>
      <c r="FC13" s="2291"/>
      <c r="FD13" s="2292"/>
      <c r="FE13" s="2292"/>
      <c r="FF13" s="2292"/>
      <c r="FG13" s="2292"/>
      <c r="FH13" s="2292"/>
      <c r="FI13" s="2292"/>
      <c r="FJ13" s="2292"/>
      <c r="FK13" s="2292"/>
      <c r="FL13" s="2292"/>
      <c r="FM13" s="2292"/>
      <c r="FN13" s="2292"/>
      <c r="FQ13" s="2375"/>
      <c r="FR13" s="2376"/>
      <c r="GA13" s="2448" t="s">
        <v>1140</v>
      </c>
      <c r="GB13" s="2448"/>
      <c r="GC13" s="2448"/>
      <c r="GD13" s="2448"/>
      <c r="GE13" s="2448"/>
      <c r="GF13" s="2448"/>
      <c r="GG13" s="2221"/>
      <c r="GH13" s="2221"/>
      <c r="GI13" s="2221"/>
      <c r="GJ13" s="2221"/>
      <c r="HA13" s="2300"/>
      <c r="HB13" s="2301"/>
      <c r="HC13" s="2301"/>
      <c r="HD13" s="2301"/>
      <c r="HE13" s="2301"/>
      <c r="HF13" s="2301"/>
      <c r="HG13" s="2301"/>
      <c r="HH13" s="2301"/>
      <c r="HI13" s="2301"/>
      <c r="HJ13" s="2301"/>
      <c r="HK13" s="2301"/>
      <c r="HL13" s="2301"/>
      <c r="HM13" s="2301"/>
      <c r="HN13" s="2301"/>
      <c r="HO13" s="2301"/>
      <c r="HP13" s="2301"/>
      <c r="HQ13" s="2301"/>
      <c r="HR13" s="2301"/>
      <c r="HS13" s="2301"/>
      <c r="HT13" s="2301"/>
      <c r="HU13" s="2301"/>
      <c r="HV13" s="2302"/>
      <c r="HW13" s="2302"/>
      <c r="HX13" s="2302"/>
      <c r="HY13" s="2303"/>
      <c r="HZ13" s="2303"/>
      <c r="IA13" s="2303"/>
      <c r="IB13" s="2303"/>
      <c r="IC13" s="2303"/>
      <c r="ID13" s="2303"/>
      <c r="IE13" s="2303"/>
      <c r="IF13" s="2304"/>
    </row>
    <row r="14" spans="1:241" ht="12.6" customHeight="1" thickTop="1" thickBot="1" x14ac:dyDescent="0.25">
      <c r="A14" s="2363" t="s">
        <v>40</v>
      </c>
      <c r="B14" s="2359" t="s">
        <v>28</v>
      </c>
      <c r="C14" s="2359" t="s">
        <v>24</v>
      </c>
      <c r="D14" s="2359" t="s">
        <v>25</v>
      </c>
      <c r="E14" s="2473"/>
      <c r="F14" s="1907" t="s">
        <v>9</v>
      </c>
      <c r="G14" s="1908"/>
      <c r="H14" s="1908"/>
      <c r="I14" s="1908" t="s">
        <v>10</v>
      </c>
      <c r="J14" s="1908"/>
      <c r="K14" s="1909"/>
      <c r="L14" s="1907" t="s">
        <v>11</v>
      </c>
      <c r="M14" s="1909"/>
      <c r="N14" s="1910" t="s">
        <v>12</v>
      </c>
      <c r="O14" s="1908"/>
      <c r="P14" s="1908"/>
      <c r="Q14" s="1908" t="s">
        <v>13</v>
      </c>
      <c r="R14" s="1908"/>
      <c r="S14" s="1911"/>
      <c r="T14" s="1907" t="s">
        <v>14</v>
      </c>
      <c r="U14" s="1908"/>
      <c r="V14" s="1908"/>
      <c r="W14" s="1908"/>
      <c r="X14" s="1909"/>
      <c r="Y14" s="1938" t="s">
        <v>111</v>
      </c>
      <c r="Z14" s="1939"/>
      <c r="AA14" s="1059" t="s">
        <v>15</v>
      </c>
      <c r="AB14" s="1412"/>
      <c r="AD14" s="426"/>
      <c r="AE14" s="426"/>
      <c r="AF14" s="426"/>
      <c r="AG14" s="426"/>
      <c r="AH14" s="426"/>
      <c r="AI14" s="426"/>
      <c r="AJ14" s="426"/>
      <c r="AK14" s="426"/>
      <c r="AL14" s="426"/>
      <c r="AM14" s="426"/>
      <c r="AN14" s="426"/>
      <c r="AO14" s="426"/>
      <c r="AP14" s="426"/>
      <c r="AQ14" s="426"/>
      <c r="AR14" s="426"/>
      <c r="AS14" s="426"/>
      <c r="AT14" s="426"/>
      <c r="AU14" s="1874"/>
      <c r="AV14" s="2375"/>
      <c r="AW14" s="2376"/>
      <c r="AX14" s="502"/>
      <c r="AY14" s="426"/>
      <c r="AZ14" s="2434" t="s">
        <v>1059</v>
      </c>
      <c r="BA14" s="246"/>
      <c r="BB14" s="2340" t="s">
        <v>539</v>
      </c>
      <c r="BC14" s="2382" t="s">
        <v>130</v>
      </c>
      <c r="BD14" s="2383" t="s">
        <v>540</v>
      </c>
      <c r="BE14" s="2384" t="s">
        <v>1290</v>
      </c>
      <c r="BF14" s="2385"/>
      <c r="BG14" s="1949" t="s">
        <v>1282</v>
      </c>
      <c r="BH14" s="2383" t="s">
        <v>803</v>
      </c>
      <c r="BI14" s="1952"/>
      <c r="BJ14" s="2312" t="s">
        <v>541</v>
      </c>
      <c r="BK14" s="2383" t="s">
        <v>1072</v>
      </c>
      <c r="BL14" s="1952"/>
      <c r="BM14" s="2382" t="s">
        <v>488</v>
      </c>
      <c r="BN14" s="2449" t="s">
        <v>793</v>
      </c>
      <c r="BO14" s="2451" t="s">
        <v>1275</v>
      </c>
      <c r="BP14" s="2223" t="s">
        <v>1276</v>
      </c>
      <c r="BQ14" s="2224"/>
      <c r="BR14" s="2225"/>
      <c r="BS14" s="1949" t="s">
        <v>1282</v>
      </c>
      <c r="BT14" s="2383" t="s">
        <v>803</v>
      </c>
      <c r="BU14" s="1952"/>
      <c r="BV14" s="2312" t="s">
        <v>541</v>
      </c>
      <c r="BW14" s="2383" t="s">
        <v>1072</v>
      </c>
      <c r="BX14" s="1952"/>
      <c r="BY14" s="2382" t="s">
        <v>488</v>
      </c>
      <c r="BZ14" s="2468" t="s">
        <v>793</v>
      </c>
      <c r="CA14" s="2451" t="s">
        <v>1275</v>
      </c>
      <c r="CB14" s="2223" t="s">
        <v>1276</v>
      </c>
      <c r="CC14" s="2224"/>
      <c r="CD14" s="2225"/>
      <c r="CE14" s="2466"/>
      <c r="CF14" s="2323"/>
      <c r="CG14" s="2322"/>
      <c r="CH14" s="2370" t="s">
        <v>588</v>
      </c>
      <c r="CI14" s="2371"/>
      <c r="CJ14" s="2371"/>
      <c r="CK14" s="2370" t="s">
        <v>589</v>
      </c>
      <c r="CL14" s="2357" t="s">
        <v>786</v>
      </c>
      <c r="CM14" s="2357"/>
      <c r="CN14" s="2355"/>
      <c r="CO14" s="2356"/>
      <c r="CP14" s="2351"/>
      <c r="CQ14" s="2352"/>
      <c r="CR14" s="2380"/>
      <c r="CS14" s="2366"/>
      <c r="CT14" s="426"/>
      <c r="CU14" s="2368" t="s">
        <v>498</v>
      </c>
      <c r="CV14" s="2327" t="s">
        <v>499</v>
      </c>
      <c r="CW14" s="2327" t="s">
        <v>500</v>
      </c>
      <c r="CX14" s="2327" t="s">
        <v>501</v>
      </c>
      <c r="CY14" s="2327" t="s">
        <v>560</v>
      </c>
      <c r="CZ14" s="2327" t="s">
        <v>578</v>
      </c>
      <c r="DA14" s="2327" t="s">
        <v>502</v>
      </c>
      <c r="DB14" s="2327" t="s">
        <v>579</v>
      </c>
      <c r="DC14" s="2327" t="s">
        <v>503</v>
      </c>
      <c r="DD14" s="2327" t="s">
        <v>504</v>
      </c>
      <c r="DE14" s="2368" t="s">
        <v>498</v>
      </c>
      <c r="DF14" s="2327" t="s">
        <v>499</v>
      </c>
      <c r="DG14" s="2327" t="s">
        <v>505</v>
      </c>
      <c r="DH14" s="2327" t="s">
        <v>501</v>
      </c>
      <c r="DI14" s="2327" t="s">
        <v>560</v>
      </c>
      <c r="DJ14" s="2327" t="s">
        <v>578</v>
      </c>
      <c r="DK14" s="2327" t="s">
        <v>502</v>
      </c>
      <c r="DL14" s="2327" t="s">
        <v>579</v>
      </c>
      <c r="DM14" s="2327" t="s">
        <v>503</v>
      </c>
      <c r="DN14" s="2438" t="s">
        <v>504</v>
      </c>
      <c r="DO14" s="2436" t="s">
        <v>491</v>
      </c>
      <c r="DP14" s="2305" t="s">
        <v>506</v>
      </c>
      <c r="DQ14" s="2293" t="s">
        <v>507</v>
      </c>
      <c r="DR14" s="2422" t="s">
        <v>508</v>
      </c>
      <c r="DS14" s="2414" t="s">
        <v>543</v>
      </c>
      <c r="DT14" s="2416" t="s">
        <v>509</v>
      </c>
      <c r="DU14" s="2417"/>
      <c r="DV14" s="2442" t="s">
        <v>1103</v>
      </c>
      <c r="DW14" s="2409" t="s">
        <v>1104</v>
      </c>
      <c r="DX14" s="2434" t="s">
        <v>514</v>
      </c>
      <c r="DY14" s="2414" t="s">
        <v>544</v>
      </c>
      <c r="DZ14" s="2416" t="s">
        <v>511</v>
      </c>
      <c r="EA14" s="2417"/>
      <c r="EB14" s="2409" t="s">
        <v>1105</v>
      </c>
      <c r="EC14" s="2409" t="s">
        <v>1106</v>
      </c>
      <c r="ED14" s="2434" t="s">
        <v>516</v>
      </c>
      <c r="EE14" s="2293" t="s">
        <v>545</v>
      </c>
      <c r="EF14" s="2418" t="s">
        <v>546</v>
      </c>
      <c r="EG14" s="2419"/>
      <c r="EH14" s="2418" t="s">
        <v>547</v>
      </c>
      <c r="EI14" s="2420"/>
      <c r="EJ14" s="2422" t="s">
        <v>548</v>
      </c>
      <c r="EK14" s="2423"/>
      <c r="EL14" s="2293" t="s">
        <v>568</v>
      </c>
      <c r="EM14" s="2418" t="s">
        <v>549</v>
      </c>
      <c r="EN14" s="2419"/>
      <c r="EO14" s="2418" t="s">
        <v>550</v>
      </c>
      <c r="EP14" s="2420"/>
      <c r="EQ14" s="2422" t="s">
        <v>551</v>
      </c>
      <c r="ER14" s="2423"/>
      <c r="ES14" s="2293" t="s">
        <v>12</v>
      </c>
      <c r="ET14" s="2293" t="s">
        <v>13</v>
      </c>
      <c r="EU14" s="2422" t="s">
        <v>582</v>
      </c>
      <c r="EV14" s="2412"/>
      <c r="EW14" s="2415"/>
      <c r="EX14" s="2291"/>
      <c r="EY14" s="2291"/>
      <c r="EZ14" s="2342"/>
      <c r="FA14" s="2291"/>
      <c r="FB14" s="2291"/>
      <c r="FC14" s="2291"/>
      <c r="FD14" s="2292"/>
      <c r="FE14" s="2292"/>
      <c r="FF14" s="2292"/>
      <c r="FG14" s="2292"/>
      <c r="FH14" s="2292"/>
      <c r="FI14" s="2292"/>
      <c r="FJ14" s="2292"/>
      <c r="FK14" s="2292"/>
      <c r="FL14" s="2292"/>
      <c r="FM14" s="2292"/>
      <c r="FN14" s="2292"/>
      <c r="FO14" s="2293" t="s">
        <v>590</v>
      </c>
      <c r="FP14" s="2293" t="s">
        <v>591</v>
      </c>
      <c r="FQ14" s="2307" t="s">
        <v>654</v>
      </c>
      <c r="FR14" s="2316" t="s">
        <v>655</v>
      </c>
      <c r="FS14" s="2305" t="s">
        <v>682</v>
      </c>
      <c r="FT14" s="2325" t="s">
        <v>683</v>
      </c>
      <c r="FU14" s="2062" t="s">
        <v>787</v>
      </c>
      <c r="FV14" s="2063"/>
      <c r="FW14" s="426"/>
      <c r="FX14" s="426"/>
      <c r="FY14" s="426"/>
      <c r="FZ14" s="426"/>
      <c r="GA14" s="2028" t="s">
        <v>708</v>
      </c>
      <c r="GB14" s="2029"/>
      <c r="GC14" s="2028" t="s">
        <v>558</v>
      </c>
      <c r="GD14" s="2029"/>
      <c r="GE14" s="2072" t="s">
        <v>711</v>
      </c>
      <c r="GF14" s="2074" t="s">
        <v>40</v>
      </c>
      <c r="GG14" s="2446" t="s">
        <v>1142</v>
      </c>
      <c r="GH14" s="2447"/>
      <c r="GI14" s="2446" t="s">
        <v>1141</v>
      </c>
      <c r="GJ14" s="2447"/>
      <c r="GK14" s="2032" t="s">
        <v>712</v>
      </c>
      <c r="GL14" s="2032" t="s">
        <v>713</v>
      </c>
      <c r="GM14" s="2032" t="s">
        <v>714</v>
      </c>
      <c r="HA14" s="2314" t="s">
        <v>539</v>
      </c>
      <c r="HB14" s="2344" t="s">
        <v>130</v>
      </c>
      <c r="HC14" s="2344" t="s">
        <v>540</v>
      </c>
      <c r="HD14" s="2343" t="str">
        <f>IF($HA$1,"Joist ""BayLength""","Overall Length")</f>
        <v>Joist "BayLength"</v>
      </c>
      <c r="HE14" s="2344"/>
      <c r="HF14" s="2286" t="str">
        <f>IF($HA$1,"Left Sect. #","TCXL Feet")</f>
        <v>Left Sect. #</v>
      </c>
      <c r="HG14" s="2286" t="str">
        <f>IF($HA$1,"L Min Sup Width","TCXL Inch")</f>
        <v>L Min Sup Width</v>
      </c>
      <c r="HH14" s="2286" t="str">
        <f>IF($HA$1,"L Max Sup Width","TCXL Type")</f>
        <v>L Max Sup Width</v>
      </c>
      <c r="HI14" s="2286" t="str">
        <f>IF($HA$1,"Left Bolt ""X""","TCXR Feet")</f>
        <v>Left Bolt "X"</v>
      </c>
      <c r="HJ14" s="2286" t="str">
        <f>IF($HA$1,"L Min Flg Ga","TCXR Inch")</f>
        <v>L Min Flg Ga</v>
      </c>
      <c r="HK14" s="2286" t="str">
        <f>IF($HA$1,"L Max Flg Ga","TCXR Type")</f>
        <v>L Max Flg Ga</v>
      </c>
      <c r="HL14" s="2286" t="str">
        <f>IF($HA$1,"Left Skew","BDL")</f>
        <v>Left Skew</v>
      </c>
      <c r="HM14" s="2286" t="str">
        <f>IF($HA$1,"Left Brg Slp","BDR")</f>
        <v>Left Brg Slp</v>
      </c>
      <c r="HN14" s="2286" t="str">
        <f>IF($HA$1,"Right Sect. #","BCXL Feet")</f>
        <v>Right Sect. #</v>
      </c>
      <c r="HO14" s="2286" t="str">
        <f>IF($HA$1,"R Min Sup Width","BCXL Inch")</f>
        <v>R Min Sup Width</v>
      </c>
      <c r="HP14" s="2286" t="str">
        <f>IF($HA$1,"R Max Sup Width","BCXL Type")</f>
        <v>R Max Sup Width</v>
      </c>
      <c r="HQ14" s="2286" t="str">
        <f>IF($HA$1,"Right Bolt ""X""","BCXR Feet")</f>
        <v>Right Bolt "X"</v>
      </c>
      <c r="HR14" s="2286" t="str">
        <f>IF($HA$1,"R Min Flg Ga","BCXR Inch")</f>
        <v>R Min Flg Ga</v>
      </c>
      <c r="HS14" s="2286" t="str">
        <f>IF($HA$1,"R Max Flg Ga","BCXR Type")</f>
        <v>R Max Flg Ga</v>
      </c>
      <c r="HT14" s="2286" t="str">
        <f>IF($HA$1,"Right Skew","HL Feet")</f>
        <v>Right Skew</v>
      </c>
      <c r="HU14" s="2286" t="str">
        <f>IF($HA$1,"Right Brg Slp","HL Inch")</f>
        <v>Right Brg Slp</v>
      </c>
      <c r="HV14" s="2286" t="str">
        <f>IF($HA$1,"TC Slope","HR Feet")</f>
        <v>TC Slope</v>
      </c>
      <c r="HW14" s="2286" t="str">
        <f>IF($HA$1,"Load Notes","HR Inch")</f>
        <v>Load Notes</v>
      </c>
      <c r="HX14" s="2286" t="str">
        <f>IF($HA$1,"Spcl Notes","Slot Ga")</f>
        <v>Spcl Notes</v>
      </c>
      <c r="HY14" s="2286" t="str">
        <f>IF($HA$1,"TC L Override","L Seat Slp")</f>
        <v>TC L Override</v>
      </c>
      <c r="HZ14" s="2286" t="str">
        <f>IF($HA$1,"TCR Override","R Seat Slp")</f>
        <v>TCR Override</v>
      </c>
      <c r="IA14" s="2286" t="str">
        <f>IF($HA$1,"L-BL Override","Sp Notes")</f>
        <v>L-BL Override</v>
      </c>
      <c r="IB14" s="2286" t="str">
        <f>IF($HA$1,"R-BL Override","Ld Notes")</f>
        <v>R-BL Override</v>
      </c>
      <c r="IC14" s="2286" t="str">
        <f>IF($HA$1,"BCXL ""X""","-")</f>
        <v>BCXL "X"</v>
      </c>
      <c r="ID14" s="2286" t="str">
        <f>IF($HA$1,"BCXR ""X""","-")</f>
        <v>BCXR "X"</v>
      </c>
      <c r="IE14" s="2286" t="str">
        <f>IF($HA$1,"BDL Override","-")</f>
        <v>BDL Override</v>
      </c>
      <c r="IF14" s="2288" t="str">
        <f>IF($HA$1,"BDR Override","-")</f>
        <v>BDR Override</v>
      </c>
    </row>
    <row r="15" spans="1:241" ht="12.6" customHeight="1" thickTop="1" thickBot="1" x14ac:dyDescent="0.25">
      <c r="A15" s="2364"/>
      <c r="B15" s="2361"/>
      <c r="C15" s="2361"/>
      <c r="D15" s="2361"/>
      <c r="E15" s="2474"/>
      <c r="F15" s="1916" t="s">
        <v>16</v>
      </c>
      <c r="G15" s="1915"/>
      <c r="H15" s="1103" t="s">
        <v>732</v>
      </c>
      <c r="I15" s="1915" t="s">
        <v>16</v>
      </c>
      <c r="J15" s="1915"/>
      <c r="K15" s="461" t="s">
        <v>732</v>
      </c>
      <c r="L15" s="1107" t="s">
        <v>18</v>
      </c>
      <c r="M15" s="461" t="s">
        <v>19</v>
      </c>
      <c r="N15" s="1914" t="s">
        <v>16</v>
      </c>
      <c r="O15" s="1915"/>
      <c r="P15" s="1103" t="s">
        <v>732</v>
      </c>
      <c r="Q15" s="1915" t="s">
        <v>16</v>
      </c>
      <c r="R15" s="1915"/>
      <c r="S15" s="1065" t="s">
        <v>732</v>
      </c>
      <c r="T15" s="1916" t="s">
        <v>80</v>
      </c>
      <c r="U15" s="1915"/>
      <c r="V15" s="1915" t="s">
        <v>81</v>
      </c>
      <c r="W15" s="1915"/>
      <c r="X15" s="461" t="s">
        <v>27</v>
      </c>
      <c r="Y15" s="1107" t="s">
        <v>112</v>
      </c>
      <c r="Z15" s="461" t="s">
        <v>113</v>
      </c>
      <c r="AA15" s="1060" t="s">
        <v>57</v>
      </c>
      <c r="AB15" s="1413"/>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75"/>
      <c r="AV15" s="2377"/>
      <c r="AW15" s="2378"/>
      <c r="AX15" s="503" t="s">
        <v>632</v>
      </c>
      <c r="AY15" s="503" t="s">
        <v>133</v>
      </c>
      <c r="AZ15" s="2464"/>
      <c r="BA15" s="246"/>
      <c r="BB15" s="2080"/>
      <c r="BC15" s="2152"/>
      <c r="BD15" s="1953"/>
      <c r="BE15" s="2386"/>
      <c r="BF15" s="2387"/>
      <c r="BG15" s="1950"/>
      <c r="BH15" s="2453"/>
      <c r="BI15" s="2454"/>
      <c r="BJ15" s="2313"/>
      <c r="BK15" s="2453"/>
      <c r="BL15" s="2454"/>
      <c r="BM15" s="2152"/>
      <c r="BN15" s="2450"/>
      <c r="BO15" s="2452"/>
      <c r="BP15" s="1547" t="s">
        <v>1277</v>
      </c>
      <c r="BQ15" s="1548" t="s">
        <v>1278</v>
      </c>
      <c r="BR15" s="1549" t="s">
        <v>501</v>
      </c>
      <c r="BS15" s="1950"/>
      <c r="BT15" s="2453"/>
      <c r="BU15" s="2454"/>
      <c r="BV15" s="2313"/>
      <c r="BW15" s="2453"/>
      <c r="BX15" s="2454"/>
      <c r="BY15" s="2152"/>
      <c r="BZ15" s="2469"/>
      <c r="CA15" s="2452"/>
      <c r="CB15" s="1547" t="s">
        <v>1277</v>
      </c>
      <c r="CC15" s="1548" t="s">
        <v>1278</v>
      </c>
      <c r="CD15" s="1549" t="s">
        <v>501</v>
      </c>
      <c r="CE15" s="2467"/>
      <c r="CF15" s="1555" t="s">
        <v>418</v>
      </c>
      <c r="CG15" s="1550" t="s">
        <v>553</v>
      </c>
      <c r="CH15" s="498" t="s">
        <v>585</v>
      </c>
      <c r="CI15" s="433" t="s">
        <v>586</v>
      </c>
      <c r="CJ15" s="434" t="s">
        <v>587</v>
      </c>
      <c r="CK15" s="2372"/>
      <c r="CL15" s="499" t="s">
        <v>606</v>
      </c>
      <c r="CM15" s="500" t="s">
        <v>607</v>
      </c>
      <c r="CN15" s="932" t="s">
        <v>606</v>
      </c>
      <c r="CO15" s="435" t="s">
        <v>607</v>
      </c>
      <c r="CP15" s="436" t="s">
        <v>520</v>
      </c>
      <c r="CQ15" s="437" t="s">
        <v>169</v>
      </c>
      <c r="CR15" s="2381"/>
      <c r="CS15" s="2367"/>
      <c r="CT15" s="426"/>
      <c r="CU15" s="2369"/>
      <c r="CV15" s="2429"/>
      <c r="CW15" s="2429"/>
      <c r="CX15" s="2328"/>
      <c r="CY15" s="2328"/>
      <c r="CZ15" s="2328"/>
      <c r="DA15" s="2328"/>
      <c r="DB15" s="2328"/>
      <c r="DC15" s="2328"/>
      <c r="DD15" s="2328"/>
      <c r="DE15" s="2369"/>
      <c r="DF15" s="2429"/>
      <c r="DG15" s="2429"/>
      <c r="DH15" s="2328"/>
      <c r="DI15" s="2328"/>
      <c r="DJ15" s="2328"/>
      <c r="DK15" s="2328"/>
      <c r="DL15" s="2328"/>
      <c r="DM15" s="2328"/>
      <c r="DN15" s="2439"/>
      <c r="DO15" s="2437"/>
      <c r="DP15" s="2326"/>
      <c r="DQ15" s="2433"/>
      <c r="DR15" s="2441"/>
      <c r="DS15" s="2415"/>
      <c r="DT15" s="438" t="s">
        <v>554</v>
      </c>
      <c r="DU15" s="438" t="s">
        <v>555</v>
      </c>
      <c r="DV15" s="2443"/>
      <c r="DW15" s="2410"/>
      <c r="DX15" s="2435"/>
      <c r="DY15" s="2415"/>
      <c r="DZ15" s="438" t="s">
        <v>554</v>
      </c>
      <c r="EA15" s="438" t="s">
        <v>555</v>
      </c>
      <c r="EB15" s="2410"/>
      <c r="EC15" s="2410"/>
      <c r="ED15" s="2435"/>
      <c r="EE15" s="2421"/>
      <c r="EF15" s="439" t="s">
        <v>521</v>
      </c>
      <c r="EG15" s="440" t="s">
        <v>522</v>
      </c>
      <c r="EH15" s="439" t="s">
        <v>521</v>
      </c>
      <c r="EI15" s="440" t="s">
        <v>522</v>
      </c>
      <c r="EJ15" s="439" t="s">
        <v>521</v>
      </c>
      <c r="EK15" s="440" t="s">
        <v>522</v>
      </c>
      <c r="EL15" s="2421"/>
      <c r="EM15" s="439" t="s">
        <v>521</v>
      </c>
      <c r="EN15" s="440" t="s">
        <v>522</v>
      </c>
      <c r="EO15" s="439" t="s">
        <v>521</v>
      </c>
      <c r="EP15" s="440" t="s">
        <v>522</v>
      </c>
      <c r="EQ15" s="439" t="s">
        <v>521</v>
      </c>
      <c r="ER15" s="440" t="s">
        <v>522</v>
      </c>
      <c r="ES15" s="2294"/>
      <c r="ET15" s="2294"/>
      <c r="EU15" s="2426"/>
      <c r="EV15" s="2413"/>
      <c r="EW15" s="2415"/>
      <c r="EX15" s="2291"/>
      <c r="EY15" s="2291"/>
      <c r="EZ15" s="2342"/>
      <c r="FA15" s="2291"/>
      <c r="FB15" s="2291"/>
      <c r="FC15" s="2291"/>
      <c r="FD15" s="2292"/>
      <c r="FE15" s="2292"/>
      <c r="FF15" s="2292"/>
      <c r="FG15" s="2292"/>
      <c r="FH15" s="2292"/>
      <c r="FI15" s="2292"/>
      <c r="FJ15" s="2292"/>
      <c r="FK15" s="2292"/>
      <c r="FL15" s="2292"/>
      <c r="FM15" s="2292"/>
      <c r="FN15" s="2292"/>
      <c r="FO15" s="2294"/>
      <c r="FP15" s="2294"/>
      <c r="FQ15" s="2294"/>
      <c r="FR15" s="2317"/>
      <c r="FS15" s="2306"/>
      <c r="FT15" s="2317"/>
      <c r="FU15" s="508" t="s">
        <v>606</v>
      </c>
      <c r="FV15" s="509" t="s">
        <v>607</v>
      </c>
      <c r="FW15" s="426"/>
      <c r="FX15" s="426"/>
      <c r="FY15" s="426"/>
      <c r="FZ15" s="426"/>
      <c r="GA15" s="1035" t="s">
        <v>1112</v>
      </c>
      <c r="GB15" s="1036" t="s">
        <v>710</v>
      </c>
      <c r="GC15" s="1031" t="s">
        <v>606</v>
      </c>
      <c r="GD15" s="1032" t="s">
        <v>607</v>
      </c>
      <c r="GE15" s="2073"/>
      <c r="GF15" s="2073"/>
      <c r="GG15" s="1033" t="s">
        <v>1112</v>
      </c>
      <c r="GH15" s="1034" t="s">
        <v>710</v>
      </c>
      <c r="GI15" s="1033" t="s">
        <v>1112</v>
      </c>
      <c r="GJ15" s="1034" t="s">
        <v>710</v>
      </c>
      <c r="GK15" s="2033"/>
      <c r="GL15" s="2033"/>
      <c r="GM15" s="2033"/>
      <c r="HA15" s="2315"/>
      <c r="HB15" s="2345"/>
      <c r="HC15" s="2345"/>
      <c r="HD15" s="2345"/>
      <c r="HE15" s="2345"/>
      <c r="HF15" s="2287"/>
      <c r="HG15" s="2287"/>
      <c r="HH15" s="2287"/>
      <c r="HI15" s="2287"/>
      <c r="HJ15" s="2287"/>
      <c r="HK15" s="2287"/>
      <c r="HL15" s="2287"/>
      <c r="HM15" s="2287"/>
      <c r="HN15" s="2287"/>
      <c r="HO15" s="2287"/>
      <c r="HP15" s="2287"/>
      <c r="HQ15" s="2287"/>
      <c r="HR15" s="2287"/>
      <c r="HS15" s="2287"/>
      <c r="HT15" s="2287"/>
      <c r="HU15" s="2287"/>
      <c r="HV15" s="2287"/>
      <c r="HW15" s="2287"/>
      <c r="HX15" s="2287"/>
      <c r="HY15" s="2287"/>
      <c r="HZ15" s="2287"/>
      <c r="IA15" s="2287"/>
      <c r="IB15" s="2287"/>
      <c r="IC15" s="2287"/>
      <c r="ID15" s="2287"/>
      <c r="IE15" s="2287"/>
      <c r="IF15" s="2289"/>
    </row>
    <row r="16" spans="1:241" ht="12.6" customHeight="1" thickTop="1" x14ac:dyDescent="0.25">
      <c r="A16" s="1215" t="str">
        <f t="shared" ref="A16:A44" si="1">IF(BB16="","",UPPER(BB16))</f>
        <v/>
      </c>
      <c r="B16" s="1709" t="str">
        <f t="shared" ref="B16:B44" si="2">IF(BC16="","",BC16)</f>
        <v/>
      </c>
      <c r="C16" s="1216" t="str">
        <f t="shared" ref="C16:C44" si="3">IF(BD16="","",UPPER(BD16))</f>
        <v/>
      </c>
      <c r="D16" s="1217" t="str">
        <f t="shared" ref="D16:D44" si="4">IF(DP16="","",TRUNC(DP16/12))</f>
        <v/>
      </c>
      <c r="E16" s="1218" t="str">
        <f t="shared" ref="E16:E44" si="5">IF(DP16="","",DP16-(D16*12))</f>
        <v/>
      </c>
      <c r="F16" s="1226" t="str">
        <f t="shared" ref="F16:F44" si="6">IF(DX16=0,"",TRUNC(DX16/12))</f>
        <v/>
      </c>
      <c r="G16" s="1221" t="str">
        <f t="shared" ref="G16:G44" si="7">IF(DX16=0,"",DX16-(F16*12))</f>
        <v/>
      </c>
      <c r="H16" s="1768" t="str">
        <f t="shared" ref="H16:H44" si="8">IF(DX16=0,"",CW16)</f>
        <v/>
      </c>
      <c r="I16" s="1217" t="str">
        <f t="shared" ref="I16:I44" si="9">IF(ED16=0,"",TRUNC(ED16/12))</f>
        <v/>
      </c>
      <c r="J16" s="1221" t="str">
        <f t="shared" ref="J16:J44" si="10">IF(ED16=0,"",ED16-(I16*12))</f>
        <v/>
      </c>
      <c r="K16" s="1780" t="str">
        <f t="shared" ref="K16:K44" si="11">IF(ED16=0,"",DG16)</f>
        <v/>
      </c>
      <c r="L16" s="1224" t="str">
        <f t="shared" ref="L16:L44" si="12">DQ16</f>
        <v/>
      </c>
      <c r="M16" s="1225" t="str">
        <f t="shared" ref="M16:M44" si="13">DR16</f>
        <v/>
      </c>
      <c r="N16" s="1220" t="str">
        <f t="shared" ref="N16:N45" si="14">IF(ES16="","",IF(AND(ES16&lt;0,ES16&gt;-12),TRUNC(ES16/12)-0.0000001,TRUNC(ES16/12)))</f>
        <v/>
      </c>
      <c r="O16" s="1221" t="str">
        <f t="shared" ref="O16:O45" si="15">IF(ES16="","",IF(AND(ES16-(N16*12)=0,ES16&lt;0),-0.000001,ES16-(N16*12)))</f>
        <v/>
      </c>
      <c r="P16" s="1222" t="str">
        <f t="shared" ref="P16:P45" si="16">IF(ES16="","",IF(OR(CW16="Q",CW16="C"),3,CZ16))</f>
        <v/>
      </c>
      <c r="Q16" s="1217" t="str">
        <f t="shared" ref="Q16:Q45" si="17">IF(ET16="","",IF(AND(ET16&lt;0,ET16&gt;-12),TRUNC(ET16/12)-0.0000001,TRUNC(ET16/12)))</f>
        <v/>
      </c>
      <c r="R16" s="1221" t="str">
        <f t="shared" ref="R16:R45" si="18">IF(ET16="","",IF(AND(ET16-(Q16*12)=0,ET16&lt;0),-0.000001,ET16-(Q16*12)))</f>
        <v/>
      </c>
      <c r="S16" s="1223" t="str">
        <f t="shared" ref="S16:S45" si="19">IF(ET16="","",IF(OR(DG16="Q",DG16="C"),3,DJ16))</f>
        <v/>
      </c>
      <c r="T16" s="1226" t="str">
        <f t="shared" ref="T16:T45" si="20">IF(CH16="ERR","",IF(EK16="","",IF(EK16="ERR",TRUNC(EJ16/12),TRUNC(EK16/12))))</f>
        <v/>
      </c>
      <c r="U16" s="1221" t="str">
        <f t="shared" ref="U16:U45" si="21">IF(CH16="ERR","",IF(EK16="","",IF(EK16="ERR",EJ16-(T16*12),EK16-(T16*12))))</f>
        <v/>
      </c>
      <c r="V16" s="1217" t="str">
        <f t="shared" ref="V16:V45" si="22">IF(CI16="ERR","",IF(ER16="","",IF(ER16="ERR",TRUNC(EQ16/12),TRUNC(ER16/12))))</f>
        <v/>
      </c>
      <c r="W16" s="1221" t="str">
        <f t="shared" ref="W16:W45" si="23">IF(CI16="ERR","",IF(ER16="","",IF(ER16="ERR",EQ16-(V16*12),ER16-(V16*12))))</f>
        <v/>
      </c>
      <c r="X16" s="1225">
        <f t="shared" ref="X16:X44" si="24">IF(EV16="",0,EV16)</f>
        <v>0</v>
      </c>
      <c r="Y16" s="1770" t="str">
        <f t="shared" ref="Y16:Y44" si="25">FG16</f>
        <v/>
      </c>
      <c r="Z16" s="1771" t="str">
        <f t="shared" ref="Z16:Z44" si="26">FL16</f>
        <v/>
      </c>
      <c r="AA16" s="1772" t="str">
        <f t="shared" ref="AA16:AA45" si="27">CONCATENATE(IF(CG16="","",CONCATENATE("[",SUBSTITUTE(CG16," ",""),"]")),IF(CF16="","",CONCATENATE("(",SUBSTITUTE(CF16," ",""),") ")))</f>
        <v/>
      </c>
      <c r="AB16" s="1414"/>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5"/>
      <c r="BD16" s="733"/>
      <c r="BE16" s="734"/>
      <c r="BF16" s="735"/>
      <c r="BG16" s="672"/>
      <c r="BH16" s="982"/>
      <c r="BI16" s="983"/>
      <c r="BJ16" s="1626"/>
      <c r="BK16" s="713"/>
      <c r="BL16" s="714"/>
      <c r="BM16" s="715"/>
      <c r="BN16" s="716"/>
      <c r="BO16" s="664" t="str">
        <f>IF(ISERROR(CU16),"",IF(CU16="","",IF(VLOOKUP(BG16,SectInfo!$B:$N,10,FALSE)="","","X")))</f>
        <v/>
      </c>
      <c r="BP16" s="732"/>
      <c r="BQ16" s="1551" t="str">
        <f t="shared" ref="BQ16:BQ45" si="48">IF(ISERROR(CU16),"",IF(CW16="","",IF(CW16="C",CV16,IF(CW16="Q",2,""))))</f>
        <v/>
      </c>
      <c r="BR16" s="909"/>
      <c r="BS16" s="672"/>
      <c r="BT16" s="713"/>
      <c r="BU16" s="714"/>
      <c r="BV16" s="1626"/>
      <c r="BW16" s="713"/>
      <c r="BX16" s="714"/>
      <c r="BY16" s="715"/>
      <c r="BZ16" s="716"/>
      <c r="CA16" s="671" t="str">
        <f>IF(ISERROR(DE16),"",IF(DE16="","",IF(VLOOKUP(BS16,SectInfo!$B:$N,10,FALSE)="","","X")))</f>
        <v/>
      </c>
      <c r="CB16" s="732"/>
      <c r="CC16" s="1551"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9" t="str">
        <f>IF(BG16="","",IF(VLOOKUP(BG16,SectInfo!$B:$N,10,FALSE)="","",(IF(BO16="X",VLOOKUP(BG16,SectInfo!$B:$N,10,FALSE),VALUE(BO16))*-1)))</f>
        <v/>
      </c>
      <c r="CZ16" s="1127"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9" t="str">
        <f>IF(BS16="","",IF(VLOOKUP(BS16,SectInfo!$B:$N,10,FALSE)="","",(IF(CA16="X",VLOOKUP(BS16,SectInfo!$B:$N,10,FALSE),VALUE(CA16))*-1)))</f>
        <v/>
      </c>
      <c r="DJ16" s="1127"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30">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30">
        <f t="shared" ref="ED16:ED45" si="79">IF(DF16="",0,IF(EC16/COS(FN16+FI16)&lt;0.0625,0,CEILING(EC16/COS(FN16+FI16)-0.03125,0.125)))</f>
        <v>0</v>
      </c>
      <c r="EE16" s="1340" t="str">
        <f t="shared" ref="EE16:EE45" si="80">IF(AND(EZ16="",DA16=""),"",IF(EZ16="ERR","ERR",IF(CU16="C",DA16,IF(BJ16="","",IF(DA16="",(EZ16/2)*-1,DA16)))))</f>
        <v/>
      </c>
      <c r="EF16" s="1340" t="str">
        <f t="shared" ref="EF16:EF45" si="81">IF(EE16="ERR","ERR",IF(EE16="","",IF(DB16*TAN(DS16)&lt;=(VLOOKUP(AU16,$DF$2:$DN$9,8,FALSE)-(VLOOKUP(AU16,$DF$2:$DN$9,7,FALSE)-0.0625)),CV16-(EE16-FH16)/IF(OR(CU16="C",AND(CU16="M",$DD$1="N")),1,COS(DS16))-IF(MID(CW16,1,1)="R",0,DW16),(ABS(EE16-FH16)/IF(OR(CU16="C",AND(CU16="M",$DD$1="N")),1,COS(DS16))+CV16)-((DB16/2)*TAN(DS16))-IF(MID(CW16,1,1)="R",0,DW16))))</f>
        <v/>
      </c>
      <c r="EG16" s="1340"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4"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40"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9" t="e">
        <f t="shared" ref="FO16:FO45" si="107">MIN(IF(BH16&gt;0,BH16/2,MAX(BI16/2,DC16)),IF(BI16&gt;0,BI16/2,MAX(BH16/2,DC16)),IF(DC16&gt;0,DC16,MAX(BI16/2,BH16/2)))/COS(DS16)+CV16-DW16-FH16</f>
        <v>#VALUE!</v>
      </c>
      <c r="FP16" s="1389"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599" t="str">
        <f t="shared" ref="GA16:GA45" si="115">IF(GF16="","",BE16)</f>
        <v/>
      </c>
      <c r="GB16" s="619" t="str">
        <f t="shared" ref="GB16:GB45" si="116">IF(GF16="","",BF16)</f>
        <v/>
      </c>
      <c r="GC16" s="621" t="str">
        <f t="shared" ref="GC16:GC45" si="117">IF(GF16="","",IF(CV16="",0,CV16))</f>
        <v/>
      </c>
      <c r="GD16" s="622" t="str">
        <f t="shared" ref="GD16:GD45" si="118">IF(GF16="","",IF(DF16="",0,DF16))</f>
        <v/>
      </c>
      <c r="GE16" s="620" t="str">
        <f t="shared" ref="GE16:GE45" si="119">IF(GF16="","",IF(ISBLANK(CE16),IF(Y16=Z16,0,MAX(ABS(Y16),ABS(Z16))*IF(Y16&lt;0,-1,1)),CE16))</f>
        <v/>
      </c>
      <c r="GF16" s="600" t="str">
        <f t="shared" ref="GF16:GF45" si="120">IF(A16=0,"",A16)</f>
        <v/>
      </c>
      <c r="GG16" s="1131"/>
      <c r="GH16" s="1132"/>
      <c r="GI16" s="1131"/>
      <c r="GJ16" s="1132"/>
      <c r="GK16" s="1639">
        <f t="shared" ref="GK16:GK45" si="121">IF(D16="",0,D16*12+E16)</f>
        <v>0</v>
      </c>
      <c r="GL16" s="1637" t="e">
        <f t="shared" ref="GL16:GL45" si="122">(GA16*12+GB16+GC16+GD16)/COS(ATAN(ABS(GE16/12)))</f>
        <v>#VALUE!</v>
      </c>
      <c r="GM16" s="1638" t="e">
        <f>IF(ABS(GK16-GL16)&gt;='Job Info.'!$L$22,ABS(GK16-GL16),0)</f>
        <v>#VALUE!</v>
      </c>
      <c r="HA16" s="1264"/>
      <c r="HB16" s="1265"/>
      <c r="HC16" s="1265"/>
      <c r="HD16" s="1266"/>
      <c r="HE16" s="1267"/>
      <c r="HF16" s="1265"/>
      <c r="HG16" s="1265"/>
      <c r="HH16" s="1265"/>
      <c r="HI16" s="1268"/>
      <c r="HJ16" s="1265"/>
      <c r="HK16" s="1265"/>
      <c r="HL16" s="1265"/>
      <c r="HM16" s="1265"/>
      <c r="HN16" s="1265"/>
      <c r="HO16" s="1265"/>
      <c r="HP16" s="1265"/>
      <c r="HQ16" s="1268"/>
      <c r="HR16" s="1265"/>
      <c r="HS16" s="1265"/>
      <c r="HT16" s="1265"/>
      <c r="HU16" s="1265"/>
      <c r="HV16" s="1265"/>
      <c r="HW16" s="1267"/>
      <c r="HX16" s="1267"/>
      <c r="HY16" s="1267"/>
      <c r="HZ16" s="1267"/>
      <c r="IA16" s="1267"/>
      <c r="IB16" s="1267"/>
      <c r="IC16" s="1267"/>
      <c r="ID16" s="1267"/>
      <c r="IE16" s="1267"/>
      <c r="IF16" s="1269"/>
    </row>
    <row r="17" spans="1:240" ht="12.6" customHeight="1" x14ac:dyDescent="0.25">
      <c r="A17" s="1215" t="str">
        <f t="shared" si="1"/>
        <v/>
      </c>
      <c r="B17" s="1709" t="str">
        <f t="shared" si="2"/>
        <v/>
      </c>
      <c r="C17" s="1216" t="str">
        <f t="shared" si="3"/>
        <v/>
      </c>
      <c r="D17" s="1217" t="str">
        <f t="shared" si="4"/>
        <v/>
      </c>
      <c r="E17" s="1218" t="str">
        <f t="shared" si="5"/>
        <v/>
      </c>
      <c r="F17" s="1226" t="str">
        <f t="shared" si="6"/>
        <v/>
      </c>
      <c r="G17" s="1221" t="str">
        <f t="shared" si="7"/>
        <v/>
      </c>
      <c r="H17" s="1768" t="str">
        <f t="shared" si="8"/>
        <v/>
      </c>
      <c r="I17" s="1217" t="str">
        <f t="shared" si="9"/>
        <v/>
      </c>
      <c r="J17" s="1221" t="str">
        <f t="shared" si="10"/>
        <v/>
      </c>
      <c r="K17" s="1780" t="str">
        <f t="shared" si="11"/>
        <v/>
      </c>
      <c r="L17" s="1224" t="str">
        <f t="shared" si="12"/>
        <v/>
      </c>
      <c r="M17" s="1225" t="str">
        <f t="shared" si="13"/>
        <v/>
      </c>
      <c r="N17" s="1220" t="str">
        <f t="shared" si="14"/>
        <v/>
      </c>
      <c r="O17" s="1221" t="str">
        <f t="shared" si="15"/>
        <v/>
      </c>
      <c r="P17" s="1222" t="str">
        <f t="shared" si="16"/>
        <v/>
      </c>
      <c r="Q17" s="1217" t="str">
        <f t="shared" si="17"/>
        <v/>
      </c>
      <c r="R17" s="1221" t="str">
        <f t="shared" si="18"/>
        <v/>
      </c>
      <c r="S17" s="1223" t="str">
        <f t="shared" si="19"/>
        <v/>
      </c>
      <c r="T17" s="1226" t="str">
        <f t="shared" si="20"/>
        <v/>
      </c>
      <c r="U17" s="1221" t="str">
        <f t="shared" si="21"/>
        <v/>
      </c>
      <c r="V17" s="1217" t="str">
        <f t="shared" si="22"/>
        <v/>
      </c>
      <c r="W17" s="1221" t="str">
        <f t="shared" si="23"/>
        <v/>
      </c>
      <c r="X17" s="1225">
        <f t="shared" si="24"/>
        <v>0</v>
      </c>
      <c r="Y17" s="1770" t="str">
        <f t="shared" si="25"/>
        <v/>
      </c>
      <c r="Z17" s="1771" t="str">
        <f t="shared" si="26"/>
        <v/>
      </c>
      <c r="AA17" s="1772" t="str">
        <f t="shared" si="27"/>
        <v/>
      </c>
      <c r="AB17" s="1414"/>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5"/>
      <c r="BD17" s="733"/>
      <c r="BE17" s="734"/>
      <c r="BF17" s="735"/>
      <c r="BG17" s="672"/>
      <c r="BH17" s="982"/>
      <c r="BI17" s="983"/>
      <c r="BJ17" s="1626"/>
      <c r="BK17" s="713"/>
      <c r="BL17" s="714"/>
      <c r="BM17" s="715"/>
      <c r="BN17" s="716"/>
      <c r="BO17" s="672" t="str">
        <f>IF(ISERROR(CU17),"",IF(CU17="","",IF(VLOOKUP(BG17,SectInfo!$B:$N,10,FALSE)="","","X")))</f>
        <v/>
      </c>
      <c r="BP17" s="738"/>
      <c r="BQ17" s="1552" t="str">
        <f t="shared" si="48"/>
        <v/>
      </c>
      <c r="BR17" s="910"/>
      <c r="BS17" s="672"/>
      <c r="BT17" s="713"/>
      <c r="BU17" s="714"/>
      <c r="BV17" s="1626"/>
      <c r="BW17" s="713"/>
      <c r="BX17" s="714"/>
      <c r="BY17" s="715"/>
      <c r="BZ17" s="716"/>
      <c r="CA17" s="680" t="str">
        <f>IF(ISERROR(DE17),"",IF(DE17="","",IF(VLOOKUP(BS17,SectInfo!$B:$N,10,FALSE)="","","X")))</f>
        <v/>
      </c>
      <c r="CB17" s="738"/>
      <c r="CC17" s="1552"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7" t="str">
        <f>IF(BG17="","",IF(VLOOKUP(BG17,SectInfo!$B:$N,10,FALSE)="","",(IF(BO17="X",VLOOKUP(BG17,SectInfo!$B:$N,10,FALSE),VALUE(BO17))*-1)))</f>
        <v/>
      </c>
      <c r="CZ17" s="1123"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7" t="str">
        <f>IF(BS17="","",IF(VLOOKUP(BS17,SectInfo!$B:$N,10,FALSE)="","",(IF(CA17="X",VLOOKUP(BS17,SectInfo!$B:$N,10,FALSE),VALUE(CA17))*-1)))</f>
        <v/>
      </c>
      <c r="DJ17" s="1123"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4" t="str">
        <f t="shared" si="80"/>
        <v/>
      </c>
      <c r="EF17" s="1294" t="str">
        <f t="shared" si="81"/>
        <v/>
      </c>
      <c r="EG17" s="1294" t="str">
        <f t="shared" si="82"/>
        <v/>
      </c>
      <c r="EH17" s="856" t="e">
        <f t="shared" si="83"/>
        <v>#N/A</v>
      </c>
      <c r="EI17" s="856" t="e">
        <f t="shared" si="84"/>
        <v>#N/A</v>
      </c>
      <c r="EJ17" s="822" t="str">
        <f t="shared" si="85"/>
        <v/>
      </c>
      <c r="EK17" s="822" t="str">
        <f t="shared" si="85"/>
        <v/>
      </c>
      <c r="EL17" s="1294" t="str">
        <f t="shared" si="86"/>
        <v/>
      </c>
      <c r="EM17" s="822" t="str">
        <f t="shared" si="87"/>
        <v/>
      </c>
      <c r="EN17" s="822" t="str">
        <f t="shared" si="88"/>
        <v/>
      </c>
      <c r="EO17" s="856" t="e">
        <f t="shared" si="89"/>
        <v>#N/A</v>
      </c>
      <c r="EP17" s="856" t="e">
        <f t="shared" si="90"/>
        <v>#N/A</v>
      </c>
      <c r="EQ17" s="1294"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599" t="str">
        <f t="shared" si="115"/>
        <v/>
      </c>
      <c r="GB17" s="619" t="str">
        <f t="shared" si="116"/>
        <v/>
      </c>
      <c r="GC17" s="621" t="str">
        <f t="shared" si="117"/>
        <v/>
      </c>
      <c r="GD17" s="622" t="str">
        <f t="shared" si="118"/>
        <v/>
      </c>
      <c r="GE17" s="620" t="str">
        <f t="shared" si="119"/>
        <v/>
      </c>
      <c r="GF17" s="600" t="str">
        <f t="shared" si="120"/>
        <v/>
      </c>
      <c r="GG17" s="1131"/>
      <c r="GH17" s="1132"/>
      <c r="GI17" s="1131"/>
      <c r="GJ17" s="1132"/>
      <c r="GK17" s="1639">
        <f t="shared" si="121"/>
        <v>0</v>
      </c>
      <c r="GL17" s="1637" t="e">
        <f t="shared" si="122"/>
        <v>#VALUE!</v>
      </c>
      <c r="GM17" s="1638" t="e">
        <f>IF(ABS(GK17-GL17)&gt;='Job Info.'!$L$22,ABS(GK17-GL17),0)</f>
        <v>#VALUE!</v>
      </c>
      <c r="HA17" s="1270"/>
      <c r="HB17" s="1271"/>
      <c r="HC17" s="1271"/>
      <c r="HD17" s="1272"/>
      <c r="HE17" s="1273"/>
      <c r="HF17" s="1271"/>
      <c r="HG17" s="1271"/>
      <c r="HH17" s="1271"/>
      <c r="HI17" s="1274"/>
      <c r="HJ17" s="1271"/>
      <c r="HK17" s="1271"/>
      <c r="HL17" s="1271"/>
      <c r="HM17" s="1271"/>
      <c r="HN17" s="1271"/>
      <c r="HO17" s="1271"/>
      <c r="HP17" s="1271"/>
      <c r="HQ17" s="1274"/>
      <c r="HR17" s="1271"/>
      <c r="HS17" s="1271"/>
      <c r="HT17" s="1271"/>
      <c r="HU17" s="1271"/>
      <c r="HV17" s="1271"/>
      <c r="HW17" s="1273"/>
      <c r="HX17" s="1273"/>
      <c r="HY17" s="1273"/>
      <c r="HZ17" s="1273"/>
      <c r="IA17" s="1273"/>
      <c r="IB17" s="1273"/>
      <c r="IC17" s="1273"/>
      <c r="ID17" s="1273"/>
      <c r="IE17" s="1273"/>
      <c r="IF17" s="1275"/>
    </row>
    <row r="18" spans="1:240" ht="12.6" customHeight="1" x14ac:dyDescent="0.25">
      <c r="A18" s="1215" t="str">
        <f t="shared" si="1"/>
        <v/>
      </c>
      <c r="B18" s="1709" t="str">
        <f t="shared" si="2"/>
        <v/>
      </c>
      <c r="C18" s="1216" t="str">
        <f t="shared" si="3"/>
        <v/>
      </c>
      <c r="D18" s="1217" t="str">
        <f t="shared" si="4"/>
        <v/>
      </c>
      <c r="E18" s="1218" t="str">
        <f t="shared" si="5"/>
        <v/>
      </c>
      <c r="F18" s="1226" t="str">
        <f t="shared" si="6"/>
        <v/>
      </c>
      <c r="G18" s="1221" t="str">
        <f t="shared" si="7"/>
        <v/>
      </c>
      <c r="H18" s="1768" t="str">
        <f t="shared" si="8"/>
        <v/>
      </c>
      <c r="I18" s="1217" t="str">
        <f t="shared" si="9"/>
        <v/>
      </c>
      <c r="J18" s="1221" t="str">
        <f t="shared" si="10"/>
        <v/>
      </c>
      <c r="K18" s="1780" t="str">
        <f t="shared" si="11"/>
        <v/>
      </c>
      <c r="L18" s="1224" t="str">
        <f t="shared" si="12"/>
        <v/>
      </c>
      <c r="M18" s="1225" t="str">
        <f t="shared" si="13"/>
        <v/>
      </c>
      <c r="N18" s="1220" t="str">
        <f t="shared" si="14"/>
        <v/>
      </c>
      <c r="O18" s="1221" t="str">
        <f t="shared" si="15"/>
        <v/>
      </c>
      <c r="P18" s="1222" t="str">
        <f t="shared" si="16"/>
        <v/>
      </c>
      <c r="Q18" s="1217" t="str">
        <f t="shared" si="17"/>
        <v/>
      </c>
      <c r="R18" s="1221" t="str">
        <f t="shared" si="18"/>
        <v/>
      </c>
      <c r="S18" s="1223" t="str">
        <f t="shared" si="19"/>
        <v/>
      </c>
      <c r="T18" s="1226" t="str">
        <f t="shared" si="20"/>
        <v/>
      </c>
      <c r="U18" s="1221" t="str">
        <f t="shared" si="21"/>
        <v/>
      </c>
      <c r="V18" s="1217" t="str">
        <f t="shared" si="22"/>
        <v/>
      </c>
      <c r="W18" s="1221" t="str">
        <f t="shared" si="23"/>
        <v/>
      </c>
      <c r="X18" s="1225">
        <f t="shared" si="24"/>
        <v>0</v>
      </c>
      <c r="Y18" s="1770" t="str">
        <f t="shared" si="25"/>
        <v/>
      </c>
      <c r="Z18" s="1771" t="str">
        <f t="shared" si="26"/>
        <v/>
      </c>
      <c r="AA18" s="1772" t="str">
        <f t="shared" si="27"/>
        <v/>
      </c>
      <c r="AB18" s="1414"/>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5"/>
      <c r="BD18" s="733"/>
      <c r="BE18" s="734"/>
      <c r="BF18" s="735"/>
      <c r="BG18" s="672"/>
      <c r="BH18" s="982"/>
      <c r="BI18" s="983"/>
      <c r="BJ18" s="1626"/>
      <c r="BK18" s="713"/>
      <c r="BL18" s="714"/>
      <c r="BM18" s="715"/>
      <c r="BN18" s="716"/>
      <c r="BO18" s="672" t="str">
        <f>IF(ISERROR(CU18),"",IF(CU18="","",IF(VLOOKUP(BG18,SectInfo!$B:$N,10,FALSE)="","","X")))</f>
        <v/>
      </c>
      <c r="BP18" s="738"/>
      <c r="BQ18" s="1552" t="str">
        <f t="shared" si="48"/>
        <v/>
      </c>
      <c r="BR18" s="910"/>
      <c r="BS18" s="672"/>
      <c r="BT18" s="713"/>
      <c r="BU18" s="714"/>
      <c r="BV18" s="1626"/>
      <c r="BW18" s="713"/>
      <c r="BX18" s="714"/>
      <c r="BY18" s="715"/>
      <c r="BZ18" s="716"/>
      <c r="CA18" s="680" t="str">
        <f>IF(ISERROR(DE18),"",IF(DE18="","",IF(VLOOKUP(BS18,SectInfo!$B:$N,10,FALSE)="","","X")))</f>
        <v/>
      </c>
      <c r="CB18" s="738"/>
      <c r="CC18" s="1552"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7" t="str">
        <f>IF(BG18="","",IF(VLOOKUP(BG18,SectInfo!$B:$N,10,FALSE)="","",(IF(BO18="X",VLOOKUP(BG18,SectInfo!$B:$N,10,FALSE),VALUE(BO18))*-1)))</f>
        <v/>
      </c>
      <c r="CZ18" s="1123"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7" t="str">
        <f>IF(BS18="","",IF(VLOOKUP(BS18,SectInfo!$B:$N,10,FALSE)="","",(IF(CA18="X",VLOOKUP(BS18,SectInfo!$B:$N,10,FALSE),VALUE(CA18))*-1)))</f>
        <v/>
      </c>
      <c r="DJ18" s="1123"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4" t="str">
        <f t="shared" si="80"/>
        <v/>
      </c>
      <c r="EF18" s="1294" t="str">
        <f t="shared" si="81"/>
        <v/>
      </c>
      <c r="EG18" s="1294" t="str">
        <f t="shared" si="82"/>
        <v/>
      </c>
      <c r="EH18" s="856" t="e">
        <f t="shared" si="83"/>
        <v>#N/A</v>
      </c>
      <c r="EI18" s="856" t="e">
        <f t="shared" si="84"/>
        <v>#N/A</v>
      </c>
      <c r="EJ18" s="822" t="str">
        <f t="shared" si="85"/>
        <v/>
      </c>
      <c r="EK18" s="822" t="str">
        <f t="shared" si="85"/>
        <v/>
      </c>
      <c r="EL18" s="1294" t="str">
        <f t="shared" si="86"/>
        <v/>
      </c>
      <c r="EM18" s="822" t="str">
        <f t="shared" si="87"/>
        <v/>
      </c>
      <c r="EN18" s="822" t="str">
        <f t="shared" si="88"/>
        <v/>
      </c>
      <c r="EO18" s="856" t="e">
        <f t="shared" si="89"/>
        <v>#N/A</v>
      </c>
      <c r="EP18" s="856" t="e">
        <f t="shared" si="90"/>
        <v>#N/A</v>
      </c>
      <c r="EQ18" s="1294"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599" t="str">
        <f t="shared" si="115"/>
        <v/>
      </c>
      <c r="GB18" s="619" t="str">
        <f t="shared" si="116"/>
        <v/>
      </c>
      <c r="GC18" s="621" t="str">
        <f t="shared" si="117"/>
        <v/>
      </c>
      <c r="GD18" s="622" t="str">
        <f t="shared" si="118"/>
        <v/>
      </c>
      <c r="GE18" s="620" t="str">
        <f t="shared" si="119"/>
        <v/>
      </c>
      <c r="GF18" s="600" t="str">
        <f t="shared" si="120"/>
        <v/>
      </c>
      <c r="GG18" s="1131"/>
      <c r="GH18" s="1132"/>
      <c r="GI18" s="1131"/>
      <c r="GJ18" s="1132"/>
      <c r="GK18" s="1639">
        <f t="shared" si="121"/>
        <v>0</v>
      </c>
      <c r="GL18" s="1637" t="e">
        <f t="shared" si="122"/>
        <v>#VALUE!</v>
      </c>
      <c r="GM18" s="1638" t="e">
        <f>IF(ABS(GK18-GL18)&gt;='Job Info.'!$L$22,ABS(GK18-GL18),0)</f>
        <v>#VALUE!</v>
      </c>
      <c r="HA18" s="1270"/>
      <c r="HB18" s="1271"/>
      <c r="HC18" s="1271"/>
      <c r="HD18" s="1272"/>
      <c r="HE18" s="1273"/>
      <c r="HF18" s="1271"/>
      <c r="HG18" s="1271"/>
      <c r="HH18" s="1271"/>
      <c r="HI18" s="1274"/>
      <c r="HJ18" s="1271"/>
      <c r="HK18" s="1271"/>
      <c r="HL18" s="1271"/>
      <c r="HM18" s="1271"/>
      <c r="HN18" s="1271"/>
      <c r="HO18" s="1271"/>
      <c r="HP18" s="1271"/>
      <c r="HQ18" s="1274"/>
      <c r="HR18" s="1271"/>
      <c r="HS18" s="1271"/>
      <c r="HT18" s="1271"/>
      <c r="HU18" s="1271"/>
      <c r="HV18" s="1271"/>
      <c r="HW18" s="1273"/>
      <c r="HX18" s="1273"/>
      <c r="HY18" s="1273"/>
      <c r="HZ18" s="1273"/>
      <c r="IA18" s="1273"/>
      <c r="IB18" s="1273"/>
      <c r="IC18" s="1273"/>
      <c r="ID18" s="1273"/>
      <c r="IE18" s="1273"/>
      <c r="IF18" s="1275"/>
    </row>
    <row r="19" spans="1:240" ht="12.6" customHeight="1" x14ac:dyDescent="0.25">
      <c r="A19" s="1215" t="str">
        <f t="shared" si="1"/>
        <v/>
      </c>
      <c r="B19" s="1709" t="str">
        <f t="shared" si="2"/>
        <v/>
      </c>
      <c r="C19" s="1216" t="str">
        <f t="shared" si="3"/>
        <v/>
      </c>
      <c r="D19" s="1217" t="str">
        <f t="shared" si="4"/>
        <v/>
      </c>
      <c r="E19" s="1218" t="str">
        <f t="shared" si="5"/>
        <v/>
      </c>
      <c r="F19" s="1226" t="str">
        <f t="shared" si="6"/>
        <v/>
      </c>
      <c r="G19" s="1221" t="str">
        <f t="shared" si="7"/>
        <v/>
      </c>
      <c r="H19" s="1768" t="str">
        <f t="shared" si="8"/>
        <v/>
      </c>
      <c r="I19" s="1217" t="str">
        <f t="shared" si="9"/>
        <v/>
      </c>
      <c r="J19" s="1221" t="str">
        <f t="shared" si="10"/>
        <v/>
      </c>
      <c r="K19" s="1780" t="str">
        <f t="shared" si="11"/>
        <v/>
      </c>
      <c r="L19" s="1224" t="str">
        <f t="shared" si="12"/>
        <v/>
      </c>
      <c r="M19" s="1225" t="str">
        <f t="shared" si="13"/>
        <v/>
      </c>
      <c r="N19" s="1220" t="str">
        <f t="shared" si="14"/>
        <v/>
      </c>
      <c r="O19" s="1221" t="str">
        <f t="shared" si="15"/>
        <v/>
      </c>
      <c r="P19" s="1222" t="str">
        <f t="shared" si="16"/>
        <v/>
      </c>
      <c r="Q19" s="1217" t="str">
        <f t="shared" si="17"/>
        <v/>
      </c>
      <c r="R19" s="1221" t="str">
        <f t="shared" si="18"/>
        <v/>
      </c>
      <c r="S19" s="1223" t="str">
        <f t="shared" si="19"/>
        <v/>
      </c>
      <c r="T19" s="1226" t="str">
        <f t="shared" si="20"/>
        <v/>
      </c>
      <c r="U19" s="1221" t="str">
        <f t="shared" si="21"/>
        <v/>
      </c>
      <c r="V19" s="1217" t="str">
        <f t="shared" si="22"/>
        <v/>
      </c>
      <c r="W19" s="1221" t="str">
        <f t="shared" si="23"/>
        <v/>
      </c>
      <c r="X19" s="1225">
        <f t="shared" si="24"/>
        <v>0</v>
      </c>
      <c r="Y19" s="1770" t="str">
        <f t="shared" si="25"/>
        <v/>
      </c>
      <c r="Z19" s="1771" t="str">
        <f t="shared" si="26"/>
        <v/>
      </c>
      <c r="AA19" s="1772" t="str">
        <f t="shared" si="27"/>
        <v/>
      </c>
      <c r="AB19" s="1414"/>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5"/>
      <c r="BD19" s="733"/>
      <c r="BE19" s="734"/>
      <c r="BF19" s="735"/>
      <c r="BG19" s="672"/>
      <c r="BH19" s="982"/>
      <c r="BI19" s="983"/>
      <c r="BJ19" s="1626"/>
      <c r="BK19" s="713"/>
      <c r="BL19" s="714"/>
      <c r="BM19" s="715"/>
      <c r="BN19" s="716"/>
      <c r="BO19" s="672" t="str">
        <f>IF(ISERROR(CU19),"",IF(CU19="","",IF(VLOOKUP(BG19,SectInfo!$B:$N,10,FALSE)="","","X")))</f>
        <v/>
      </c>
      <c r="BP19" s="738"/>
      <c r="BQ19" s="1552" t="str">
        <f t="shared" si="48"/>
        <v/>
      </c>
      <c r="BR19" s="910"/>
      <c r="BS19" s="672"/>
      <c r="BT19" s="713"/>
      <c r="BU19" s="714"/>
      <c r="BV19" s="1626"/>
      <c r="BW19" s="713"/>
      <c r="BX19" s="714"/>
      <c r="BY19" s="715"/>
      <c r="BZ19" s="716"/>
      <c r="CA19" s="680" t="str">
        <f>IF(ISERROR(DE19),"",IF(DE19="","",IF(VLOOKUP(BS19,SectInfo!$B:$N,10,FALSE)="","","X")))</f>
        <v/>
      </c>
      <c r="CB19" s="738"/>
      <c r="CC19" s="1552"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7" t="str">
        <f>IF(BG19="","",IF(VLOOKUP(BG19,SectInfo!$B:$N,10,FALSE)="","",(IF(BO19="X",VLOOKUP(BG19,SectInfo!$B:$N,10,FALSE),VALUE(BO19))*-1)))</f>
        <v/>
      </c>
      <c r="CZ19" s="1123"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7" t="str">
        <f>IF(BS19="","",IF(VLOOKUP(BS19,SectInfo!$B:$N,10,FALSE)="","",(IF(CA19="X",VLOOKUP(BS19,SectInfo!$B:$N,10,FALSE),VALUE(CA19))*-1)))</f>
        <v/>
      </c>
      <c r="DJ19" s="1123"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4" t="str">
        <f t="shared" si="80"/>
        <v/>
      </c>
      <c r="EF19" s="1294" t="str">
        <f t="shared" si="81"/>
        <v/>
      </c>
      <c r="EG19" s="1294" t="str">
        <f t="shared" si="82"/>
        <v/>
      </c>
      <c r="EH19" s="856" t="e">
        <f t="shared" si="83"/>
        <v>#N/A</v>
      </c>
      <c r="EI19" s="856" t="e">
        <f t="shared" si="84"/>
        <v>#N/A</v>
      </c>
      <c r="EJ19" s="822" t="str">
        <f t="shared" si="85"/>
        <v/>
      </c>
      <c r="EK19" s="822" t="str">
        <f t="shared" si="85"/>
        <v/>
      </c>
      <c r="EL19" s="1294" t="str">
        <f t="shared" si="86"/>
        <v/>
      </c>
      <c r="EM19" s="822" t="str">
        <f t="shared" si="87"/>
        <v/>
      </c>
      <c r="EN19" s="822" t="str">
        <f t="shared" si="88"/>
        <v/>
      </c>
      <c r="EO19" s="856" t="e">
        <f t="shared" si="89"/>
        <v>#N/A</v>
      </c>
      <c r="EP19" s="856" t="e">
        <f t="shared" si="90"/>
        <v>#N/A</v>
      </c>
      <c r="EQ19" s="1294"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599" t="str">
        <f t="shared" si="115"/>
        <v/>
      </c>
      <c r="GB19" s="619" t="str">
        <f t="shared" si="116"/>
        <v/>
      </c>
      <c r="GC19" s="621" t="str">
        <f t="shared" si="117"/>
        <v/>
      </c>
      <c r="GD19" s="622" t="str">
        <f t="shared" si="118"/>
        <v/>
      </c>
      <c r="GE19" s="620" t="str">
        <f t="shared" si="119"/>
        <v/>
      </c>
      <c r="GF19" s="600" t="str">
        <f t="shared" si="120"/>
        <v/>
      </c>
      <c r="GG19" s="1131"/>
      <c r="GH19" s="1132"/>
      <c r="GI19" s="1131"/>
      <c r="GJ19" s="1132"/>
      <c r="GK19" s="1639">
        <f t="shared" si="121"/>
        <v>0</v>
      </c>
      <c r="GL19" s="1637" t="e">
        <f t="shared" si="122"/>
        <v>#VALUE!</v>
      </c>
      <c r="GM19" s="1638" t="e">
        <f>IF(ABS(GK19-GL19)&gt;='Job Info.'!$L$22,ABS(GK19-GL19),0)</f>
        <v>#VALUE!</v>
      </c>
      <c r="HA19" s="1270"/>
      <c r="HB19" s="1271"/>
      <c r="HC19" s="1271"/>
      <c r="HD19" s="1272"/>
      <c r="HE19" s="1273"/>
      <c r="HF19" s="1271"/>
      <c r="HG19" s="1271"/>
      <c r="HH19" s="1271"/>
      <c r="HI19" s="1274"/>
      <c r="HJ19" s="1271"/>
      <c r="HK19" s="1271"/>
      <c r="HL19" s="1271"/>
      <c r="HM19" s="1271"/>
      <c r="HN19" s="1271"/>
      <c r="HO19" s="1271"/>
      <c r="HP19" s="1271"/>
      <c r="HQ19" s="1274"/>
      <c r="HR19" s="1271"/>
      <c r="HS19" s="1271"/>
      <c r="HT19" s="1271"/>
      <c r="HU19" s="1271"/>
      <c r="HV19" s="1271"/>
      <c r="HW19" s="1273"/>
      <c r="HX19" s="1273"/>
      <c r="HY19" s="1273"/>
      <c r="HZ19" s="1273"/>
      <c r="IA19" s="1273"/>
      <c r="IB19" s="1273"/>
      <c r="IC19" s="1273"/>
      <c r="ID19" s="1273"/>
      <c r="IE19" s="1273"/>
      <c r="IF19" s="1275"/>
    </row>
    <row r="20" spans="1:240" ht="12.6" customHeight="1" x14ac:dyDescent="0.25">
      <c r="A20" s="1215" t="str">
        <f t="shared" si="1"/>
        <v/>
      </c>
      <c r="B20" s="1709" t="str">
        <f t="shared" si="2"/>
        <v/>
      </c>
      <c r="C20" s="1216" t="str">
        <f t="shared" si="3"/>
        <v/>
      </c>
      <c r="D20" s="1217" t="str">
        <f t="shared" si="4"/>
        <v/>
      </c>
      <c r="E20" s="1218" t="str">
        <f t="shared" si="5"/>
        <v/>
      </c>
      <c r="F20" s="1226" t="str">
        <f t="shared" si="6"/>
        <v/>
      </c>
      <c r="G20" s="1221" t="str">
        <f t="shared" si="7"/>
        <v/>
      </c>
      <c r="H20" s="1768" t="str">
        <f t="shared" si="8"/>
        <v/>
      </c>
      <c r="I20" s="1217" t="str">
        <f t="shared" si="9"/>
        <v/>
      </c>
      <c r="J20" s="1221" t="str">
        <f t="shared" si="10"/>
        <v/>
      </c>
      <c r="K20" s="1780" t="str">
        <f t="shared" si="11"/>
        <v/>
      </c>
      <c r="L20" s="1224" t="str">
        <f t="shared" si="12"/>
        <v/>
      </c>
      <c r="M20" s="1225" t="str">
        <f t="shared" si="13"/>
        <v/>
      </c>
      <c r="N20" s="1220" t="str">
        <f t="shared" si="14"/>
        <v/>
      </c>
      <c r="O20" s="1221" t="str">
        <f t="shared" si="15"/>
        <v/>
      </c>
      <c r="P20" s="1222" t="str">
        <f t="shared" si="16"/>
        <v/>
      </c>
      <c r="Q20" s="1217" t="str">
        <f t="shared" si="17"/>
        <v/>
      </c>
      <c r="R20" s="1221" t="str">
        <f t="shared" si="18"/>
        <v/>
      </c>
      <c r="S20" s="1223" t="str">
        <f t="shared" si="19"/>
        <v/>
      </c>
      <c r="T20" s="1226" t="str">
        <f t="shared" si="20"/>
        <v/>
      </c>
      <c r="U20" s="1221" t="str">
        <f t="shared" si="21"/>
        <v/>
      </c>
      <c r="V20" s="1217" t="str">
        <f t="shared" si="22"/>
        <v/>
      </c>
      <c r="W20" s="1221" t="str">
        <f t="shared" si="23"/>
        <v/>
      </c>
      <c r="X20" s="1225">
        <f t="shared" si="24"/>
        <v>0</v>
      </c>
      <c r="Y20" s="1770" t="str">
        <f t="shared" si="25"/>
        <v/>
      </c>
      <c r="Z20" s="1771" t="str">
        <f t="shared" si="26"/>
        <v/>
      </c>
      <c r="AA20" s="1772" t="str">
        <f t="shared" si="27"/>
        <v/>
      </c>
      <c r="AB20" s="1414"/>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5"/>
      <c r="BD20" s="733"/>
      <c r="BE20" s="734"/>
      <c r="BF20" s="735"/>
      <c r="BG20" s="672"/>
      <c r="BH20" s="982"/>
      <c r="BI20" s="983"/>
      <c r="BJ20" s="1626"/>
      <c r="BK20" s="713"/>
      <c r="BL20" s="714"/>
      <c r="BM20" s="715"/>
      <c r="BN20" s="716"/>
      <c r="BO20" s="672" t="str">
        <f>IF(ISERROR(CU20),"",IF(CU20="","",IF(VLOOKUP(BG20,SectInfo!$B:$N,10,FALSE)="","","X")))</f>
        <v/>
      </c>
      <c r="BP20" s="738"/>
      <c r="BQ20" s="1552" t="str">
        <f t="shared" si="48"/>
        <v/>
      </c>
      <c r="BR20" s="910"/>
      <c r="BS20" s="672"/>
      <c r="BT20" s="713"/>
      <c r="BU20" s="714"/>
      <c r="BV20" s="1626"/>
      <c r="BW20" s="713"/>
      <c r="BX20" s="714"/>
      <c r="BY20" s="715"/>
      <c r="BZ20" s="716"/>
      <c r="CA20" s="680" t="str">
        <f>IF(ISERROR(DE20),"",IF(DE20="","",IF(VLOOKUP(BS20,SectInfo!$B:$N,10,FALSE)="","","X")))</f>
        <v/>
      </c>
      <c r="CB20" s="738"/>
      <c r="CC20" s="1552"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7" t="str">
        <f>IF(BG20="","",IF(VLOOKUP(BG20,SectInfo!$B:$N,10,FALSE)="","",(IF(BO20="X",VLOOKUP(BG20,SectInfo!$B:$N,10,FALSE),VALUE(BO20))*-1)))</f>
        <v/>
      </c>
      <c r="CZ20" s="1123"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7" t="str">
        <f>IF(BS20="","",IF(VLOOKUP(BS20,SectInfo!$B:$N,10,FALSE)="","",(IF(CA20="X",VLOOKUP(BS20,SectInfo!$B:$N,10,FALSE),VALUE(CA20))*-1)))</f>
        <v/>
      </c>
      <c r="DJ20" s="1123"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4" t="str">
        <f t="shared" si="80"/>
        <v/>
      </c>
      <c r="EF20" s="1294" t="str">
        <f t="shared" si="81"/>
        <v/>
      </c>
      <c r="EG20" s="1294" t="str">
        <f t="shared" si="82"/>
        <v/>
      </c>
      <c r="EH20" s="856" t="e">
        <f t="shared" si="83"/>
        <v>#N/A</v>
      </c>
      <c r="EI20" s="856" t="e">
        <f t="shared" si="84"/>
        <v>#N/A</v>
      </c>
      <c r="EJ20" s="822" t="str">
        <f t="shared" si="85"/>
        <v/>
      </c>
      <c r="EK20" s="822" t="str">
        <f t="shared" si="85"/>
        <v/>
      </c>
      <c r="EL20" s="1294" t="str">
        <f t="shared" si="86"/>
        <v/>
      </c>
      <c r="EM20" s="822" t="str">
        <f t="shared" si="87"/>
        <v/>
      </c>
      <c r="EN20" s="822" t="str">
        <f t="shared" si="88"/>
        <v/>
      </c>
      <c r="EO20" s="856" t="e">
        <f t="shared" si="89"/>
        <v>#N/A</v>
      </c>
      <c r="EP20" s="856" t="e">
        <f t="shared" si="90"/>
        <v>#N/A</v>
      </c>
      <c r="EQ20" s="1294"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599" t="str">
        <f t="shared" si="115"/>
        <v/>
      </c>
      <c r="GB20" s="619" t="str">
        <f t="shared" si="116"/>
        <v/>
      </c>
      <c r="GC20" s="621" t="str">
        <f t="shared" si="117"/>
        <v/>
      </c>
      <c r="GD20" s="622" t="str">
        <f t="shared" si="118"/>
        <v/>
      </c>
      <c r="GE20" s="620" t="str">
        <f t="shared" si="119"/>
        <v/>
      </c>
      <c r="GF20" s="600" t="str">
        <f t="shared" si="120"/>
        <v/>
      </c>
      <c r="GG20" s="1131"/>
      <c r="GH20" s="1132"/>
      <c r="GI20" s="1131"/>
      <c r="GJ20" s="1132"/>
      <c r="GK20" s="1639">
        <f t="shared" si="121"/>
        <v>0</v>
      </c>
      <c r="GL20" s="1637" t="e">
        <f t="shared" si="122"/>
        <v>#VALUE!</v>
      </c>
      <c r="GM20" s="1638" t="e">
        <f>IF(ABS(GK20-GL20)&gt;='Job Info.'!$L$22,ABS(GK20-GL20),0)</f>
        <v>#VALUE!</v>
      </c>
      <c r="HA20" s="1270"/>
      <c r="HB20" s="1271"/>
      <c r="HC20" s="1271"/>
      <c r="HD20" s="1272"/>
      <c r="HE20" s="1273"/>
      <c r="HF20" s="1271"/>
      <c r="HG20" s="1271"/>
      <c r="HH20" s="1271"/>
      <c r="HI20" s="1274"/>
      <c r="HJ20" s="1271"/>
      <c r="HK20" s="1271"/>
      <c r="HL20" s="1271"/>
      <c r="HM20" s="1271"/>
      <c r="HN20" s="1271"/>
      <c r="HO20" s="1271"/>
      <c r="HP20" s="1271"/>
      <c r="HQ20" s="1274"/>
      <c r="HR20" s="1271"/>
      <c r="HS20" s="1271"/>
      <c r="HT20" s="1271"/>
      <c r="HU20" s="1271"/>
      <c r="HV20" s="1271"/>
      <c r="HW20" s="1273"/>
      <c r="HX20" s="1273"/>
      <c r="HY20" s="1273"/>
      <c r="HZ20" s="1273"/>
      <c r="IA20" s="1273"/>
      <c r="IB20" s="1273"/>
      <c r="IC20" s="1273"/>
      <c r="ID20" s="1273"/>
      <c r="IE20" s="1273"/>
      <c r="IF20" s="1275"/>
    </row>
    <row r="21" spans="1:240" ht="12.6" customHeight="1" x14ac:dyDescent="0.25">
      <c r="A21" s="1215" t="str">
        <f t="shared" si="1"/>
        <v/>
      </c>
      <c r="B21" s="1709" t="str">
        <f t="shared" si="2"/>
        <v/>
      </c>
      <c r="C21" s="1216" t="str">
        <f t="shared" si="3"/>
        <v/>
      </c>
      <c r="D21" s="1217" t="str">
        <f t="shared" si="4"/>
        <v/>
      </c>
      <c r="E21" s="1218" t="str">
        <f t="shared" si="5"/>
        <v/>
      </c>
      <c r="F21" s="1226" t="str">
        <f t="shared" si="6"/>
        <v/>
      </c>
      <c r="G21" s="1221" t="str">
        <f t="shared" si="7"/>
        <v/>
      </c>
      <c r="H21" s="1768" t="str">
        <f t="shared" si="8"/>
        <v/>
      </c>
      <c r="I21" s="1217" t="str">
        <f t="shared" si="9"/>
        <v/>
      </c>
      <c r="J21" s="1221" t="str">
        <f t="shared" si="10"/>
        <v/>
      </c>
      <c r="K21" s="1780" t="str">
        <f t="shared" si="11"/>
        <v/>
      </c>
      <c r="L21" s="1224" t="str">
        <f t="shared" si="12"/>
        <v/>
      </c>
      <c r="M21" s="1225" t="str">
        <f t="shared" si="13"/>
        <v/>
      </c>
      <c r="N21" s="1220" t="str">
        <f t="shared" si="14"/>
        <v/>
      </c>
      <c r="O21" s="1221" t="str">
        <f t="shared" si="15"/>
        <v/>
      </c>
      <c r="P21" s="1222" t="str">
        <f t="shared" si="16"/>
        <v/>
      </c>
      <c r="Q21" s="1217" t="str">
        <f t="shared" si="17"/>
        <v/>
      </c>
      <c r="R21" s="1221" t="str">
        <f t="shared" si="18"/>
        <v/>
      </c>
      <c r="S21" s="1223" t="str">
        <f t="shared" si="19"/>
        <v/>
      </c>
      <c r="T21" s="1226" t="str">
        <f t="shared" si="20"/>
        <v/>
      </c>
      <c r="U21" s="1221" t="str">
        <f t="shared" si="21"/>
        <v/>
      </c>
      <c r="V21" s="1217" t="str">
        <f t="shared" si="22"/>
        <v/>
      </c>
      <c r="W21" s="1221" t="str">
        <f t="shared" si="23"/>
        <v/>
      </c>
      <c r="X21" s="1225">
        <f t="shared" si="24"/>
        <v>0</v>
      </c>
      <c r="Y21" s="1770" t="str">
        <f t="shared" si="25"/>
        <v/>
      </c>
      <c r="Z21" s="1771" t="str">
        <f t="shared" si="26"/>
        <v/>
      </c>
      <c r="AA21" s="1772" t="str">
        <f t="shared" si="27"/>
        <v/>
      </c>
      <c r="AB21" s="1414"/>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5"/>
      <c r="BD21" s="733"/>
      <c r="BE21" s="734"/>
      <c r="BF21" s="735"/>
      <c r="BG21" s="672"/>
      <c r="BH21" s="982"/>
      <c r="BI21" s="983"/>
      <c r="BJ21" s="1626"/>
      <c r="BK21" s="713"/>
      <c r="BL21" s="714"/>
      <c r="BM21" s="715"/>
      <c r="BN21" s="716"/>
      <c r="BO21" s="672" t="str">
        <f>IF(ISERROR(CU21),"",IF(CU21="","",IF(VLOOKUP(BG21,SectInfo!$B:$N,10,FALSE)="","","X")))</f>
        <v/>
      </c>
      <c r="BP21" s="738"/>
      <c r="BQ21" s="1552" t="str">
        <f t="shared" si="48"/>
        <v/>
      </c>
      <c r="BR21" s="910"/>
      <c r="BS21" s="672"/>
      <c r="BT21" s="713"/>
      <c r="BU21" s="714"/>
      <c r="BV21" s="1626"/>
      <c r="BW21" s="713"/>
      <c r="BX21" s="714"/>
      <c r="BY21" s="715"/>
      <c r="BZ21" s="716"/>
      <c r="CA21" s="680" t="str">
        <f>IF(ISERROR(DE21),"",IF(DE21="","",IF(VLOOKUP(BS21,SectInfo!$B:$N,10,FALSE)="","","X")))</f>
        <v/>
      </c>
      <c r="CB21" s="738"/>
      <c r="CC21" s="1552"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7" t="str">
        <f>IF(BG21="","",IF(VLOOKUP(BG21,SectInfo!$B:$N,10,FALSE)="","",(IF(BO21="X",VLOOKUP(BG21,SectInfo!$B:$N,10,FALSE),VALUE(BO21))*-1)))</f>
        <v/>
      </c>
      <c r="CZ21" s="1123"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7" t="str">
        <f>IF(BS21="","",IF(VLOOKUP(BS21,SectInfo!$B:$N,10,FALSE)="","",(IF(CA21="X",VLOOKUP(BS21,SectInfo!$B:$N,10,FALSE),VALUE(CA21))*-1)))</f>
        <v/>
      </c>
      <c r="DJ21" s="1123"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4" t="str">
        <f t="shared" si="80"/>
        <v/>
      </c>
      <c r="EF21" s="1294" t="str">
        <f t="shared" si="81"/>
        <v/>
      </c>
      <c r="EG21" s="1294" t="str">
        <f t="shared" si="82"/>
        <v/>
      </c>
      <c r="EH21" s="856" t="e">
        <f t="shared" si="83"/>
        <v>#N/A</v>
      </c>
      <c r="EI21" s="856" t="e">
        <f t="shared" si="84"/>
        <v>#N/A</v>
      </c>
      <c r="EJ21" s="822" t="str">
        <f t="shared" si="85"/>
        <v/>
      </c>
      <c r="EK21" s="822" t="str">
        <f t="shared" si="85"/>
        <v/>
      </c>
      <c r="EL21" s="1294" t="str">
        <f t="shared" si="86"/>
        <v/>
      </c>
      <c r="EM21" s="822" t="str">
        <f t="shared" si="87"/>
        <v/>
      </c>
      <c r="EN21" s="822" t="str">
        <f t="shared" si="88"/>
        <v/>
      </c>
      <c r="EO21" s="856" t="e">
        <f t="shared" si="89"/>
        <v>#N/A</v>
      </c>
      <c r="EP21" s="856" t="e">
        <f t="shared" si="90"/>
        <v>#N/A</v>
      </c>
      <c r="EQ21" s="1294"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599" t="str">
        <f t="shared" si="115"/>
        <v/>
      </c>
      <c r="GB21" s="619" t="str">
        <f t="shared" si="116"/>
        <v/>
      </c>
      <c r="GC21" s="621" t="str">
        <f t="shared" si="117"/>
        <v/>
      </c>
      <c r="GD21" s="622" t="str">
        <f t="shared" si="118"/>
        <v/>
      </c>
      <c r="GE21" s="620" t="str">
        <f t="shared" si="119"/>
        <v/>
      </c>
      <c r="GF21" s="600" t="str">
        <f t="shared" si="120"/>
        <v/>
      </c>
      <c r="GG21" s="1131"/>
      <c r="GH21" s="1132"/>
      <c r="GI21" s="1131"/>
      <c r="GJ21" s="1132"/>
      <c r="GK21" s="1639">
        <f t="shared" si="121"/>
        <v>0</v>
      </c>
      <c r="GL21" s="1637" t="e">
        <f t="shared" si="122"/>
        <v>#VALUE!</v>
      </c>
      <c r="GM21" s="1638" t="e">
        <f>IF(ABS(GK21-GL21)&gt;='Job Info.'!$L$22,ABS(GK21-GL21),0)</f>
        <v>#VALUE!</v>
      </c>
      <c r="HA21" s="1270"/>
      <c r="HB21" s="1271"/>
      <c r="HC21" s="1271"/>
      <c r="HD21" s="1272"/>
      <c r="HE21" s="1273"/>
      <c r="HF21" s="1271"/>
      <c r="HG21" s="1271"/>
      <c r="HH21" s="1271"/>
      <c r="HI21" s="1274"/>
      <c r="HJ21" s="1271"/>
      <c r="HK21" s="1271"/>
      <c r="HL21" s="1271"/>
      <c r="HM21" s="1271"/>
      <c r="HN21" s="1271"/>
      <c r="HO21" s="1271"/>
      <c r="HP21" s="1271"/>
      <c r="HQ21" s="1274"/>
      <c r="HR21" s="1271"/>
      <c r="HS21" s="1271"/>
      <c r="HT21" s="1271"/>
      <c r="HU21" s="1271"/>
      <c r="HV21" s="1271"/>
      <c r="HW21" s="1273"/>
      <c r="HX21" s="1273"/>
      <c r="HY21" s="1273"/>
      <c r="HZ21" s="1273"/>
      <c r="IA21" s="1273"/>
      <c r="IB21" s="1273"/>
      <c r="IC21" s="1273"/>
      <c r="ID21" s="1273"/>
      <c r="IE21" s="1273"/>
      <c r="IF21" s="1275"/>
    </row>
    <row r="22" spans="1:240" ht="12.6" customHeight="1" x14ac:dyDescent="0.25">
      <c r="A22" s="1215" t="str">
        <f t="shared" si="1"/>
        <v/>
      </c>
      <c r="B22" s="1709" t="str">
        <f t="shared" si="2"/>
        <v/>
      </c>
      <c r="C22" s="1216" t="str">
        <f t="shared" si="3"/>
        <v/>
      </c>
      <c r="D22" s="1217" t="str">
        <f t="shared" si="4"/>
        <v/>
      </c>
      <c r="E22" s="1218" t="str">
        <f t="shared" si="5"/>
        <v/>
      </c>
      <c r="F22" s="1226" t="str">
        <f t="shared" si="6"/>
        <v/>
      </c>
      <c r="G22" s="1221" t="str">
        <f t="shared" si="7"/>
        <v/>
      </c>
      <c r="H22" s="1768" t="str">
        <f t="shared" si="8"/>
        <v/>
      </c>
      <c r="I22" s="1217" t="str">
        <f t="shared" si="9"/>
        <v/>
      </c>
      <c r="J22" s="1221" t="str">
        <f t="shared" si="10"/>
        <v/>
      </c>
      <c r="K22" s="1780" t="str">
        <f t="shared" si="11"/>
        <v/>
      </c>
      <c r="L22" s="1224" t="str">
        <f t="shared" si="12"/>
        <v/>
      </c>
      <c r="M22" s="1225" t="str">
        <f t="shared" si="13"/>
        <v/>
      </c>
      <c r="N22" s="1220" t="str">
        <f t="shared" si="14"/>
        <v/>
      </c>
      <c r="O22" s="1221" t="str">
        <f t="shared" si="15"/>
        <v/>
      </c>
      <c r="P22" s="1222" t="str">
        <f t="shared" si="16"/>
        <v/>
      </c>
      <c r="Q22" s="1217" t="str">
        <f t="shared" si="17"/>
        <v/>
      </c>
      <c r="R22" s="1221" t="str">
        <f t="shared" si="18"/>
        <v/>
      </c>
      <c r="S22" s="1223" t="str">
        <f t="shared" si="19"/>
        <v/>
      </c>
      <c r="T22" s="1226" t="str">
        <f t="shared" si="20"/>
        <v/>
      </c>
      <c r="U22" s="1221" t="str">
        <f t="shared" si="21"/>
        <v/>
      </c>
      <c r="V22" s="1217" t="str">
        <f t="shared" si="22"/>
        <v/>
      </c>
      <c r="W22" s="1221" t="str">
        <f t="shared" si="23"/>
        <v/>
      </c>
      <c r="X22" s="1225">
        <f t="shared" si="24"/>
        <v>0</v>
      </c>
      <c r="Y22" s="1770" t="str">
        <f t="shared" si="25"/>
        <v/>
      </c>
      <c r="Z22" s="1771" t="str">
        <f t="shared" si="26"/>
        <v/>
      </c>
      <c r="AA22" s="1772" t="str">
        <f t="shared" si="27"/>
        <v/>
      </c>
      <c r="AB22" s="1414"/>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5"/>
      <c r="BD22" s="733"/>
      <c r="BE22" s="734"/>
      <c r="BF22" s="735"/>
      <c r="BG22" s="672"/>
      <c r="BH22" s="982"/>
      <c r="BI22" s="983"/>
      <c r="BJ22" s="1626"/>
      <c r="BK22" s="713"/>
      <c r="BL22" s="714"/>
      <c r="BM22" s="715"/>
      <c r="BN22" s="716"/>
      <c r="BO22" s="672" t="str">
        <f>IF(ISERROR(CU22),"",IF(CU22="","",IF(VLOOKUP(BG22,SectInfo!$B:$N,10,FALSE)="","","X")))</f>
        <v/>
      </c>
      <c r="BP22" s="738"/>
      <c r="BQ22" s="1552" t="str">
        <f t="shared" si="48"/>
        <v/>
      </c>
      <c r="BR22" s="910"/>
      <c r="BS22" s="672"/>
      <c r="BT22" s="713"/>
      <c r="BU22" s="714"/>
      <c r="BV22" s="1626"/>
      <c r="BW22" s="713"/>
      <c r="BX22" s="714"/>
      <c r="BY22" s="715"/>
      <c r="BZ22" s="716"/>
      <c r="CA22" s="680" t="str">
        <f>IF(ISERROR(DE22),"",IF(DE22="","",IF(VLOOKUP(BS22,SectInfo!$B:$N,10,FALSE)="","","X")))</f>
        <v/>
      </c>
      <c r="CB22" s="738"/>
      <c r="CC22" s="1552"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7" t="str">
        <f>IF(BG22="","",IF(VLOOKUP(BG22,SectInfo!$B:$N,10,FALSE)="","",(IF(BO22="X",VLOOKUP(BG22,SectInfo!$B:$N,10,FALSE),VALUE(BO22))*-1)))</f>
        <v/>
      </c>
      <c r="CZ22" s="1123"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7" t="str">
        <f>IF(BS22="","",IF(VLOOKUP(BS22,SectInfo!$B:$N,10,FALSE)="","",(IF(CA22="X",VLOOKUP(BS22,SectInfo!$B:$N,10,FALSE),VALUE(CA22))*-1)))</f>
        <v/>
      </c>
      <c r="DJ22" s="1123"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4" t="str">
        <f t="shared" si="80"/>
        <v/>
      </c>
      <c r="EF22" s="1294" t="str">
        <f t="shared" si="81"/>
        <v/>
      </c>
      <c r="EG22" s="1294" t="str">
        <f t="shared" si="82"/>
        <v/>
      </c>
      <c r="EH22" s="856" t="e">
        <f t="shared" si="83"/>
        <v>#N/A</v>
      </c>
      <c r="EI22" s="856" t="e">
        <f t="shared" si="84"/>
        <v>#N/A</v>
      </c>
      <c r="EJ22" s="822" t="str">
        <f t="shared" si="85"/>
        <v/>
      </c>
      <c r="EK22" s="822" t="str">
        <f t="shared" si="85"/>
        <v/>
      </c>
      <c r="EL22" s="1294" t="str">
        <f t="shared" si="86"/>
        <v/>
      </c>
      <c r="EM22" s="822" t="str">
        <f t="shared" si="87"/>
        <v/>
      </c>
      <c r="EN22" s="822" t="str">
        <f t="shared" si="88"/>
        <v/>
      </c>
      <c r="EO22" s="856" t="e">
        <f t="shared" si="89"/>
        <v>#N/A</v>
      </c>
      <c r="EP22" s="856" t="e">
        <f t="shared" si="90"/>
        <v>#N/A</v>
      </c>
      <c r="EQ22" s="1294"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599" t="str">
        <f t="shared" si="115"/>
        <v/>
      </c>
      <c r="GB22" s="619" t="str">
        <f t="shared" si="116"/>
        <v/>
      </c>
      <c r="GC22" s="621" t="str">
        <f t="shared" si="117"/>
        <v/>
      </c>
      <c r="GD22" s="622" t="str">
        <f t="shared" si="118"/>
        <v/>
      </c>
      <c r="GE22" s="620" t="str">
        <f t="shared" si="119"/>
        <v/>
      </c>
      <c r="GF22" s="600" t="str">
        <f t="shared" si="120"/>
        <v/>
      </c>
      <c r="GG22" s="1131"/>
      <c r="GH22" s="1132"/>
      <c r="GI22" s="1131"/>
      <c r="GJ22" s="1132"/>
      <c r="GK22" s="1639">
        <f t="shared" si="121"/>
        <v>0</v>
      </c>
      <c r="GL22" s="1637" t="e">
        <f t="shared" si="122"/>
        <v>#VALUE!</v>
      </c>
      <c r="GM22" s="1638" t="e">
        <f>IF(ABS(GK22-GL22)&gt;='Job Info.'!$L$22,ABS(GK22-GL22),0)</f>
        <v>#VALUE!</v>
      </c>
      <c r="HA22" s="1270"/>
      <c r="HB22" s="1271"/>
      <c r="HC22" s="1271"/>
      <c r="HD22" s="1272"/>
      <c r="HE22" s="1273"/>
      <c r="HF22" s="1271"/>
      <c r="HG22" s="1271"/>
      <c r="HH22" s="1271"/>
      <c r="HI22" s="1274"/>
      <c r="HJ22" s="1271"/>
      <c r="HK22" s="1271"/>
      <c r="HL22" s="1271"/>
      <c r="HM22" s="1271"/>
      <c r="HN22" s="1271"/>
      <c r="HO22" s="1271"/>
      <c r="HP22" s="1271"/>
      <c r="HQ22" s="1274"/>
      <c r="HR22" s="1271"/>
      <c r="HS22" s="1271"/>
      <c r="HT22" s="1271"/>
      <c r="HU22" s="1271"/>
      <c r="HV22" s="1271"/>
      <c r="HW22" s="1273"/>
      <c r="HX22" s="1273"/>
      <c r="HY22" s="1273"/>
      <c r="HZ22" s="1273"/>
      <c r="IA22" s="1273"/>
      <c r="IB22" s="1273"/>
      <c r="IC22" s="1273"/>
      <c r="ID22" s="1273"/>
      <c r="IE22" s="1273"/>
      <c r="IF22" s="1275"/>
    </row>
    <row r="23" spans="1:240" ht="12.6" customHeight="1" x14ac:dyDescent="0.25">
      <c r="A23" s="1215" t="str">
        <f t="shared" si="1"/>
        <v/>
      </c>
      <c r="B23" s="1709" t="str">
        <f t="shared" si="2"/>
        <v/>
      </c>
      <c r="C23" s="1216" t="str">
        <f t="shared" si="3"/>
        <v/>
      </c>
      <c r="D23" s="1217" t="str">
        <f t="shared" si="4"/>
        <v/>
      </c>
      <c r="E23" s="1218" t="str">
        <f t="shared" si="5"/>
        <v/>
      </c>
      <c r="F23" s="1226" t="str">
        <f t="shared" si="6"/>
        <v/>
      </c>
      <c r="G23" s="1221" t="str">
        <f t="shared" si="7"/>
        <v/>
      </c>
      <c r="H23" s="1768" t="str">
        <f t="shared" si="8"/>
        <v/>
      </c>
      <c r="I23" s="1217" t="str">
        <f t="shared" si="9"/>
        <v/>
      </c>
      <c r="J23" s="1221" t="str">
        <f t="shared" si="10"/>
        <v/>
      </c>
      <c r="K23" s="1780" t="str">
        <f t="shared" si="11"/>
        <v/>
      </c>
      <c r="L23" s="1224" t="str">
        <f t="shared" si="12"/>
        <v/>
      </c>
      <c r="M23" s="1225" t="str">
        <f t="shared" si="13"/>
        <v/>
      </c>
      <c r="N23" s="1220" t="str">
        <f t="shared" si="14"/>
        <v/>
      </c>
      <c r="O23" s="1221" t="str">
        <f t="shared" si="15"/>
        <v/>
      </c>
      <c r="P23" s="1222" t="str">
        <f t="shared" si="16"/>
        <v/>
      </c>
      <c r="Q23" s="1217" t="str">
        <f t="shared" si="17"/>
        <v/>
      </c>
      <c r="R23" s="1221" t="str">
        <f t="shared" si="18"/>
        <v/>
      </c>
      <c r="S23" s="1223" t="str">
        <f t="shared" si="19"/>
        <v/>
      </c>
      <c r="T23" s="1226" t="str">
        <f t="shared" si="20"/>
        <v/>
      </c>
      <c r="U23" s="1221" t="str">
        <f t="shared" si="21"/>
        <v/>
      </c>
      <c r="V23" s="1217" t="str">
        <f t="shared" si="22"/>
        <v/>
      </c>
      <c r="W23" s="1221" t="str">
        <f t="shared" si="23"/>
        <v/>
      </c>
      <c r="X23" s="1225">
        <f t="shared" si="24"/>
        <v>0</v>
      </c>
      <c r="Y23" s="1770" t="str">
        <f t="shared" si="25"/>
        <v/>
      </c>
      <c r="Z23" s="1771" t="str">
        <f t="shared" si="26"/>
        <v/>
      </c>
      <c r="AA23" s="1772" t="str">
        <f t="shared" si="27"/>
        <v/>
      </c>
      <c r="AB23" s="1414"/>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5"/>
      <c r="BD23" s="733"/>
      <c r="BE23" s="734"/>
      <c r="BF23" s="735"/>
      <c r="BG23" s="672"/>
      <c r="BH23" s="982"/>
      <c r="BI23" s="983"/>
      <c r="BJ23" s="1626"/>
      <c r="BK23" s="713"/>
      <c r="BL23" s="714"/>
      <c r="BM23" s="715"/>
      <c r="BN23" s="716"/>
      <c r="BO23" s="672" t="str">
        <f>IF(ISERROR(CU23),"",IF(CU23="","",IF(VLOOKUP(BG23,SectInfo!$B:$N,10,FALSE)="","","X")))</f>
        <v/>
      </c>
      <c r="BP23" s="738"/>
      <c r="BQ23" s="1552" t="str">
        <f t="shared" si="48"/>
        <v/>
      </c>
      <c r="BR23" s="910"/>
      <c r="BS23" s="672"/>
      <c r="BT23" s="713"/>
      <c r="BU23" s="714"/>
      <c r="BV23" s="1626"/>
      <c r="BW23" s="713"/>
      <c r="BX23" s="714"/>
      <c r="BY23" s="715"/>
      <c r="BZ23" s="716"/>
      <c r="CA23" s="680" t="str">
        <f>IF(ISERROR(DE23),"",IF(DE23="","",IF(VLOOKUP(BS23,SectInfo!$B:$N,10,FALSE)="","","X")))</f>
        <v/>
      </c>
      <c r="CB23" s="738"/>
      <c r="CC23" s="1552"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4" t="str">
        <f t="shared" si="80"/>
        <v/>
      </c>
      <c r="EF23" s="1294" t="str">
        <f t="shared" si="81"/>
        <v/>
      </c>
      <c r="EG23" s="1294" t="str">
        <f t="shared" si="82"/>
        <v/>
      </c>
      <c r="EH23" s="856" t="e">
        <f t="shared" si="83"/>
        <v>#N/A</v>
      </c>
      <c r="EI23" s="856" t="e">
        <f t="shared" si="84"/>
        <v>#N/A</v>
      </c>
      <c r="EJ23" s="822" t="str">
        <f t="shared" si="85"/>
        <v/>
      </c>
      <c r="EK23" s="822" t="str">
        <f t="shared" si="85"/>
        <v/>
      </c>
      <c r="EL23" s="1294" t="str">
        <f t="shared" si="86"/>
        <v/>
      </c>
      <c r="EM23" s="822" t="str">
        <f t="shared" si="87"/>
        <v/>
      </c>
      <c r="EN23" s="822" t="str">
        <f t="shared" si="88"/>
        <v/>
      </c>
      <c r="EO23" s="856" t="e">
        <f t="shared" si="89"/>
        <v>#N/A</v>
      </c>
      <c r="EP23" s="856" t="e">
        <f t="shared" si="90"/>
        <v>#N/A</v>
      </c>
      <c r="EQ23" s="1294"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599" t="str">
        <f t="shared" si="115"/>
        <v/>
      </c>
      <c r="GB23" s="619" t="str">
        <f t="shared" si="116"/>
        <v/>
      </c>
      <c r="GC23" s="621" t="str">
        <f t="shared" si="117"/>
        <v/>
      </c>
      <c r="GD23" s="622" t="str">
        <f t="shared" si="118"/>
        <v/>
      </c>
      <c r="GE23" s="620" t="str">
        <f t="shared" si="119"/>
        <v/>
      </c>
      <c r="GF23" s="600" t="str">
        <f t="shared" si="120"/>
        <v/>
      </c>
      <c r="GG23" s="1131"/>
      <c r="GH23" s="1132"/>
      <c r="GI23" s="1131"/>
      <c r="GJ23" s="1132"/>
      <c r="GK23" s="1639">
        <f t="shared" si="121"/>
        <v>0</v>
      </c>
      <c r="GL23" s="1637" t="e">
        <f t="shared" si="122"/>
        <v>#VALUE!</v>
      </c>
      <c r="GM23" s="1638" t="e">
        <f>IF(ABS(GK23-GL23)&gt;='Job Info.'!$L$22,ABS(GK23-GL23),0)</f>
        <v>#VALUE!</v>
      </c>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 t="shared" si="4"/>
        <v/>
      </c>
      <c r="E24" s="1218" t="str">
        <f t="shared" si="5"/>
        <v/>
      </c>
      <c r="F24" s="1226" t="str">
        <f t="shared" si="6"/>
        <v/>
      </c>
      <c r="G24" s="1221" t="str">
        <f t="shared" si="7"/>
        <v/>
      </c>
      <c r="H24" s="1768" t="str">
        <f t="shared" si="8"/>
        <v/>
      </c>
      <c r="I24" s="1217" t="str">
        <f t="shared" si="9"/>
        <v/>
      </c>
      <c r="J24" s="1221" t="str">
        <f t="shared" si="10"/>
        <v/>
      </c>
      <c r="K24" s="1780" t="str">
        <f t="shared" si="11"/>
        <v/>
      </c>
      <c r="L24" s="1224" t="str">
        <f t="shared" si="12"/>
        <v/>
      </c>
      <c r="M24" s="1225" t="str">
        <f t="shared" si="13"/>
        <v/>
      </c>
      <c r="N24" s="1220" t="str">
        <f t="shared" si="14"/>
        <v/>
      </c>
      <c r="O24" s="1221" t="str">
        <f t="shared" si="15"/>
        <v/>
      </c>
      <c r="P24" s="1222" t="str">
        <f t="shared" si="16"/>
        <v/>
      </c>
      <c r="Q24" s="1217" t="str">
        <f t="shared" si="17"/>
        <v/>
      </c>
      <c r="R24" s="1221" t="str">
        <f t="shared" si="18"/>
        <v/>
      </c>
      <c r="S24" s="1223" t="str">
        <f t="shared" si="19"/>
        <v/>
      </c>
      <c r="T24" s="1226" t="str">
        <f t="shared" si="20"/>
        <v/>
      </c>
      <c r="U24" s="1221" t="str">
        <f t="shared" si="21"/>
        <v/>
      </c>
      <c r="V24" s="1217" t="str">
        <f t="shared" si="22"/>
        <v/>
      </c>
      <c r="W24" s="1221" t="str">
        <f t="shared" si="23"/>
        <v/>
      </c>
      <c r="X24" s="1225">
        <f t="shared" si="24"/>
        <v>0</v>
      </c>
      <c r="Y24" s="1770" t="str">
        <f t="shared" si="25"/>
        <v/>
      </c>
      <c r="Z24" s="1771" t="str">
        <f t="shared" si="26"/>
        <v/>
      </c>
      <c r="AA24" s="1772" t="str">
        <f t="shared" si="27"/>
        <v/>
      </c>
      <c r="AB24" s="1414"/>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5"/>
      <c r="BD24" s="733"/>
      <c r="BE24" s="734"/>
      <c r="BF24" s="735"/>
      <c r="BG24" s="672"/>
      <c r="BH24" s="982"/>
      <c r="BI24" s="983"/>
      <c r="BJ24" s="1626"/>
      <c r="BK24" s="713"/>
      <c r="BL24" s="714"/>
      <c r="BM24" s="715"/>
      <c r="BN24" s="716"/>
      <c r="BO24" s="672" t="str">
        <f>IF(ISERROR(CU24),"",IF(CU24="","",IF(VLOOKUP(BG24,SectInfo!$B:$N,10,FALSE)="","","X")))</f>
        <v/>
      </c>
      <c r="BP24" s="738"/>
      <c r="BQ24" s="1552" t="str">
        <f t="shared" si="48"/>
        <v/>
      </c>
      <c r="BR24" s="910"/>
      <c r="BS24" s="672"/>
      <c r="BT24" s="713"/>
      <c r="BU24" s="714"/>
      <c r="BV24" s="1626"/>
      <c r="BW24" s="713"/>
      <c r="BX24" s="714"/>
      <c r="BY24" s="715"/>
      <c r="BZ24" s="716"/>
      <c r="CA24" s="680" t="str">
        <f>IF(ISERROR(DE24),"",IF(DE24="","",IF(VLOOKUP(BS24,SectInfo!$B:$N,10,FALSE)="","","X")))</f>
        <v/>
      </c>
      <c r="CB24" s="738"/>
      <c r="CC24" s="1552"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4" t="str">
        <f t="shared" si="80"/>
        <v/>
      </c>
      <c r="EF24" s="1294" t="str">
        <f t="shared" si="81"/>
        <v/>
      </c>
      <c r="EG24" s="1294" t="str">
        <f t="shared" si="82"/>
        <v/>
      </c>
      <c r="EH24" s="856" t="e">
        <f t="shared" si="83"/>
        <v>#N/A</v>
      </c>
      <c r="EI24" s="856" t="e">
        <f t="shared" si="84"/>
        <v>#N/A</v>
      </c>
      <c r="EJ24" s="822" t="str">
        <f t="shared" si="85"/>
        <v/>
      </c>
      <c r="EK24" s="822" t="str">
        <f t="shared" si="85"/>
        <v/>
      </c>
      <c r="EL24" s="1294" t="str">
        <f t="shared" si="86"/>
        <v/>
      </c>
      <c r="EM24" s="822" t="str">
        <f t="shared" si="87"/>
        <v/>
      </c>
      <c r="EN24" s="822" t="str">
        <f t="shared" si="88"/>
        <v/>
      </c>
      <c r="EO24" s="856" t="e">
        <f t="shared" si="89"/>
        <v>#N/A</v>
      </c>
      <c r="EP24" s="856" t="e">
        <f t="shared" si="90"/>
        <v>#N/A</v>
      </c>
      <c r="EQ24" s="1294"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599" t="str">
        <f t="shared" si="115"/>
        <v/>
      </c>
      <c r="GB24" s="619" t="str">
        <f t="shared" si="116"/>
        <v/>
      </c>
      <c r="GC24" s="621" t="str">
        <f t="shared" si="117"/>
        <v/>
      </c>
      <c r="GD24" s="622" t="str">
        <f t="shared" si="118"/>
        <v/>
      </c>
      <c r="GE24" s="620" t="str">
        <f t="shared" si="119"/>
        <v/>
      </c>
      <c r="GF24" s="600" t="str">
        <f t="shared" si="120"/>
        <v/>
      </c>
      <c r="GG24" s="1131"/>
      <c r="GH24" s="1132"/>
      <c r="GI24" s="1131"/>
      <c r="GJ24" s="1132"/>
      <c r="GK24" s="1639">
        <f t="shared" si="121"/>
        <v>0</v>
      </c>
      <c r="GL24" s="1637" t="e">
        <f t="shared" si="122"/>
        <v>#VALUE!</v>
      </c>
      <c r="GM24" s="1638" t="e">
        <f>IF(ABS(GK24-GL24)&gt;='Job Info.'!$L$22,ABS(GK24-GL24),0)</f>
        <v>#VALUE!</v>
      </c>
      <c r="HA24" s="1270"/>
      <c r="HB24" s="1271"/>
      <c r="HC24" s="1271"/>
      <c r="HD24" s="1272"/>
      <c r="HE24" s="1273"/>
      <c r="HF24" s="1271"/>
      <c r="HG24" s="1271"/>
      <c r="HH24" s="1271"/>
      <c r="HI24" s="1274"/>
      <c r="HJ24" s="1271"/>
      <c r="HK24" s="1271"/>
      <c r="HL24" s="1271"/>
      <c r="HM24" s="1271"/>
      <c r="HN24" s="1271"/>
      <c r="HO24" s="1271"/>
      <c r="HP24" s="1271"/>
      <c r="HQ24" s="1274"/>
      <c r="HR24" s="1271"/>
      <c r="HS24" s="1271"/>
      <c r="HT24" s="1271"/>
      <c r="HU24" s="1271"/>
      <c r="HV24" s="1271"/>
      <c r="HW24" s="1273"/>
      <c r="HX24" s="1273"/>
      <c r="HY24" s="1273"/>
      <c r="HZ24" s="1273"/>
      <c r="IA24" s="1273"/>
      <c r="IB24" s="1273"/>
      <c r="IC24" s="1273"/>
      <c r="ID24" s="1273"/>
      <c r="IE24" s="1273"/>
      <c r="IF24" s="1275"/>
    </row>
    <row r="25" spans="1:240" ht="12.6" customHeight="1" x14ac:dyDescent="0.25">
      <c r="A25" s="1215" t="str">
        <f t="shared" si="1"/>
        <v/>
      </c>
      <c r="B25" s="1709" t="str">
        <f t="shared" si="2"/>
        <v/>
      </c>
      <c r="C25" s="1216" t="str">
        <f t="shared" si="3"/>
        <v/>
      </c>
      <c r="D25" s="1217" t="str">
        <f t="shared" si="4"/>
        <v/>
      </c>
      <c r="E25" s="1218" t="str">
        <f t="shared" si="5"/>
        <v/>
      </c>
      <c r="F25" s="1226" t="str">
        <f t="shared" si="6"/>
        <v/>
      </c>
      <c r="G25" s="1221" t="str">
        <f t="shared" si="7"/>
        <v/>
      </c>
      <c r="H25" s="1768" t="str">
        <f t="shared" si="8"/>
        <v/>
      </c>
      <c r="I25" s="1217" t="str">
        <f t="shared" si="9"/>
        <v/>
      </c>
      <c r="J25" s="1221" t="str">
        <f t="shared" si="10"/>
        <v/>
      </c>
      <c r="K25" s="1780" t="str">
        <f t="shared" si="11"/>
        <v/>
      </c>
      <c r="L25" s="1224" t="str">
        <f t="shared" si="12"/>
        <v/>
      </c>
      <c r="M25" s="1225" t="str">
        <f t="shared" si="13"/>
        <v/>
      </c>
      <c r="N25" s="1220" t="str">
        <f t="shared" si="14"/>
        <v/>
      </c>
      <c r="O25" s="1221" t="str">
        <f t="shared" si="15"/>
        <v/>
      </c>
      <c r="P25" s="1222" t="str">
        <f t="shared" si="16"/>
        <v/>
      </c>
      <c r="Q25" s="1217" t="str">
        <f t="shared" si="17"/>
        <v/>
      </c>
      <c r="R25" s="1221" t="str">
        <f t="shared" si="18"/>
        <v/>
      </c>
      <c r="S25" s="1223" t="str">
        <f t="shared" si="19"/>
        <v/>
      </c>
      <c r="T25" s="1226" t="str">
        <f t="shared" si="20"/>
        <v/>
      </c>
      <c r="U25" s="1221" t="str">
        <f t="shared" si="21"/>
        <v/>
      </c>
      <c r="V25" s="1217" t="str">
        <f t="shared" si="22"/>
        <v/>
      </c>
      <c r="W25" s="1221" t="str">
        <f t="shared" si="23"/>
        <v/>
      </c>
      <c r="X25" s="1225">
        <f t="shared" si="24"/>
        <v>0</v>
      </c>
      <c r="Y25" s="1770" t="str">
        <f t="shared" si="25"/>
        <v/>
      </c>
      <c r="Z25" s="1771" t="str">
        <f t="shared" si="26"/>
        <v/>
      </c>
      <c r="AA25" s="1772" t="str">
        <f t="shared" si="27"/>
        <v/>
      </c>
      <c r="AB25" s="1414"/>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5"/>
      <c r="BD25" s="733"/>
      <c r="BE25" s="734"/>
      <c r="BF25" s="735"/>
      <c r="BG25" s="672"/>
      <c r="BH25" s="982"/>
      <c r="BI25" s="983"/>
      <c r="BJ25" s="1626"/>
      <c r="BK25" s="713"/>
      <c r="BL25" s="714"/>
      <c r="BM25" s="715"/>
      <c r="BN25" s="716"/>
      <c r="BO25" s="672" t="str">
        <f>IF(ISERROR(CU25),"",IF(CU25="","",IF(VLOOKUP(BG25,SectInfo!$B:$N,10,FALSE)="","","X")))</f>
        <v/>
      </c>
      <c r="BP25" s="738"/>
      <c r="BQ25" s="1552" t="str">
        <f t="shared" si="48"/>
        <v/>
      </c>
      <c r="BR25" s="910"/>
      <c r="BS25" s="672"/>
      <c r="BT25" s="713"/>
      <c r="BU25" s="714"/>
      <c r="BV25" s="1626"/>
      <c r="BW25" s="713"/>
      <c r="BX25" s="714"/>
      <c r="BY25" s="715"/>
      <c r="BZ25" s="716"/>
      <c r="CA25" s="680" t="str">
        <f>IF(ISERROR(DE25),"",IF(DE25="","",IF(VLOOKUP(BS25,SectInfo!$B:$N,10,FALSE)="","","X")))</f>
        <v/>
      </c>
      <c r="CB25" s="738"/>
      <c r="CC25" s="1552"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4" t="str">
        <f t="shared" si="80"/>
        <v/>
      </c>
      <c r="EF25" s="1294" t="str">
        <f t="shared" si="81"/>
        <v/>
      </c>
      <c r="EG25" s="1294" t="str">
        <f t="shared" si="82"/>
        <v/>
      </c>
      <c r="EH25" s="856" t="e">
        <f t="shared" si="83"/>
        <v>#N/A</v>
      </c>
      <c r="EI25" s="856" t="e">
        <f t="shared" si="84"/>
        <v>#N/A</v>
      </c>
      <c r="EJ25" s="822" t="str">
        <f t="shared" si="85"/>
        <v/>
      </c>
      <c r="EK25" s="822" t="str">
        <f t="shared" si="85"/>
        <v/>
      </c>
      <c r="EL25" s="1294" t="str">
        <f t="shared" si="86"/>
        <v/>
      </c>
      <c r="EM25" s="822" t="str">
        <f t="shared" si="87"/>
        <v/>
      </c>
      <c r="EN25" s="822" t="str">
        <f t="shared" si="88"/>
        <v/>
      </c>
      <c r="EO25" s="856" t="e">
        <f t="shared" si="89"/>
        <v>#N/A</v>
      </c>
      <c r="EP25" s="856" t="e">
        <f t="shared" si="90"/>
        <v>#N/A</v>
      </c>
      <c r="EQ25" s="1294"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599" t="str">
        <f t="shared" si="115"/>
        <v/>
      </c>
      <c r="GB25" s="619" t="str">
        <f t="shared" si="116"/>
        <v/>
      </c>
      <c r="GC25" s="621" t="str">
        <f t="shared" si="117"/>
        <v/>
      </c>
      <c r="GD25" s="622" t="str">
        <f t="shared" si="118"/>
        <v/>
      </c>
      <c r="GE25" s="620" t="str">
        <f t="shared" si="119"/>
        <v/>
      </c>
      <c r="GF25" s="600" t="str">
        <f t="shared" si="120"/>
        <v/>
      </c>
      <c r="GG25" s="1131"/>
      <c r="GH25" s="1132"/>
      <c r="GI25" s="1131"/>
      <c r="GJ25" s="1132"/>
      <c r="GK25" s="1639">
        <f t="shared" si="121"/>
        <v>0</v>
      </c>
      <c r="GL25" s="1637" t="e">
        <f t="shared" si="122"/>
        <v>#VALUE!</v>
      </c>
      <c r="GM25" s="1638" t="e">
        <f>IF(ABS(GK25-GL25)&gt;='Job Info.'!$L$22,ABS(GK25-GL25),0)</f>
        <v>#VALUE!</v>
      </c>
      <c r="HA25" s="1270"/>
      <c r="HB25" s="1271"/>
      <c r="HC25" s="1271"/>
      <c r="HD25" s="1272"/>
      <c r="HE25" s="1273"/>
      <c r="HF25" s="1271"/>
      <c r="HG25" s="1271"/>
      <c r="HH25" s="1271"/>
      <c r="HI25" s="1274"/>
      <c r="HJ25" s="1271"/>
      <c r="HK25" s="1271"/>
      <c r="HL25" s="1271"/>
      <c r="HM25" s="1271"/>
      <c r="HN25" s="1271"/>
      <c r="HO25" s="1271"/>
      <c r="HP25" s="1271"/>
      <c r="HQ25" s="1274"/>
      <c r="HR25" s="1271"/>
      <c r="HS25" s="1271"/>
      <c r="HT25" s="1271"/>
      <c r="HU25" s="1271"/>
      <c r="HV25" s="1271"/>
      <c r="HW25" s="1273"/>
      <c r="HX25" s="1273"/>
      <c r="HY25" s="1273"/>
      <c r="HZ25" s="1273"/>
      <c r="IA25" s="1273"/>
      <c r="IB25" s="1273"/>
      <c r="IC25" s="1273"/>
      <c r="ID25" s="1273"/>
      <c r="IE25" s="1273"/>
      <c r="IF25" s="1275"/>
    </row>
    <row r="26" spans="1:240" ht="12.6" customHeight="1" x14ac:dyDescent="0.25">
      <c r="A26" s="1215" t="str">
        <f t="shared" si="1"/>
        <v/>
      </c>
      <c r="B26" s="1709" t="str">
        <f t="shared" si="2"/>
        <v/>
      </c>
      <c r="C26" s="1216" t="str">
        <f t="shared" si="3"/>
        <v/>
      </c>
      <c r="D26" s="1217" t="str">
        <f t="shared" si="4"/>
        <v/>
      </c>
      <c r="E26" s="1218" t="str">
        <f t="shared" si="5"/>
        <v/>
      </c>
      <c r="F26" s="1226" t="str">
        <f t="shared" si="6"/>
        <v/>
      </c>
      <c r="G26" s="1221" t="str">
        <f t="shared" si="7"/>
        <v/>
      </c>
      <c r="H26" s="1768" t="str">
        <f t="shared" si="8"/>
        <v/>
      </c>
      <c r="I26" s="1217" t="str">
        <f t="shared" si="9"/>
        <v/>
      </c>
      <c r="J26" s="1221" t="str">
        <f t="shared" si="10"/>
        <v/>
      </c>
      <c r="K26" s="1780" t="str">
        <f t="shared" si="11"/>
        <v/>
      </c>
      <c r="L26" s="1224" t="str">
        <f t="shared" si="12"/>
        <v/>
      </c>
      <c r="M26" s="1225" t="str">
        <f t="shared" si="13"/>
        <v/>
      </c>
      <c r="N26" s="1220" t="str">
        <f t="shared" si="14"/>
        <v/>
      </c>
      <c r="O26" s="1221" t="str">
        <f t="shared" si="15"/>
        <v/>
      </c>
      <c r="P26" s="1222" t="str">
        <f t="shared" si="16"/>
        <v/>
      </c>
      <c r="Q26" s="1217" t="str">
        <f t="shared" si="17"/>
        <v/>
      </c>
      <c r="R26" s="1221" t="str">
        <f t="shared" si="18"/>
        <v/>
      </c>
      <c r="S26" s="1223" t="str">
        <f t="shared" si="19"/>
        <v/>
      </c>
      <c r="T26" s="1226" t="str">
        <f t="shared" si="20"/>
        <v/>
      </c>
      <c r="U26" s="1221" t="str">
        <f t="shared" si="21"/>
        <v/>
      </c>
      <c r="V26" s="1217" t="str">
        <f t="shared" si="22"/>
        <v/>
      </c>
      <c r="W26" s="1221" t="str">
        <f t="shared" si="23"/>
        <v/>
      </c>
      <c r="X26" s="1225">
        <f t="shared" si="24"/>
        <v>0</v>
      </c>
      <c r="Y26" s="1770" t="str">
        <f t="shared" si="25"/>
        <v/>
      </c>
      <c r="Z26" s="1771" t="str">
        <f t="shared" si="26"/>
        <v/>
      </c>
      <c r="AA26" s="1772" t="str">
        <f t="shared" si="27"/>
        <v/>
      </c>
      <c r="AB26" s="1414"/>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5"/>
      <c r="BD26" s="733"/>
      <c r="BE26" s="734"/>
      <c r="BF26" s="735"/>
      <c r="BG26" s="672"/>
      <c r="BH26" s="982"/>
      <c r="BI26" s="983"/>
      <c r="BJ26" s="1626"/>
      <c r="BK26" s="713"/>
      <c r="BL26" s="714"/>
      <c r="BM26" s="715"/>
      <c r="BN26" s="716"/>
      <c r="BO26" s="672" t="str">
        <f>IF(ISERROR(CU26),"",IF(CU26="","",IF(VLOOKUP(BG26,SectInfo!$B:$N,10,FALSE)="","","X")))</f>
        <v/>
      </c>
      <c r="BP26" s="738"/>
      <c r="BQ26" s="1552" t="str">
        <f t="shared" si="48"/>
        <v/>
      </c>
      <c r="BR26" s="910"/>
      <c r="BS26" s="672"/>
      <c r="BT26" s="713"/>
      <c r="BU26" s="714"/>
      <c r="BV26" s="1626"/>
      <c r="BW26" s="713"/>
      <c r="BX26" s="714"/>
      <c r="BY26" s="715"/>
      <c r="BZ26" s="716"/>
      <c r="CA26" s="680" t="str">
        <f>IF(ISERROR(DE26),"",IF(DE26="","",IF(VLOOKUP(BS26,SectInfo!$B:$N,10,FALSE)="","","X")))</f>
        <v/>
      </c>
      <c r="CB26" s="738"/>
      <c r="CC26" s="1552"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4" t="str">
        <f t="shared" si="80"/>
        <v/>
      </c>
      <c r="EF26" s="1294" t="str">
        <f t="shared" si="81"/>
        <v/>
      </c>
      <c r="EG26" s="1294" t="str">
        <f t="shared" si="82"/>
        <v/>
      </c>
      <c r="EH26" s="856" t="e">
        <f t="shared" si="83"/>
        <v>#N/A</v>
      </c>
      <c r="EI26" s="856" t="e">
        <f t="shared" si="84"/>
        <v>#N/A</v>
      </c>
      <c r="EJ26" s="822" t="str">
        <f t="shared" si="85"/>
        <v/>
      </c>
      <c r="EK26" s="822" t="str">
        <f t="shared" si="85"/>
        <v/>
      </c>
      <c r="EL26" s="1294" t="str">
        <f t="shared" si="86"/>
        <v/>
      </c>
      <c r="EM26" s="822" t="str">
        <f t="shared" si="87"/>
        <v/>
      </c>
      <c r="EN26" s="822" t="str">
        <f t="shared" si="88"/>
        <v/>
      </c>
      <c r="EO26" s="856" t="e">
        <f t="shared" si="89"/>
        <v>#N/A</v>
      </c>
      <c r="EP26" s="856" t="e">
        <f t="shared" si="90"/>
        <v>#N/A</v>
      </c>
      <c r="EQ26" s="1294"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599" t="str">
        <f t="shared" si="115"/>
        <v/>
      </c>
      <c r="GB26" s="619" t="str">
        <f t="shared" si="116"/>
        <v/>
      </c>
      <c r="GC26" s="621" t="str">
        <f t="shared" si="117"/>
        <v/>
      </c>
      <c r="GD26" s="622" t="str">
        <f t="shared" si="118"/>
        <v/>
      </c>
      <c r="GE26" s="620" t="str">
        <f t="shared" si="119"/>
        <v/>
      </c>
      <c r="GF26" s="600" t="str">
        <f t="shared" si="120"/>
        <v/>
      </c>
      <c r="GG26" s="1131"/>
      <c r="GH26" s="1132"/>
      <c r="GI26" s="1131"/>
      <c r="GJ26" s="1132"/>
      <c r="GK26" s="1639">
        <f t="shared" si="121"/>
        <v>0</v>
      </c>
      <c r="GL26" s="1637" t="e">
        <f t="shared" si="122"/>
        <v>#VALUE!</v>
      </c>
      <c r="GM26" s="1638" t="e">
        <f>IF(ABS(GK26-GL26)&gt;='Job Info.'!$L$22,ABS(GK26-GL26),0)</f>
        <v>#VALUE!</v>
      </c>
      <c r="HA26" s="1270"/>
      <c r="HB26" s="1271"/>
      <c r="HC26" s="1271"/>
      <c r="HD26" s="1272"/>
      <c r="HE26" s="1273"/>
      <c r="HF26" s="1271"/>
      <c r="HG26" s="1271"/>
      <c r="HH26" s="1271"/>
      <c r="HI26" s="1274"/>
      <c r="HJ26" s="1271"/>
      <c r="HK26" s="1271"/>
      <c r="HL26" s="1271"/>
      <c r="HM26" s="1271"/>
      <c r="HN26" s="1271"/>
      <c r="HO26" s="1271"/>
      <c r="HP26" s="1271"/>
      <c r="HQ26" s="1274"/>
      <c r="HR26" s="1271"/>
      <c r="HS26" s="1271"/>
      <c r="HT26" s="1271"/>
      <c r="HU26" s="1271"/>
      <c r="HV26" s="1271"/>
      <c r="HW26" s="1273"/>
      <c r="HX26" s="1273"/>
      <c r="HY26" s="1273"/>
      <c r="HZ26" s="1273"/>
      <c r="IA26" s="1273"/>
      <c r="IB26" s="1273"/>
      <c r="IC26" s="1273"/>
      <c r="ID26" s="1273"/>
      <c r="IE26" s="1273"/>
      <c r="IF26" s="1275"/>
    </row>
    <row r="27" spans="1:240" ht="12.6" customHeight="1" x14ac:dyDescent="0.25">
      <c r="A27" s="1215" t="str">
        <f t="shared" si="1"/>
        <v/>
      </c>
      <c r="B27" s="1709" t="str">
        <f t="shared" si="2"/>
        <v/>
      </c>
      <c r="C27" s="1216" t="str">
        <f t="shared" si="3"/>
        <v/>
      </c>
      <c r="D27" s="1217" t="str">
        <f t="shared" si="4"/>
        <v/>
      </c>
      <c r="E27" s="1218" t="str">
        <f t="shared" si="5"/>
        <v/>
      </c>
      <c r="F27" s="1226" t="str">
        <f t="shared" si="6"/>
        <v/>
      </c>
      <c r="G27" s="1221" t="str">
        <f t="shared" si="7"/>
        <v/>
      </c>
      <c r="H27" s="1768" t="str">
        <f t="shared" si="8"/>
        <v/>
      </c>
      <c r="I27" s="1217" t="str">
        <f t="shared" si="9"/>
        <v/>
      </c>
      <c r="J27" s="1221" t="str">
        <f t="shared" si="10"/>
        <v/>
      </c>
      <c r="K27" s="1780" t="str">
        <f t="shared" si="11"/>
        <v/>
      </c>
      <c r="L27" s="1224" t="str">
        <f t="shared" si="12"/>
        <v/>
      </c>
      <c r="M27" s="1225" t="str">
        <f t="shared" si="13"/>
        <v/>
      </c>
      <c r="N27" s="1220" t="str">
        <f t="shared" si="14"/>
        <v/>
      </c>
      <c r="O27" s="1221" t="str">
        <f t="shared" si="15"/>
        <v/>
      </c>
      <c r="P27" s="1222" t="str">
        <f t="shared" si="16"/>
        <v/>
      </c>
      <c r="Q27" s="1217" t="str">
        <f t="shared" si="17"/>
        <v/>
      </c>
      <c r="R27" s="1221" t="str">
        <f t="shared" si="18"/>
        <v/>
      </c>
      <c r="S27" s="1223" t="str">
        <f t="shared" si="19"/>
        <v/>
      </c>
      <c r="T27" s="1226" t="str">
        <f t="shared" si="20"/>
        <v/>
      </c>
      <c r="U27" s="1221" t="str">
        <f t="shared" si="21"/>
        <v/>
      </c>
      <c r="V27" s="1217" t="str">
        <f t="shared" si="22"/>
        <v/>
      </c>
      <c r="W27" s="1221" t="str">
        <f t="shared" si="23"/>
        <v/>
      </c>
      <c r="X27" s="1225">
        <f t="shared" si="24"/>
        <v>0</v>
      </c>
      <c r="Y27" s="1770" t="str">
        <f t="shared" si="25"/>
        <v/>
      </c>
      <c r="Z27" s="1771" t="str">
        <f t="shared" si="26"/>
        <v/>
      </c>
      <c r="AA27" s="1772" t="str">
        <f t="shared" si="27"/>
        <v/>
      </c>
      <c r="AB27" s="1414"/>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5"/>
      <c r="BD27" s="733"/>
      <c r="BE27" s="734"/>
      <c r="BF27" s="735"/>
      <c r="BG27" s="672"/>
      <c r="BH27" s="982"/>
      <c r="BI27" s="983"/>
      <c r="BJ27" s="1626"/>
      <c r="BK27" s="713"/>
      <c r="BL27" s="714"/>
      <c r="BM27" s="715"/>
      <c r="BN27" s="716"/>
      <c r="BO27" s="672" t="str">
        <f>IF(ISERROR(CU27),"",IF(CU27="","",IF(VLOOKUP(BG27,SectInfo!$B:$N,10,FALSE)="","","X")))</f>
        <v/>
      </c>
      <c r="BP27" s="738"/>
      <c r="BQ27" s="1552" t="str">
        <f t="shared" si="48"/>
        <v/>
      </c>
      <c r="BR27" s="910"/>
      <c r="BS27" s="672"/>
      <c r="BT27" s="713"/>
      <c r="BU27" s="714"/>
      <c r="BV27" s="1626"/>
      <c r="BW27" s="713"/>
      <c r="BX27" s="714"/>
      <c r="BY27" s="715"/>
      <c r="BZ27" s="716"/>
      <c r="CA27" s="680" t="str">
        <f>IF(ISERROR(DE27),"",IF(DE27="","",IF(VLOOKUP(BS27,SectInfo!$B:$N,10,FALSE)="","","X")))</f>
        <v/>
      </c>
      <c r="CB27" s="738"/>
      <c r="CC27" s="1552"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4" t="str">
        <f t="shared" si="80"/>
        <v/>
      </c>
      <c r="EF27" s="1294" t="str">
        <f t="shared" si="81"/>
        <v/>
      </c>
      <c r="EG27" s="1294" t="str">
        <f t="shared" si="82"/>
        <v/>
      </c>
      <c r="EH27" s="856" t="e">
        <f t="shared" si="83"/>
        <v>#N/A</v>
      </c>
      <c r="EI27" s="856" t="e">
        <f t="shared" si="84"/>
        <v>#N/A</v>
      </c>
      <c r="EJ27" s="822" t="str">
        <f t="shared" si="85"/>
        <v/>
      </c>
      <c r="EK27" s="822" t="str">
        <f t="shared" si="85"/>
        <v/>
      </c>
      <c r="EL27" s="1294" t="str">
        <f t="shared" si="86"/>
        <v/>
      </c>
      <c r="EM27" s="822" t="str">
        <f t="shared" si="87"/>
        <v/>
      </c>
      <c r="EN27" s="822" t="str">
        <f t="shared" si="88"/>
        <v/>
      </c>
      <c r="EO27" s="856" t="e">
        <f t="shared" si="89"/>
        <v>#N/A</v>
      </c>
      <c r="EP27" s="856" t="e">
        <f t="shared" si="90"/>
        <v>#N/A</v>
      </c>
      <c r="EQ27" s="1294"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599" t="str">
        <f t="shared" si="115"/>
        <v/>
      </c>
      <c r="GB27" s="619" t="str">
        <f t="shared" si="116"/>
        <v/>
      </c>
      <c r="GC27" s="621" t="str">
        <f t="shared" si="117"/>
        <v/>
      </c>
      <c r="GD27" s="622" t="str">
        <f t="shared" si="118"/>
        <v/>
      </c>
      <c r="GE27" s="620" t="str">
        <f t="shared" si="119"/>
        <v/>
      </c>
      <c r="GF27" s="600" t="str">
        <f t="shared" si="120"/>
        <v/>
      </c>
      <c r="GG27" s="1131"/>
      <c r="GH27" s="1132"/>
      <c r="GI27" s="1131"/>
      <c r="GJ27" s="1132"/>
      <c r="GK27" s="1639">
        <f t="shared" si="121"/>
        <v>0</v>
      </c>
      <c r="GL27" s="1637" t="e">
        <f t="shared" si="122"/>
        <v>#VALUE!</v>
      </c>
      <c r="GM27" s="1638" t="e">
        <f>IF(ABS(GK27-GL27)&gt;='Job Info.'!$L$22,ABS(GK27-GL27),0)</f>
        <v>#VALUE!</v>
      </c>
      <c r="HA27" s="1270"/>
      <c r="HB27" s="1271"/>
      <c r="HC27" s="1271"/>
      <c r="HD27" s="1272"/>
      <c r="HE27" s="1273"/>
      <c r="HF27" s="1271"/>
      <c r="HG27" s="1271"/>
      <c r="HH27" s="1271"/>
      <c r="HI27" s="1274"/>
      <c r="HJ27" s="1271"/>
      <c r="HK27" s="1271"/>
      <c r="HL27" s="1271"/>
      <c r="HM27" s="1271"/>
      <c r="HN27" s="1271"/>
      <c r="HO27" s="1271"/>
      <c r="HP27" s="1271"/>
      <c r="HQ27" s="1274"/>
      <c r="HR27" s="1271"/>
      <c r="HS27" s="1271"/>
      <c r="HT27" s="1271"/>
      <c r="HU27" s="1271"/>
      <c r="HV27" s="1271"/>
      <c r="HW27" s="1273"/>
      <c r="HX27" s="1273"/>
      <c r="HY27" s="1273"/>
      <c r="HZ27" s="1273"/>
      <c r="IA27" s="1273"/>
      <c r="IB27" s="1273"/>
      <c r="IC27" s="1273"/>
      <c r="ID27" s="1273"/>
      <c r="IE27" s="1273"/>
      <c r="IF27" s="1275"/>
    </row>
    <row r="28" spans="1:240" ht="12.6" customHeight="1" x14ac:dyDescent="0.25">
      <c r="A28" s="1215" t="str">
        <f t="shared" si="1"/>
        <v/>
      </c>
      <c r="B28" s="1709" t="str">
        <f t="shared" si="2"/>
        <v/>
      </c>
      <c r="C28" s="1216" t="str">
        <f t="shared" si="3"/>
        <v/>
      </c>
      <c r="D28" s="1217" t="str">
        <f t="shared" si="4"/>
        <v/>
      </c>
      <c r="E28" s="1218" t="str">
        <f t="shared" si="5"/>
        <v/>
      </c>
      <c r="F28" s="1226" t="str">
        <f t="shared" si="6"/>
        <v/>
      </c>
      <c r="G28" s="1221" t="str">
        <f t="shared" si="7"/>
        <v/>
      </c>
      <c r="H28" s="1768" t="str">
        <f t="shared" si="8"/>
        <v/>
      </c>
      <c r="I28" s="1217" t="str">
        <f t="shared" si="9"/>
        <v/>
      </c>
      <c r="J28" s="1221" t="str">
        <f t="shared" si="10"/>
        <v/>
      </c>
      <c r="K28" s="1780" t="str">
        <f t="shared" si="11"/>
        <v/>
      </c>
      <c r="L28" s="1224" t="str">
        <f t="shared" si="12"/>
        <v/>
      </c>
      <c r="M28" s="1225" t="str">
        <f t="shared" si="13"/>
        <v/>
      </c>
      <c r="N28" s="1220" t="str">
        <f t="shared" si="14"/>
        <v/>
      </c>
      <c r="O28" s="1221" t="str">
        <f t="shared" si="15"/>
        <v/>
      </c>
      <c r="P28" s="1222" t="str">
        <f t="shared" si="16"/>
        <v/>
      </c>
      <c r="Q28" s="1217" t="str">
        <f t="shared" si="17"/>
        <v/>
      </c>
      <c r="R28" s="1221" t="str">
        <f t="shared" si="18"/>
        <v/>
      </c>
      <c r="S28" s="1223" t="str">
        <f t="shared" si="19"/>
        <v/>
      </c>
      <c r="T28" s="1226" t="str">
        <f t="shared" si="20"/>
        <v/>
      </c>
      <c r="U28" s="1221" t="str">
        <f t="shared" si="21"/>
        <v/>
      </c>
      <c r="V28" s="1217" t="str">
        <f t="shared" si="22"/>
        <v/>
      </c>
      <c r="W28" s="1221" t="str">
        <f t="shared" si="23"/>
        <v/>
      </c>
      <c r="X28" s="1225">
        <f t="shared" si="24"/>
        <v>0</v>
      </c>
      <c r="Y28" s="1770" t="str">
        <f t="shared" si="25"/>
        <v/>
      </c>
      <c r="Z28" s="1771" t="str">
        <f t="shared" si="26"/>
        <v/>
      </c>
      <c r="AA28" s="1772" t="str">
        <f t="shared" si="27"/>
        <v/>
      </c>
      <c r="AB28" s="1414"/>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5"/>
      <c r="BD28" s="733"/>
      <c r="BE28" s="734"/>
      <c r="BF28" s="735"/>
      <c r="BG28" s="672"/>
      <c r="BH28" s="982"/>
      <c r="BI28" s="983"/>
      <c r="BJ28" s="1626"/>
      <c r="BK28" s="713"/>
      <c r="BL28" s="714"/>
      <c r="BM28" s="715"/>
      <c r="BN28" s="716"/>
      <c r="BO28" s="672" t="str">
        <f>IF(ISERROR(CU28),"",IF(CU28="","",IF(VLOOKUP(BG28,SectInfo!$B:$N,10,FALSE)="","","X")))</f>
        <v/>
      </c>
      <c r="BP28" s="738"/>
      <c r="BQ28" s="1552" t="str">
        <f t="shared" si="48"/>
        <v/>
      </c>
      <c r="BR28" s="910"/>
      <c r="BS28" s="672"/>
      <c r="BT28" s="713"/>
      <c r="BU28" s="714"/>
      <c r="BV28" s="1626"/>
      <c r="BW28" s="713"/>
      <c r="BX28" s="714"/>
      <c r="BY28" s="715"/>
      <c r="BZ28" s="716"/>
      <c r="CA28" s="680" t="str">
        <f>IF(ISERROR(DE28),"",IF(DE28="","",IF(VLOOKUP(BS28,SectInfo!$B:$N,10,FALSE)="","","X")))</f>
        <v/>
      </c>
      <c r="CB28" s="738"/>
      <c r="CC28" s="1552"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4" t="str">
        <f t="shared" si="80"/>
        <v/>
      </c>
      <c r="EF28" s="1294" t="str">
        <f t="shared" si="81"/>
        <v/>
      </c>
      <c r="EG28" s="1294" t="str">
        <f t="shared" si="82"/>
        <v/>
      </c>
      <c r="EH28" s="856" t="e">
        <f t="shared" si="83"/>
        <v>#N/A</v>
      </c>
      <c r="EI28" s="856" t="e">
        <f t="shared" si="84"/>
        <v>#N/A</v>
      </c>
      <c r="EJ28" s="822" t="str">
        <f t="shared" si="85"/>
        <v/>
      </c>
      <c r="EK28" s="822" t="str">
        <f t="shared" si="85"/>
        <v/>
      </c>
      <c r="EL28" s="1294" t="str">
        <f t="shared" si="86"/>
        <v/>
      </c>
      <c r="EM28" s="822" t="str">
        <f t="shared" si="87"/>
        <v/>
      </c>
      <c r="EN28" s="822" t="str">
        <f t="shared" si="88"/>
        <v/>
      </c>
      <c r="EO28" s="856" t="e">
        <f t="shared" si="89"/>
        <v>#N/A</v>
      </c>
      <c r="EP28" s="856" t="e">
        <f t="shared" si="90"/>
        <v>#N/A</v>
      </c>
      <c r="EQ28" s="1294"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599" t="str">
        <f t="shared" si="115"/>
        <v/>
      </c>
      <c r="GB28" s="619" t="str">
        <f t="shared" si="116"/>
        <v/>
      </c>
      <c r="GC28" s="621" t="str">
        <f t="shared" si="117"/>
        <v/>
      </c>
      <c r="GD28" s="622" t="str">
        <f t="shared" si="118"/>
        <v/>
      </c>
      <c r="GE28" s="620" t="str">
        <f t="shared" si="119"/>
        <v/>
      </c>
      <c r="GF28" s="600" t="str">
        <f t="shared" si="120"/>
        <v/>
      </c>
      <c r="GG28" s="1131"/>
      <c r="GH28" s="1132"/>
      <c r="GI28" s="1131"/>
      <c r="GJ28" s="1132"/>
      <c r="GK28" s="1639">
        <f t="shared" si="121"/>
        <v>0</v>
      </c>
      <c r="GL28" s="1637" t="e">
        <f t="shared" si="122"/>
        <v>#VALUE!</v>
      </c>
      <c r="GM28" s="1638" t="e">
        <f>IF(ABS(GK28-GL28)&gt;='Job Info.'!$L$22,ABS(GK28-GL28),0)</f>
        <v>#VALUE!</v>
      </c>
      <c r="HA28" s="1270"/>
      <c r="HB28" s="1271"/>
      <c r="HC28" s="1271"/>
      <c r="HD28" s="1272"/>
      <c r="HE28" s="1273"/>
      <c r="HF28" s="1271"/>
      <c r="HG28" s="1271"/>
      <c r="HH28" s="1271"/>
      <c r="HI28" s="1274"/>
      <c r="HJ28" s="1271"/>
      <c r="HK28" s="1271"/>
      <c r="HL28" s="1271"/>
      <c r="HM28" s="1271"/>
      <c r="HN28" s="1271"/>
      <c r="HO28" s="1271"/>
      <c r="HP28" s="1271"/>
      <c r="HQ28" s="1274"/>
      <c r="HR28" s="1271"/>
      <c r="HS28" s="1271"/>
      <c r="HT28" s="1271"/>
      <c r="HU28" s="1271"/>
      <c r="HV28" s="1271"/>
      <c r="HW28" s="1273"/>
      <c r="HX28" s="1273"/>
      <c r="HY28" s="1273"/>
      <c r="HZ28" s="1273"/>
      <c r="IA28" s="1273"/>
      <c r="IB28" s="1273"/>
      <c r="IC28" s="1273"/>
      <c r="ID28" s="1273"/>
      <c r="IE28" s="1273"/>
      <c r="IF28" s="1275"/>
    </row>
    <row r="29" spans="1:240" ht="12.6" customHeight="1" x14ac:dyDescent="0.25">
      <c r="A29" s="1215" t="str">
        <f t="shared" si="1"/>
        <v/>
      </c>
      <c r="B29" s="1709" t="str">
        <f t="shared" si="2"/>
        <v/>
      </c>
      <c r="C29" s="1216" t="str">
        <f t="shared" si="3"/>
        <v/>
      </c>
      <c r="D29" s="1217" t="str">
        <f t="shared" si="4"/>
        <v/>
      </c>
      <c r="E29" s="1218" t="str">
        <f t="shared" si="5"/>
        <v/>
      </c>
      <c r="F29" s="1226" t="str">
        <f t="shared" si="6"/>
        <v/>
      </c>
      <c r="G29" s="1221" t="str">
        <f t="shared" si="7"/>
        <v/>
      </c>
      <c r="H29" s="1768" t="str">
        <f t="shared" si="8"/>
        <v/>
      </c>
      <c r="I29" s="1217" t="str">
        <f t="shared" si="9"/>
        <v/>
      </c>
      <c r="J29" s="1221" t="str">
        <f t="shared" si="10"/>
        <v/>
      </c>
      <c r="K29" s="1780" t="str">
        <f t="shared" si="11"/>
        <v/>
      </c>
      <c r="L29" s="1224" t="str">
        <f t="shared" si="12"/>
        <v/>
      </c>
      <c r="M29" s="1225" t="str">
        <f t="shared" si="13"/>
        <v/>
      </c>
      <c r="N29" s="1220" t="str">
        <f t="shared" si="14"/>
        <v/>
      </c>
      <c r="O29" s="1221" t="str">
        <f t="shared" si="15"/>
        <v/>
      </c>
      <c r="P29" s="1222" t="str">
        <f t="shared" si="16"/>
        <v/>
      </c>
      <c r="Q29" s="1217" t="str">
        <f t="shared" si="17"/>
        <v/>
      </c>
      <c r="R29" s="1221" t="str">
        <f t="shared" si="18"/>
        <v/>
      </c>
      <c r="S29" s="1223" t="str">
        <f t="shared" si="19"/>
        <v/>
      </c>
      <c r="T29" s="1226" t="str">
        <f t="shared" si="20"/>
        <v/>
      </c>
      <c r="U29" s="1221" t="str">
        <f t="shared" si="21"/>
        <v/>
      </c>
      <c r="V29" s="1217" t="str">
        <f t="shared" si="22"/>
        <v/>
      </c>
      <c r="W29" s="1221" t="str">
        <f t="shared" si="23"/>
        <v/>
      </c>
      <c r="X29" s="1225">
        <f t="shared" si="24"/>
        <v>0</v>
      </c>
      <c r="Y29" s="1770" t="str">
        <f t="shared" si="25"/>
        <v/>
      </c>
      <c r="Z29" s="1771" t="str">
        <f t="shared" si="26"/>
        <v/>
      </c>
      <c r="AA29" s="1772" t="str">
        <f t="shared" si="27"/>
        <v/>
      </c>
      <c r="AB29" s="1414"/>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5"/>
      <c r="BD29" s="733"/>
      <c r="BE29" s="734"/>
      <c r="BF29" s="735"/>
      <c r="BG29" s="672"/>
      <c r="BH29" s="982"/>
      <c r="BI29" s="983"/>
      <c r="BJ29" s="1626"/>
      <c r="BK29" s="713"/>
      <c r="BL29" s="714"/>
      <c r="BM29" s="715"/>
      <c r="BN29" s="716"/>
      <c r="BO29" s="672" t="str">
        <f>IF(ISERROR(CU29),"",IF(CU29="","",IF(VLOOKUP(BG29,SectInfo!$B:$N,10,FALSE)="","","X")))</f>
        <v/>
      </c>
      <c r="BP29" s="738"/>
      <c r="BQ29" s="1552" t="str">
        <f t="shared" si="48"/>
        <v/>
      </c>
      <c r="BR29" s="910"/>
      <c r="BS29" s="672"/>
      <c r="BT29" s="713"/>
      <c r="BU29" s="714"/>
      <c r="BV29" s="1626"/>
      <c r="BW29" s="713"/>
      <c r="BX29" s="714"/>
      <c r="BY29" s="715"/>
      <c r="BZ29" s="716"/>
      <c r="CA29" s="680" t="str">
        <f>IF(ISERROR(DE29),"",IF(DE29="","",IF(VLOOKUP(BS29,SectInfo!$B:$N,10,FALSE)="","","X")))</f>
        <v/>
      </c>
      <c r="CB29" s="738"/>
      <c r="CC29" s="1552"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4" t="str">
        <f t="shared" si="80"/>
        <v/>
      </c>
      <c r="EF29" s="1294" t="str">
        <f t="shared" si="81"/>
        <v/>
      </c>
      <c r="EG29" s="1294" t="str">
        <f t="shared" si="82"/>
        <v/>
      </c>
      <c r="EH29" s="856" t="e">
        <f t="shared" si="83"/>
        <v>#N/A</v>
      </c>
      <c r="EI29" s="856" t="e">
        <f t="shared" si="84"/>
        <v>#N/A</v>
      </c>
      <c r="EJ29" s="822" t="str">
        <f t="shared" si="85"/>
        <v/>
      </c>
      <c r="EK29" s="822" t="str">
        <f t="shared" si="85"/>
        <v/>
      </c>
      <c r="EL29" s="1294" t="str">
        <f t="shared" si="86"/>
        <v/>
      </c>
      <c r="EM29" s="822" t="str">
        <f t="shared" si="87"/>
        <v/>
      </c>
      <c r="EN29" s="822" t="str">
        <f t="shared" si="88"/>
        <v/>
      </c>
      <c r="EO29" s="856" t="e">
        <f t="shared" si="89"/>
        <v>#N/A</v>
      </c>
      <c r="EP29" s="856" t="e">
        <f t="shared" si="90"/>
        <v>#N/A</v>
      </c>
      <c r="EQ29" s="1294"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599" t="str">
        <f t="shared" si="115"/>
        <v/>
      </c>
      <c r="GB29" s="619" t="str">
        <f t="shared" si="116"/>
        <v/>
      </c>
      <c r="GC29" s="621" t="str">
        <f t="shared" si="117"/>
        <v/>
      </c>
      <c r="GD29" s="622" t="str">
        <f t="shared" si="118"/>
        <v/>
      </c>
      <c r="GE29" s="620" t="str">
        <f t="shared" si="119"/>
        <v/>
      </c>
      <c r="GF29" s="600" t="str">
        <f t="shared" si="120"/>
        <v/>
      </c>
      <c r="GG29" s="1131"/>
      <c r="GH29" s="1132"/>
      <c r="GI29" s="1131"/>
      <c r="GJ29" s="1132"/>
      <c r="GK29" s="1639">
        <f t="shared" si="121"/>
        <v>0</v>
      </c>
      <c r="GL29" s="1637" t="e">
        <f t="shared" si="122"/>
        <v>#VALUE!</v>
      </c>
      <c r="GM29" s="1638" t="e">
        <f>IF(ABS(GK29-GL29)&gt;='Job Info.'!$L$22,ABS(GK29-GL29),0)</f>
        <v>#VALUE!</v>
      </c>
      <c r="HA29" s="1270"/>
      <c r="HB29" s="1271"/>
      <c r="HC29" s="1271"/>
      <c r="HD29" s="1272"/>
      <c r="HE29" s="1273"/>
      <c r="HF29" s="1271"/>
      <c r="HG29" s="1271"/>
      <c r="HH29" s="1271"/>
      <c r="HI29" s="1274"/>
      <c r="HJ29" s="1271"/>
      <c r="HK29" s="1271"/>
      <c r="HL29" s="1271"/>
      <c r="HM29" s="1271"/>
      <c r="HN29" s="1271"/>
      <c r="HO29" s="1271"/>
      <c r="HP29" s="1271"/>
      <c r="HQ29" s="1274"/>
      <c r="HR29" s="1271"/>
      <c r="HS29" s="1271"/>
      <c r="HT29" s="1271"/>
      <c r="HU29" s="1271"/>
      <c r="HV29" s="1271"/>
      <c r="HW29" s="1273"/>
      <c r="HX29" s="1273"/>
      <c r="HY29" s="1273"/>
      <c r="HZ29" s="1273"/>
      <c r="IA29" s="1273"/>
      <c r="IB29" s="1273"/>
      <c r="IC29" s="1273"/>
      <c r="ID29" s="1273"/>
      <c r="IE29" s="1273"/>
      <c r="IF29" s="1275"/>
    </row>
    <row r="30" spans="1:240" ht="12.6" customHeight="1" x14ac:dyDescent="0.25">
      <c r="A30" s="1215" t="str">
        <f t="shared" si="1"/>
        <v/>
      </c>
      <c r="B30" s="1709" t="str">
        <f t="shared" si="2"/>
        <v/>
      </c>
      <c r="C30" s="1216" t="str">
        <f t="shared" si="3"/>
        <v/>
      </c>
      <c r="D30" s="1217" t="str">
        <f t="shared" si="4"/>
        <v/>
      </c>
      <c r="E30" s="1218" t="str">
        <f t="shared" si="5"/>
        <v/>
      </c>
      <c r="F30" s="1226" t="str">
        <f t="shared" si="6"/>
        <v/>
      </c>
      <c r="G30" s="1221" t="str">
        <f t="shared" si="7"/>
        <v/>
      </c>
      <c r="H30" s="1768" t="str">
        <f t="shared" si="8"/>
        <v/>
      </c>
      <c r="I30" s="1217" t="str">
        <f t="shared" si="9"/>
        <v/>
      </c>
      <c r="J30" s="1221" t="str">
        <f t="shared" si="10"/>
        <v/>
      </c>
      <c r="K30" s="1780" t="str">
        <f t="shared" si="11"/>
        <v/>
      </c>
      <c r="L30" s="1224" t="str">
        <f t="shared" si="12"/>
        <v/>
      </c>
      <c r="M30" s="1225" t="str">
        <f t="shared" si="13"/>
        <v/>
      </c>
      <c r="N30" s="1220" t="str">
        <f t="shared" si="14"/>
        <v/>
      </c>
      <c r="O30" s="1221" t="str">
        <f t="shared" si="15"/>
        <v/>
      </c>
      <c r="P30" s="1222" t="str">
        <f t="shared" si="16"/>
        <v/>
      </c>
      <c r="Q30" s="1217" t="str">
        <f t="shared" si="17"/>
        <v/>
      </c>
      <c r="R30" s="1221" t="str">
        <f t="shared" si="18"/>
        <v/>
      </c>
      <c r="S30" s="1223" t="str">
        <f t="shared" si="19"/>
        <v/>
      </c>
      <c r="T30" s="1226" t="str">
        <f t="shared" si="20"/>
        <v/>
      </c>
      <c r="U30" s="1221" t="str">
        <f t="shared" si="21"/>
        <v/>
      </c>
      <c r="V30" s="1217" t="str">
        <f t="shared" si="22"/>
        <v/>
      </c>
      <c r="W30" s="1221" t="str">
        <f t="shared" si="23"/>
        <v/>
      </c>
      <c r="X30" s="1225">
        <f t="shared" si="24"/>
        <v>0</v>
      </c>
      <c r="Y30" s="1770" t="str">
        <f t="shared" si="25"/>
        <v/>
      </c>
      <c r="Z30" s="1771" t="str">
        <f t="shared" si="26"/>
        <v/>
      </c>
      <c r="AA30" s="1772" t="str">
        <f t="shared" si="27"/>
        <v/>
      </c>
      <c r="AB30" s="1414"/>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5"/>
      <c r="BD30" s="733"/>
      <c r="BE30" s="734"/>
      <c r="BF30" s="735"/>
      <c r="BG30" s="672"/>
      <c r="BH30" s="982"/>
      <c r="BI30" s="983"/>
      <c r="BJ30" s="1626"/>
      <c r="BK30" s="713"/>
      <c r="BL30" s="714"/>
      <c r="BM30" s="715"/>
      <c r="BN30" s="716"/>
      <c r="BO30" s="672" t="str">
        <f>IF(ISERROR(CU30),"",IF(CU30="","",IF(VLOOKUP(BG30,SectInfo!$B:$N,10,FALSE)="","","X")))</f>
        <v/>
      </c>
      <c r="BP30" s="738"/>
      <c r="BQ30" s="1552" t="str">
        <f t="shared" si="48"/>
        <v/>
      </c>
      <c r="BR30" s="910"/>
      <c r="BS30" s="672"/>
      <c r="BT30" s="713"/>
      <c r="BU30" s="714"/>
      <c r="BV30" s="1626"/>
      <c r="BW30" s="713"/>
      <c r="BX30" s="714"/>
      <c r="BY30" s="715"/>
      <c r="BZ30" s="716"/>
      <c r="CA30" s="680" t="str">
        <f>IF(ISERROR(DE30),"",IF(DE30="","",IF(VLOOKUP(BS30,SectInfo!$B:$N,10,FALSE)="","","X")))</f>
        <v/>
      </c>
      <c r="CB30" s="738"/>
      <c r="CC30" s="1552"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4" t="str">
        <f t="shared" si="80"/>
        <v/>
      </c>
      <c r="EF30" s="1294" t="str">
        <f t="shared" si="81"/>
        <v/>
      </c>
      <c r="EG30" s="1294" t="str">
        <f t="shared" si="82"/>
        <v/>
      </c>
      <c r="EH30" s="856" t="e">
        <f t="shared" si="83"/>
        <v>#N/A</v>
      </c>
      <c r="EI30" s="856" t="e">
        <f t="shared" si="84"/>
        <v>#N/A</v>
      </c>
      <c r="EJ30" s="822" t="str">
        <f t="shared" si="85"/>
        <v/>
      </c>
      <c r="EK30" s="822" t="str">
        <f t="shared" si="85"/>
        <v/>
      </c>
      <c r="EL30" s="1294" t="str">
        <f t="shared" si="86"/>
        <v/>
      </c>
      <c r="EM30" s="822" t="str">
        <f t="shared" si="87"/>
        <v/>
      </c>
      <c r="EN30" s="822" t="str">
        <f t="shared" si="88"/>
        <v/>
      </c>
      <c r="EO30" s="856" t="e">
        <f t="shared" si="89"/>
        <v>#N/A</v>
      </c>
      <c r="EP30" s="856" t="e">
        <f t="shared" si="90"/>
        <v>#N/A</v>
      </c>
      <c r="EQ30" s="1294"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599" t="str">
        <f t="shared" si="115"/>
        <v/>
      </c>
      <c r="GB30" s="619" t="str">
        <f t="shared" si="116"/>
        <v/>
      </c>
      <c r="GC30" s="621" t="str">
        <f t="shared" si="117"/>
        <v/>
      </c>
      <c r="GD30" s="622" t="str">
        <f t="shared" si="118"/>
        <v/>
      </c>
      <c r="GE30" s="620" t="str">
        <f t="shared" si="119"/>
        <v/>
      </c>
      <c r="GF30" s="600" t="str">
        <f t="shared" si="120"/>
        <v/>
      </c>
      <c r="GG30" s="1131"/>
      <c r="GH30" s="1132"/>
      <c r="GI30" s="1131"/>
      <c r="GJ30" s="1132"/>
      <c r="GK30" s="1639">
        <f t="shared" si="121"/>
        <v>0</v>
      </c>
      <c r="GL30" s="1637" t="e">
        <f t="shared" si="122"/>
        <v>#VALUE!</v>
      </c>
      <c r="GM30" s="1638" t="e">
        <f>IF(ABS(GK30-GL30)&gt;='Job Info.'!$L$22,ABS(GK30-GL30),0)</f>
        <v>#VALUE!</v>
      </c>
      <c r="HA30" s="1270"/>
      <c r="HB30" s="1271"/>
      <c r="HC30" s="1271"/>
      <c r="HD30" s="1272"/>
      <c r="HE30" s="1273"/>
      <c r="HF30" s="1271"/>
      <c r="HG30" s="1271"/>
      <c r="HH30" s="1271"/>
      <c r="HI30" s="1274"/>
      <c r="HJ30" s="1271"/>
      <c r="HK30" s="1271"/>
      <c r="HL30" s="1271"/>
      <c r="HM30" s="1271"/>
      <c r="HN30" s="1271"/>
      <c r="HO30" s="1271"/>
      <c r="HP30" s="1271"/>
      <c r="HQ30" s="1274"/>
      <c r="HR30" s="1271"/>
      <c r="HS30" s="1271"/>
      <c r="HT30" s="1271"/>
      <c r="HU30" s="1271"/>
      <c r="HV30" s="1271"/>
      <c r="HW30" s="1273"/>
      <c r="HX30" s="1273"/>
      <c r="HY30" s="1273"/>
      <c r="HZ30" s="1273"/>
      <c r="IA30" s="1273"/>
      <c r="IB30" s="1273"/>
      <c r="IC30" s="1273"/>
      <c r="ID30" s="1273"/>
      <c r="IE30" s="1273"/>
      <c r="IF30" s="1275"/>
    </row>
    <row r="31" spans="1:240" ht="12.6" customHeight="1" x14ac:dyDescent="0.25">
      <c r="A31" s="1215" t="str">
        <f t="shared" si="1"/>
        <v/>
      </c>
      <c r="B31" s="1709" t="str">
        <f t="shared" si="2"/>
        <v/>
      </c>
      <c r="C31" s="1216" t="str">
        <f t="shared" si="3"/>
        <v/>
      </c>
      <c r="D31" s="1217" t="str">
        <f t="shared" si="4"/>
        <v/>
      </c>
      <c r="E31" s="1218" t="str">
        <f t="shared" si="5"/>
        <v/>
      </c>
      <c r="F31" s="1226" t="str">
        <f t="shared" si="6"/>
        <v/>
      </c>
      <c r="G31" s="1221" t="str">
        <f t="shared" si="7"/>
        <v/>
      </c>
      <c r="H31" s="1768" t="str">
        <f t="shared" si="8"/>
        <v/>
      </c>
      <c r="I31" s="1217" t="str">
        <f t="shared" si="9"/>
        <v/>
      </c>
      <c r="J31" s="1221" t="str">
        <f t="shared" si="10"/>
        <v/>
      </c>
      <c r="K31" s="1780" t="str">
        <f t="shared" si="11"/>
        <v/>
      </c>
      <c r="L31" s="1224" t="str">
        <f t="shared" si="12"/>
        <v/>
      </c>
      <c r="M31" s="1225" t="str">
        <f t="shared" si="13"/>
        <v/>
      </c>
      <c r="N31" s="1220" t="str">
        <f t="shared" si="14"/>
        <v/>
      </c>
      <c r="O31" s="1221" t="str">
        <f t="shared" si="15"/>
        <v/>
      </c>
      <c r="P31" s="1222" t="str">
        <f t="shared" si="16"/>
        <v/>
      </c>
      <c r="Q31" s="1217" t="str">
        <f t="shared" si="17"/>
        <v/>
      </c>
      <c r="R31" s="1221" t="str">
        <f t="shared" si="18"/>
        <v/>
      </c>
      <c r="S31" s="1223" t="str">
        <f t="shared" si="19"/>
        <v/>
      </c>
      <c r="T31" s="1226" t="str">
        <f t="shared" si="20"/>
        <v/>
      </c>
      <c r="U31" s="1221" t="str">
        <f t="shared" si="21"/>
        <v/>
      </c>
      <c r="V31" s="1217" t="str">
        <f t="shared" si="22"/>
        <v/>
      </c>
      <c r="W31" s="1221" t="str">
        <f t="shared" si="23"/>
        <v/>
      </c>
      <c r="X31" s="1225">
        <f t="shared" si="24"/>
        <v>0</v>
      </c>
      <c r="Y31" s="1770" t="str">
        <f t="shared" si="25"/>
        <v/>
      </c>
      <c r="Z31" s="1771" t="str">
        <f t="shared" si="26"/>
        <v/>
      </c>
      <c r="AA31" s="1772" t="str">
        <f t="shared" si="27"/>
        <v/>
      </c>
      <c r="AB31" s="1414"/>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5"/>
      <c r="BD31" s="733"/>
      <c r="BE31" s="734"/>
      <c r="BF31" s="735"/>
      <c r="BG31" s="672"/>
      <c r="BH31" s="982"/>
      <c r="BI31" s="983"/>
      <c r="BJ31" s="1626"/>
      <c r="BK31" s="713"/>
      <c r="BL31" s="714"/>
      <c r="BM31" s="715"/>
      <c r="BN31" s="716"/>
      <c r="BO31" s="672" t="str">
        <f>IF(ISERROR(CU31),"",IF(CU31="","",IF(VLOOKUP(BG31,SectInfo!$B:$N,10,FALSE)="","","X")))</f>
        <v/>
      </c>
      <c r="BP31" s="738"/>
      <c r="BQ31" s="1552" t="str">
        <f t="shared" si="48"/>
        <v/>
      </c>
      <c r="BR31" s="910"/>
      <c r="BS31" s="672"/>
      <c r="BT31" s="713"/>
      <c r="BU31" s="714"/>
      <c r="BV31" s="1626"/>
      <c r="BW31" s="713"/>
      <c r="BX31" s="714"/>
      <c r="BY31" s="715"/>
      <c r="BZ31" s="716"/>
      <c r="CA31" s="680" t="str">
        <f>IF(ISERROR(DE31),"",IF(DE31="","",IF(VLOOKUP(BS31,SectInfo!$B:$N,10,FALSE)="","","X")))</f>
        <v/>
      </c>
      <c r="CB31" s="738"/>
      <c r="CC31" s="1552"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4" t="str">
        <f t="shared" si="80"/>
        <v/>
      </c>
      <c r="EF31" s="1294" t="str">
        <f t="shared" si="81"/>
        <v/>
      </c>
      <c r="EG31" s="1294" t="str">
        <f t="shared" si="82"/>
        <v/>
      </c>
      <c r="EH31" s="856" t="e">
        <f t="shared" si="83"/>
        <v>#N/A</v>
      </c>
      <c r="EI31" s="856" t="e">
        <f t="shared" si="84"/>
        <v>#N/A</v>
      </c>
      <c r="EJ31" s="822" t="str">
        <f t="shared" si="85"/>
        <v/>
      </c>
      <c r="EK31" s="822" t="str">
        <f t="shared" si="85"/>
        <v/>
      </c>
      <c r="EL31" s="1294" t="str">
        <f t="shared" si="86"/>
        <v/>
      </c>
      <c r="EM31" s="822" t="str">
        <f t="shared" si="87"/>
        <v/>
      </c>
      <c r="EN31" s="822" t="str">
        <f t="shared" si="88"/>
        <v/>
      </c>
      <c r="EO31" s="856" t="e">
        <f t="shared" si="89"/>
        <v>#N/A</v>
      </c>
      <c r="EP31" s="856" t="e">
        <f t="shared" si="90"/>
        <v>#N/A</v>
      </c>
      <c r="EQ31" s="1294"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599" t="str">
        <f t="shared" si="115"/>
        <v/>
      </c>
      <c r="GB31" s="619" t="str">
        <f t="shared" si="116"/>
        <v/>
      </c>
      <c r="GC31" s="621" t="str">
        <f t="shared" si="117"/>
        <v/>
      </c>
      <c r="GD31" s="622" t="str">
        <f t="shared" si="118"/>
        <v/>
      </c>
      <c r="GE31" s="620" t="str">
        <f t="shared" si="119"/>
        <v/>
      </c>
      <c r="GF31" s="600" t="str">
        <f t="shared" si="120"/>
        <v/>
      </c>
      <c r="GG31" s="1131"/>
      <c r="GH31" s="1132"/>
      <c r="GI31" s="1131"/>
      <c r="GJ31" s="1132"/>
      <c r="GK31" s="1639">
        <f t="shared" si="121"/>
        <v>0</v>
      </c>
      <c r="GL31" s="1637" t="e">
        <f t="shared" si="122"/>
        <v>#VALUE!</v>
      </c>
      <c r="GM31" s="1638" t="e">
        <f>IF(ABS(GK31-GL31)&gt;='Job Info.'!$L$22,ABS(GK31-GL31),0)</f>
        <v>#VALUE!</v>
      </c>
      <c r="HA31" s="1270"/>
      <c r="HB31" s="1271"/>
      <c r="HC31" s="1271"/>
      <c r="HD31" s="1272"/>
      <c r="HE31" s="1273"/>
      <c r="HF31" s="1271"/>
      <c r="HG31" s="1271"/>
      <c r="HH31" s="1271"/>
      <c r="HI31" s="1274"/>
      <c r="HJ31" s="1271"/>
      <c r="HK31" s="1271"/>
      <c r="HL31" s="1271"/>
      <c r="HM31" s="1271"/>
      <c r="HN31" s="1271"/>
      <c r="HO31" s="1271"/>
      <c r="HP31" s="1271"/>
      <c r="HQ31" s="1274"/>
      <c r="HR31" s="1271"/>
      <c r="HS31" s="1271"/>
      <c r="HT31" s="1271"/>
      <c r="HU31" s="1271"/>
      <c r="HV31" s="1271"/>
      <c r="HW31" s="1273"/>
      <c r="HX31" s="1273"/>
      <c r="HY31" s="1273"/>
      <c r="HZ31" s="1273"/>
      <c r="IA31" s="1273"/>
      <c r="IB31" s="1273"/>
      <c r="IC31" s="1273"/>
      <c r="ID31" s="1273"/>
      <c r="IE31" s="1273"/>
      <c r="IF31" s="1275"/>
    </row>
    <row r="32" spans="1:240" ht="12.6" customHeight="1" x14ac:dyDescent="0.25">
      <c r="A32" s="1215" t="str">
        <f t="shared" si="1"/>
        <v/>
      </c>
      <c r="B32" s="1709" t="str">
        <f t="shared" si="2"/>
        <v/>
      </c>
      <c r="C32" s="1216" t="str">
        <f t="shared" si="3"/>
        <v/>
      </c>
      <c r="D32" s="1217" t="str">
        <f t="shared" si="4"/>
        <v/>
      </c>
      <c r="E32" s="1218" t="str">
        <f t="shared" si="5"/>
        <v/>
      </c>
      <c r="F32" s="1226" t="str">
        <f t="shared" si="6"/>
        <v/>
      </c>
      <c r="G32" s="1221" t="str">
        <f t="shared" si="7"/>
        <v/>
      </c>
      <c r="H32" s="1768" t="str">
        <f t="shared" si="8"/>
        <v/>
      </c>
      <c r="I32" s="1217" t="str">
        <f t="shared" si="9"/>
        <v/>
      </c>
      <c r="J32" s="1221" t="str">
        <f t="shared" si="10"/>
        <v/>
      </c>
      <c r="K32" s="1780" t="str">
        <f t="shared" si="11"/>
        <v/>
      </c>
      <c r="L32" s="1224" t="str">
        <f t="shared" si="12"/>
        <v/>
      </c>
      <c r="M32" s="1225" t="str">
        <f t="shared" si="13"/>
        <v/>
      </c>
      <c r="N32" s="1220" t="str">
        <f t="shared" si="14"/>
        <v/>
      </c>
      <c r="O32" s="1221" t="str">
        <f t="shared" si="15"/>
        <v/>
      </c>
      <c r="P32" s="1222" t="str">
        <f t="shared" si="16"/>
        <v/>
      </c>
      <c r="Q32" s="1217" t="str">
        <f t="shared" si="17"/>
        <v/>
      </c>
      <c r="R32" s="1221" t="str">
        <f t="shared" si="18"/>
        <v/>
      </c>
      <c r="S32" s="1223" t="str">
        <f t="shared" si="19"/>
        <v/>
      </c>
      <c r="T32" s="1226" t="str">
        <f t="shared" si="20"/>
        <v/>
      </c>
      <c r="U32" s="1221" t="str">
        <f t="shared" si="21"/>
        <v/>
      </c>
      <c r="V32" s="1217" t="str">
        <f t="shared" si="22"/>
        <v/>
      </c>
      <c r="W32" s="1221" t="str">
        <f t="shared" si="23"/>
        <v/>
      </c>
      <c r="X32" s="1225">
        <f t="shared" si="24"/>
        <v>0</v>
      </c>
      <c r="Y32" s="1770" t="str">
        <f t="shared" si="25"/>
        <v/>
      </c>
      <c r="Z32" s="1771" t="str">
        <f t="shared" si="26"/>
        <v/>
      </c>
      <c r="AA32" s="1772" t="str">
        <f t="shared" si="27"/>
        <v/>
      </c>
      <c r="AB32" s="1414"/>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5"/>
      <c r="BD32" s="733"/>
      <c r="BE32" s="734"/>
      <c r="BF32" s="735"/>
      <c r="BG32" s="672"/>
      <c r="BH32" s="982"/>
      <c r="BI32" s="983"/>
      <c r="BJ32" s="1626"/>
      <c r="BK32" s="713"/>
      <c r="BL32" s="714"/>
      <c r="BM32" s="715"/>
      <c r="BN32" s="716"/>
      <c r="BO32" s="672" t="str">
        <f>IF(ISERROR(CU32),"",IF(CU32="","",IF(VLOOKUP(BG32,SectInfo!$B:$N,10,FALSE)="","","X")))</f>
        <v/>
      </c>
      <c r="BP32" s="738"/>
      <c r="BQ32" s="1552" t="str">
        <f t="shared" si="48"/>
        <v/>
      </c>
      <c r="BR32" s="910"/>
      <c r="BS32" s="672"/>
      <c r="BT32" s="713"/>
      <c r="BU32" s="714"/>
      <c r="BV32" s="1626"/>
      <c r="BW32" s="713"/>
      <c r="BX32" s="714"/>
      <c r="BY32" s="715"/>
      <c r="BZ32" s="716"/>
      <c r="CA32" s="680" t="str">
        <f>IF(ISERROR(DE32),"",IF(DE32="","",IF(VLOOKUP(BS32,SectInfo!$B:$N,10,FALSE)="","","X")))</f>
        <v/>
      </c>
      <c r="CB32" s="738"/>
      <c r="CC32" s="1552"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4" t="str">
        <f t="shared" si="80"/>
        <v/>
      </c>
      <c r="EF32" s="1294" t="str">
        <f t="shared" si="81"/>
        <v/>
      </c>
      <c r="EG32" s="1294" t="str">
        <f t="shared" si="82"/>
        <v/>
      </c>
      <c r="EH32" s="856" t="e">
        <f t="shared" si="83"/>
        <v>#N/A</v>
      </c>
      <c r="EI32" s="856" t="e">
        <f t="shared" si="84"/>
        <v>#N/A</v>
      </c>
      <c r="EJ32" s="822" t="str">
        <f t="shared" si="85"/>
        <v/>
      </c>
      <c r="EK32" s="822" t="str">
        <f t="shared" si="85"/>
        <v/>
      </c>
      <c r="EL32" s="1294" t="str">
        <f t="shared" si="86"/>
        <v/>
      </c>
      <c r="EM32" s="822" t="str">
        <f t="shared" si="87"/>
        <v/>
      </c>
      <c r="EN32" s="822" t="str">
        <f t="shared" si="88"/>
        <v/>
      </c>
      <c r="EO32" s="856" t="e">
        <f t="shared" si="89"/>
        <v>#N/A</v>
      </c>
      <c r="EP32" s="856" t="e">
        <f t="shared" si="90"/>
        <v>#N/A</v>
      </c>
      <c r="EQ32" s="1294"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599" t="str">
        <f t="shared" si="115"/>
        <v/>
      </c>
      <c r="GB32" s="619" t="str">
        <f t="shared" si="116"/>
        <v/>
      </c>
      <c r="GC32" s="621" t="str">
        <f t="shared" si="117"/>
        <v/>
      </c>
      <c r="GD32" s="622" t="str">
        <f t="shared" si="118"/>
        <v/>
      </c>
      <c r="GE32" s="620" t="str">
        <f t="shared" si="119"/>
        <v/>
      </c>
      <c r="GF32" s="600" t="str">
        <f t="shared" si="120"/>
        <v/>
      </c>
      <c r="GG32" s="1131"/>
      <c r="GH32" s="1132"/>
      <c r="GI32" s="1131"/>
      <c r="GJ32" s="1132"/>
      <c r="GK32" s="1639">
        <f t="shared" si="121"/>
        <v>0</v>
      </c>
      <c r="GL32" s="1637" t="e">
        <f t="shared" si="122"/>
        <v>#VALUE!</v>
      </c>
      <c r="GM32" s="1638" t="e">
        <f>IF(ABS(GK32-GL32)&gt;='Job Info.'!$L$22,ABS(GK32-GL32),0)</f>
        <v>#VALUE!</v>
      </c>
      <c r="HA32" s="1270"/>
      <c r="HB32" s="1271"/>
      <c r="HC32" s="1271"/>
      <c r="HD32" s="1272"/>
      <c r="HE32" s="1273"/>
      <c r="HF32" s="1271"/>
      <c r="HG32" s="1271"/>
      <c r="HH32" s="1271"/>
      <c r="HI32" s="1274"/>
      <c r="HJ32" s="1271"/>
      <c r="HK32" s="1271"/>
      <c r="HL32" s="1271"/>
      <c r="HM32" s="1271"/>
      <c r="HN32" s="1271"/>
      <c r="HO32" s="1271"/>
      <c r="HP32" s="1271"/>
      <c r="HQ32" s="1274"/>
      <c r="HR32" s="1271"/>
      <c r="HS32" s="1271"/>
      <c r="HT32" s="1271"/>
      <c r="HU32" s="1271"/>
      <c r="HV32" s="1271"/>
      <c r="HW32" s="1273"/>
      <c r="HX32" s="1273"/>
      <c r="HY32" s="1273"/>
      <c r="HZ32" s="1273"/>
      <c r="IA32" s="1273"/>
      <c r="IB32" s="1273"/>
      <c r="IC32" s="1273"/>
      <c r="ID32" s="1273"/>
      <c r="IE32" s="1273"/>
      <c r="IF32" s="1275"/>
    </row>
    <row r="33" spans="1:240" ht="12.6" customHeight="1" x14ac:dyDescent="0.25">
      <c r="A33" s="1215" t="str">
        <f t="shared" si="1"/>
        <v/>
      </c>
      <c r="B33" s="1709" t="str">
        <f t="shared" si="2"/>
        <v/>
      </c>
      <c r="C33" s="1216" t="str">
        <f t="shared" si="3"/>
        <v/>
      </c>
      <c r="D33" s="1217" t="str">
        <f t="shared" si="4"/>
        <v/>
      </c>
      <c r="E33" s="1218" t="str">
        <f t="shared" si="5"/>
        <v/>
      </c>
      <c r="F33" s="1226" t="str">
        <f t="shared" si="6"/>
        <v/>
      </c>
      <c r="G33" s="1221" t="str">
        <f t="shared" si="7"/>
        <v/>
      </c>
      <c r="H33" s="1768" t="str">
        <f t="shared" si="8"/>
        <v/>
      </c>
      <c r="I33" s="1217" t="str">
        <f t="shared" si="9"/>
        <v/>
      </c>
      <c r="J33" s="1221" t="str">
        <f t="shared" si="10"/>
        <v/>
      </c>
      <c r="K33" s="1780" t="str">
        <f t="shared" si="11"/>
        <v/>
      </c>
      <c r="L33" s="1224" t="str">
        <f t="shared" si="12"/>
        <v/>
      </c>
      <c r="M33" s="1225" t="str">
        <f t="shared" si="13"/>
        <v/>
      </c>
      <c r="N33" s="1220" t="str">
        <f t="shared" si="14"/>
        <v/>
      </c>
      <c r="O33" s="1221" t="str">
        <f t="shared" si="15"/>
        <v/>
      </c>
      <c r="P33" s="1222" t="str">
        <f t="shared" si="16"/>
        <v/>
      </c>
      <c r="Q33" s="1217" t="str">
        <f t="shared" si="17"/>
        <v/>
      </c>
      <c r="R33" s="1221" t="str">
        <f t="shared" si="18"/>
        <v/>
      </c>
      <c r="S33" s="1223" t="str">
        <f t="shared" si="19"/>
        <v/>
      </c>
      <c r="T33" s="1226" t="str">
        <f t="shared" si="20"/>
        <v/>
      </c>
      <c r="U33" s="1221" t="str">
        <f t="shared" si="21"/>
        <v/>
      </c>
      <c r="V33" s="1217" t="str">
        <f t="shared" si="22"/>
        <v/>
      </c>
      <c r="W33" s="1221" t="str">
        <f t="shared" si="23"/>
        <v/>
      </c>
      <c r="X33" s="1225">
        <f t="shared" si="24"/>
        <v>0</v>
      </c>
      <c r="Y33" s="1770" t="str">
        <f t="shared" si="25"/>
        <v/>
      </c>
      <c r="Z33" s="1771" t="str">
        <f t="shared" si="26"/>
        <v/>
      </c>
      <c r="AA33" s="1772" t="str">
        <f t="shared" si="27"/>
        <v/>
      </c>
      <c r="AB33" s="1414"/>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5"/>
      <c r="BD33" s="733"/>
      <c r="BE33" s="734"/>
      <c r="BF33" s="735"/>
      <c r="BG33" s="672"/>
      <c r="BH33" s="982"/>
      <c r="BI33" s="983"/>
      <c r="BJ33" s="1626"/>
      <c r="BK33" s="713"/>
      <c r="BL33" s="714"/>
      <c r="BM33" s="715"/>
      <c r="BN33" s="716"/>
      <c r="BO33" s="672" t="str">
        <f>IF(ISERROR(CU33),"",IF(CU33="","",IF(VLOOKUP(BG33,SectInfo!$B:$N,10,FALSE)="","","X")))</f>
        <v/>
      </c>
      <c r="BP33" s="738"/>
      <c r="BQ33" s="1552" t="str">
        <f t="shared" si="48"/>
        <v/>
      </c>
      <c r="BR33" s="910"/>
      <c r="BS33" s="672"/>
      <c r="BT33" s="713"/>
      <c r="BU33" s="714"/>
      <c r="BV33" s="1626"/>
      <c r="BW33" s="713"/>
      <c r="BX33" s="714"/>
      <c r="BY33" s="715"/>
      <c r="BZ33" s="716"/>
      <c r="CA33" s="680" t="str">
        <f>IF(ISERROR(DE33),"",IF(DE33="","",IF(VLOOKUP(BS33,SectInfo!$B:$N,10,FALSE)="","","X")))</f>
        <v/>
      </c>
      <c r="CB33" s="738"/>
      <c r="CC33" s="1552"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4" t="str">
        <f t="shared" si="80"/>
        <v/>
      </c>
      <c r="EF33" s="1294" t="str">
        <f t="shared" si="81"/>
        <v/>
      </c>
      <c r="EG33" s="1294" t="str">
        <f t="shared" si="82"/>
        <v/>
      </c>
      <c r="EH33" s="856" t="e">
        <f t="shared" si="83"/>
        <v>#N/A</v>
      </c>
      <c r="EI33" s="856" t="e">
        <f t="shared" si="84"/>
        <v>#N/A</v>
      </c>
      <c r="EJ33" s="822" t="str">
        <f t="shared" si="85"/>
        <v/>
      </c>
      <c r="EK33" s="822" t="str">
        <f t="shared" si="85"/>
        <v/>
      </c>
      <c r="EL33" s="1294" t="str">
        <f t="shared" si="86"/>
        <v/>
      </c>
      <c r="EM33" s="822" t="str">
        <f t="shared" si="87"/>
        <v/>
      </c>
      <c r="EN33" s="822" t="str">
        <f t="shared" si="88"/>
        <v/>
      </c>
      <c r="EO33" s="856" t="e">
        <f t="shared" si="89"/>
        <v>#N/A</v>
      </c>
      <c r="EP33" s="856" t="e">
        <f t="shared" si="90"/>
        <v>#N/A</v>
      </c>
      <c r="EQ33" s="1294"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599" t="str">
        <f t="shared" si="115"/>
        <v/>
      </c>
      <c r="GB33" s="619" t="str">
        <f t="shared" si="116"/>
        <v/>
      </c>
      <c r="GC33" s="621" t="str">
        <f t="shared" si="117"/>
        <v/>
      </c>
      <c r="GD33" s="622" t="str">
        <f t="shared" si="118"/>
        <v/>
      </c>
      <c r="GE33" s="620" t="str">
        <f t="shared" si="119"/>
        <v/>
      </c>
      <c r="GF33" s="600" t="str">
        <f t="shared" si="120"/>
        <v/>
      </c>
      <c r="GG33" s="1131"/>
      <c r="GH33" s="1132"/>
      <c r="GI33" s="1131"/>
      <c r="GJ33" s="1132"/>
      <c r="GK33" s="1639">
        <f t="shared" si="121"/>
        <v>0</v>
      </c>
      <c r="GL33" s="1637" t="e">
        <f t="shared" si="122"/>
        <v>#VALUE!</v>
      </c>
      <c r="GM33" s="1638" t="e">
        <f>IF(ABS(GK33-GL33)&gt;='Job Info.'!$L$22,ABS(GK33-GL33),0)</f>
        <v>#VALUE!</v>
      </c>
      <c r="HA33" s="1270"/>
      <c r="HB33" s="1271"/>
      <c r="HC33" s="1271"/>
      <c r="HD33" s="1272"/>
      <c r="HE33" s="1273"/>
      <c r="HF33" s="1271"/>
      <c r="HG33" s="1271"/>
      <c r="HH33" s="1271"/>
      <c r="HI33" s="1274"/>
      <c r="HJ33" s="1271"/>
      <c r="HK33" s="1271"/>
      <c r="HL33" s="1271"/>
      <c r="HM33" s="1271"/>
      <c r="HN33" s="1271"/>
      <c r="HO33" s="1271"/>
      <c r="HP33" s="1271"/>
      <c r="HQ33" s="1274"/>
      <c r="HR33" s="1271"/>
      <c r="HS33" s="1271"/>
      <c r="HT33" s="1271"/>
      <c r="HU33" s="1271"/>
      <c r="HV33" s="1271"/>
      <c r="HW33" s="1273"/>
      <c r="HX33" s="1273"/>
      <c r="HY33" s="1273"/>
      <c r="HZ33" s="1273"/>
      <c r="IA33" s="1273"/>
      <c r="IB33" s="1273"/>
      <c r="IC33" s="1273"/>
      <c r="ID33" s="1273"/>
      <c r="IE33" s="1273"/>
      <c r="IF33" s="1275"/>
    </row>
    <row r="34" spans="1:240" ht="12.6" customHeight="1" x14ac:dyDescent="0.25">
      <c r="A34" s="1215" t="str">
        <f t="shared" si="1"/>
        <v/>
      </c>
      <c r="B34" s="1709" t="str">
        <f t="shared" si="2"/>
        <v/>
      </c>
      <c r="C34" s="1216" t="str">
        <f t="shared" si="3"/>
        <v/>
      </c>
      <c r="D34" s="1217" t="str">
        <f t="shared" si="4"/>
        <v/>
      </c>
      <c r="E34" s="1218" t="str">
        <f t="shared" si="5"/>
        <v/>
      </c>
      <c r="F34" s="1226" t="str">
        <f t="shared" si="6"/>
        <v/>
      </c>
      <c r="G34" s="1221" t="str">
        <f t="shared" si="7"/>
        <v/>
      </c>
      <c r="H34" s="1768" t="str">
        <f t="shared" si="8"/>
        <v/>
      </c>
      <c r="I34" s="1217" t="str">
        <f t="shared" si="9"/>
        <v/>
      </c>
      <c r="J34" s="1221" t="str">
        <f t="shared" si="10"/>
        <v/>
      </c>
      <c r="K34" s="1780" t="str">
        <f t="shared" si="11"/>
        <v/>
      </c>
      <c r="L34" s="1224" t="str">
        <f t="shared" si="12"/>
        <v/>
      </c>
      <c r="M34" s="1225" t="str">
        <f t="shared" si="13"/>
        <v/>
      </c>
      <c r="N34" s="1220" t="str">
        <f t="shared" si="14"/>
        <v/>
      </c>
      <c r="O34" s="1221" t="str">
        <f t="shared" si="15"/>
        <v/>
      </c>
      <c r="P34" s="1222" t="str">
        <f t="shared" si="16"/>
        <v/>
      </c>
      <c r="Q34" s="1217" t="str">
        <f t="shared" si="17"/>
        <v/>
      </c>
      <c r="R34" s="1221" t="str">
        <f t="shared" si="18"/>
        <v/>
      </c>
      <c r="S34" s="1223" t="str">
        <f t="shared" si="19"/>
        <v/>
      </c>
      <c r="T34" s="1226" t="str">
        <f t="shared" si="20"/>
        <v/>
      </c>
      <c r="U34" s="1221" t="str">
        <f t="shared" si="21"/>
        <v/>
      </c>
      <c r="V34" s="1217" t="str">
        <f t="shared" si="22"/>
        <v/>
      </c>
      <c r="W34" s="1221" t="str">
        <f t="shared" si="23"/>
        <v/>
      </c>
      <c r="X34" s="1225">
        <f t="shared" si="24"/>
        <v>0</v>
      </c>
      <c r="Y34" s="1770" t="str">
        <f t="shared" si="25"/>
        <v/>
      </c>
      <c r="Z34" s="1771" t="str">
        <f t="shared" si="26"/>
        <v/>
      </c>
      <c r="AA34" s="1772" t="str">
        <f t="shared" si="27"/>
        <v/>
      </c>
      <c r="AB34" s="1414"/>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5"/>
      <c r="BD34" s="733"/>
      <c r="BE34" s="734"/>
      <c r="BF34" s="735"/>
      <c r="BG34" s="672"/>
      <c r="BH34" s="982"/>
      <c r="BI34" s="983"/>
      <c r="BJ34" s="1626"/>
      <c r="BK34" s="713"/>
      <c r="BL34" s="714"/>
      <c r="BM34" s="715"/>
      <c r="BN34" s="716"/>
      <c r="BO34" s="672" t="str">
        <f>IF(ISERROR(CU34),"",IF(CU34="","",IF(VLOOKUP(BG34,SectInfo!$B:$N,10,FALSE)="","","X")))</f>
        <v/>
      </c>
      <c r="BP34" s="738"/>
      <c r="BQ34" s="1552" t="str">
        <f t="shared" si="48"/>
        <v/>
      </c>
      <c r="BR34" s="910"/>
      <c r="BS34" s="672"/>
      <c r="BT34" s="713"/>
      <c r="BU34" s="714"/>
      <c r="BV34" s="1626"/>
      <c r="BW34" s="713"/>
      <c r="BX34" s="714"/>
      <c r="BY34" s="715"/>
      <c r="BZ34" s="716"/>
      <c r="CA34" s="680" t="str">
        <f>IF(ISERROR(DE34),"",IF(DE34="","",IF(VLOOKUP(BS34,SectInfo!$B:$N,10,FALSE)="","","X")))</f>
        <v/>
      </c>
      <c r="CB34" s="738"/>
      <c r="CC34" s="1552"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4" t="str">
        <f t="shared" si="80"/>
        <v/>
      </c>
      <c r="EF34" s="1294" t="str">
        <f t="shared" si="81"/>
        <v/>
      </c>
      <c r="EG34" s="1294" t="str">
        <f t="shared" si="82"/>
        <v/>
      </c>
      <c r="EH34" s="856" t="e">
        <f t="shared" si="83"/>
        <v>#N/A</v>
      </c>
      <c r="EI34" s="856" t="e">
        <f t="shared" si="84"/>
        <v>#N/A</v>
      </c>
      <c r="EJ34" s="822" t="str">
        <f t="shared" si="85"/>
        <v/>
      </c>
      <c r="EK34" s="822" t="str">
        <f t="shared" si="85"/>
        <v/>
      </c>
      <c r="EL34" s="1294" t="str">
        <f t="shared" si="86"/>
        <v/>
      </c>
      <c r="EM34" s="822" t="str">
        <f t="shared" si="87"/>
        <v/>
      </c>
      <c r="EN34" s="822" t="str">
        <f t="shared" si="88"/>
        <v/>
      </c>
      <c r="EO34" s="856" t="e">
        <f t="shared" si="89"/>
        <v>#N/A</v>
      </c>
      <c r="EP34" s="856" t="e">
        <f t="shared" si="90"/>
        <v>#N/A</v>
      </c>
      <c r="EQ34" s="1294"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599" t="str">
        <f t="shared" si="115"/>
        <v/>
      </c>
      <c r="GB34" s="619" t="str">
        <f t="shared" si="116"/>
        <v/>
      </c>
      <c r="GC34" s="621" t="str">
        <f t="shared" si="117"/>
        <v/>
      </c>
      <c r="GD34" s="622" t="str">
        <f t="shared" si="118"/>
        <v/>
      </c>
      <c r="GE34" s="620" t="str">
        <f t="shared" si="119"/>
        <v/>
      </c>
      <c r="GF34" s="600" t="str">
        <f t="shared" si="120"/>
        <v/>
      </c>
      <c r="GG34" s="1131"/>
      <c r="GH34" s="1132"/>
      <c r="GI34" s="1131"/>
      <c r="GJ34" s="1132"/>
      <c r="GK34" s="1639">
        <f t="shared" si="121"/>
        <v>0</v>
      </c>
      <c r="GL34" s="1637" t="e">
        <f t="shared" si="122"/>
        <v>#VALUE!</v>
      </c>
      <c r="GM34" s="1638" t="e">
        <f>IF(ABS(GK34-GL34)&gt;='Job Info.'!$L$22,ABS(GK34-GL34),0)</f>
        <v>#VALUE!</v>
      </c>
      <c r="HA34" s="1270"/>
      <c r="HB34" s="1271"/>
      <c r="HC34" s="1271"/>
      <c r="HD34" s="1272"/>
      <c r="HE34" s="1273"/>
      <c r="HF34" s="1271"/>
      <c r="HG34" s="1271"/>
      <c r="HH34" s="1271"/>
      <c r="HI34" s="1274"/>
      <c r="HJ34" s="1271"/>
      <c r="HK34" s="1271"/>
      <c r="HL34" s="1271"/>
      <c r="HM34" s="1271"/>
      <c r="HN34" s="1271"/>
      <c r="HO34" s="1271"/>
      <c r="HP34" s="1271"/>
      <c r="HQ34" s="1274"/>
      <c r="HR34" s="1271"/>
      <c r="HS34" s="1271"/>
      <c r="HT34" s="1271"/>
      <c r="HU34" s="1271"/>
      <c r="HV34" s="1271"/>
      <c r="HW34" s="1273"/>
      <c r="HX34" s="1273"/>
      <c r="HY34" s="1273"/>
      <c r="HZ34" s="1273"/>
      <c r="IA34" s="1273"/>
      <c r="IB34" s="1273"/>
      <c r="IC34" s="1273"/>
      <c r="ID34" s="1273"/>
      <c r="IE34" s="1273"/>
      <c r="IF34" s="1275"/>
    </row>
    <row r="35" spans="1:240" ht="12.6" customHeight="1" x14ac:dyDescent="0.25">
      <c r="A35" s="1215" t="str">
        <f t="shared" si="1"/>
        <v/>
      </c>
      <c r="B35" s="1709" t="str">
        <f t="shared" si="2"/>
        <v/>
      </c>
      <c r="C35" s="1216" t="str">
        <f t="shared" si="3"/>
        <v/>
      </c>
      <c r="D35" s="1217" t="str">
        <f t="shared" si="4"/>
        <v/>
      </c>
      <c r="E35" s="1218" t="str">
        <f t="shared" si="5"/>
        <v/>
      </c>
      <c r="F35" s="1226" t="str">
        <f t="shared" si="6"/>
        <v/>
      </c>
      <c r="G35" s="1221" t="str">
        <f t="shared" si="7"/>
        <v/>
      </c>
      <c r="H35" s="1768" t="str">
        <f t="shared" si="8"/>
        <v/>
      </c>
      <c r="I35" s="1217" t="str">
        <f t="shared" si="9"/>
        <v/>
      </c>
      <c r="J35" s="1221" t="str">
        <f t="shared" si="10"/>
        <v/>
      </c>
      <c r="K35" s="1780" t="str">
        <f t="shared" si="11"/>
        <v/>
      </c>
      <c r="L35" s="1224" t="str">
        <f t="shared" si="12"/>
        <v/>
      </c>
      <c r="M35" s="1225" t="str">
        <f t="shared" si="13"/>
        <v/>
      </c>
      <c r="N35" s="1220" t="str">
        <f t="shared" si="14"/>
        <v/>
      </c>
      <c r="O35" s="1221" t="str">
        <f t="shared" si="15"/>
        <v/>
      </c>
      <c r="P35" s="1222" t="str">
        <f t="shared" si="16"/>
        <v/>
      </c>
      <c r="Q35" s="1217" t="str">
        <f t="shared" si="17"/>
        <v/>
      </c>
      <c r="R35" s="1221" t="str">
        <f t="shared" si="18"/>
        <v/>
      </c>
      <c r="S35" s="1223" t="str">
        <f t="shared" si="19"/>
        <v/>
      </c>
      <c r="T35" s="1226" t="str">
        <f t="shared" si="20"/>
        <v/>
      </c>
      <c r="U35" s="1221" t="str">
        <f t="shared" si="21"/>
        <v/>
      </c>
      <c r="V35" s="1217" t="str">
        <f t="shared" si="22"/>
        <v/>
      </c>
      <c r="W35" s="1221" t="str">
        <f t="shared" si="23"/>
        <v/>
      </c>
      <c r="X35" s="1225">
        <f t="shared" si="24"/>
        <v>0</v>
      </c>
      <c r="Y35" s="1770" t="str">
        <f t="shared" si="25"/>
        <v/>
      </c>
      <c r="Z35" s="1771" t="str">
        <f t="shared" si="26"/>
        <v/>
      </c>
      <c r="AA35" s="1772" t="str">
        <f t="shared" si="27"/>
        <v/>
      </c>
      <c r="AB35" s="1414"/>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5"/>
      <c r="BD35" s="733"/>
      <c r="BE35" s="734"/>
      <c r="BF35" s="735"/>
      <c r="BG35" s="672"/>
      <c r="BH35" s="982"/>
      <c r="BI35" s="983"/>
      <c r="BJ35" s="1626"/>
      <c r="BK35" s="713"/>
      <c r="BL35" s="714"/>
      <c r="BM35" s="715"/>
      <c r="BN35" s="716"/>
      <c r="BO35" s="672" t="str">
        <f>IF(ISERROR(CU35),"",IF(CU35="","",IF(VLOOKUP(BG35,SectInfo!$B:$N,10,FALSE)="","","X")))</f>
        <v/>
      </c>
      <c r="BP35" s="738"/>
      <c r="BQ35" s="1552" t="str">
        <f t="shared" si="48"/>
        <v/>
      </c>
      <c r="BR35" s="910"/>
      <c r="BS35" s="672"/>
      <c r="BT35" s="713"/>
      <c r="BU35" s="714"/>
      <c r="BV35" s="1626"/>
      <c r="BW35" s="713"/>
      <c r="BX35" s="714"/>
      <c r="BY35" s="715"/>
      <c r="BZ35" s="716"/>
      <c r="CA35" s="680" t="str">
        <f>IF(ISERROR(DE35),"",IF(DE35="","",IF(VLOOKUP(BS35,SectInfo!$B:$N,10,FALSE)="","","X")))</f>
        <v/>
      </c>
      <c r="CB35" s="738"/>
      <c r="CC35" s="1552"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4" t="str">
        <f t="shared" si="80"/>
        <v/>
      </c>
      <c r="EF35" s="1294" t="str">
        <f t="shared" si="81"/>
        <v/>
      </c>
      <c r="EG35" s="1294" t="str">
        <f t="shared" si="82"/>
        <v/>
      </c>
      <c r="EH35" s="856" t="e">
        <f t="shared" si="83"/>
        <v>#N/A</v>
      </c>
      <c r="EI35" s="856" t="e">
        <f t="shared" si="84"/>
        <v>#N/A</v>
      </c>
      <c r="EJ35" s="822" t="str">
        <f t="shared" si="85"/>
        <v/>
      </c>
      <c r="EK35" s="822" t="str">
        <f t="shared" si="85"/>
        <v/>
      </c>
      <c r="EL35" s="1294" t="str">
        <f t="shared" si="86"/>
        <v/>
      </c>
      <c r="EM35" s="822" t="str">
        <f t="shared" si="87"/>
        <v/>
      </c>
      <c r="EN35" s="822" t="str">
        <f t="shared" si="88"/>
        <v/>
      </c>
      <c r="EO35" s="856" t="e">
        <f t="shared" si="89"/>
        <v>#N/A</v>
      </c>
      <c r="EP35" s="856" t="e">
        <f t="shared" si="90"/>
        <v>#N/A</v>
      </c>
      <c r="EQ35" s="1294"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599" t="str">
        <f t="shared" si="115"/>
        <v/>
      </c>
      <c r="GB35" s="619" t="str">
        <f t="shared" si="116"/>
        <v/>
      </c>
      <c r="GC35" s="621" t="str">
        <f t="shared" si="117"/>
        <v/>
      </c>
      <c r="GD35" s="622" t="str">
        <f t="shared" si="118"/>
        <v/>
      </c>
      <c r="GE35" s="620" t="str">
        <f t="shared" si="119"/>
        <v/>
      </c>
      <c r="GF35" s="600" t="str">
        <f t="shared" si="120"/>
        <v/>
      </c>
      <c r="GG35" s="1131"/>
      <c r="GH35" s="1132"/>
      <c r="GI35" s="1131"/>
      <c r="GJ35" s="1132"/>
      <c r="GK35" s="1639">
        <f t="shared" si="121"/>
        <v>0</v>
      </c>
      <c r="GL35" s="1637" t="e">
        <f t="shared" si="122"/>
        <v>#VALUE!</v>
      </c>
      <c r="GM35" s="1638" t="e">
        <f>IF(ABS(GK35-GL35)&gt;='Job Info.'!$L$22,ABS(GK35-GL35),0)</f>
        <v>#VALUE!</v>
      </c>
      <c r="HA35" s="1270"/>
      <c r="HB35" s="1271"/>
      <c r="HC35" s="1271"/>
      <c r="HD35" s="1272"/>
      <c r="HE35" s="1273"/>
      <c r="HF35" s="1271"/>
      <c r="HG35" s="1271"/>
      <c r="HH35" s="1271"/>
      <c r="HI35" s="1274"/>
      <c r="HJ35" s="1271"/>
      <c r="HK35" s="1271"/>
      <c r="HL35" s="1271"/>
      <c r="HM35" s="1271"/>
      <c r="HN35" s="1271"/>
      <c r="HO35" s="1271"/>
      <c r="HP35" s="1271"/>
      <c r="HQ35" s="1274"/>
      <c r="HR35" s="1271"/>
      <c r="HS35" s="1271"/>
      <c r="HT35" s="1271"/>
      <c r="HU35" s="1271"/>
      <c r="HV35" s="1271"/>
      <c r="HW35" s="1273"/>
      <c r="HX35" s="1273"/>
      <c r="HY35" s="1273"/>
      <c r="HZ35" s="1273"/>
      <c r="IA35" s="1273"/>
      <c r="IB35" s="1273"/>
      <c r="IC35" s="1273"/>
      <c r="ID35" s="1273"/>
      <c r="IE35" s="1273"/>
      <c r="IF35" s="1275"/>
    </row>
    <row r="36" spans="1:240" ht="12.6" customHeight="1" x14ac:dyDescent="0.25">
      <c r="A36" s="1215" t="str">
        <f t="shared" si="1"/>
        <v/>
      </c>
      <c r="B36" s="1709" t="str">
        <f t="shared" si="2"/>
        <v/>
      </c>
      <c r="C36" s="1216" t="str">
        <f t="shared" si="3"/>
        <v/>
      </c>
      <c r="D36" s="1217" t="str">
        <f t="shared" si="4"/>
        <v/>
      </c>
      <c r="E36" s="1218" t="str">
        <f t="shared" si="5"/>
        <v/>
      </c>
      <c r="F36" s="1226" t="str">
        <f t="shared" si="6"/>
        <v/>
      </c>
      <c r="G36" s="1221" t="str">
        <f t="shared" si="7"/>
        <v/>
      </c>
      <c r="H36" s="1768" t="str">
        <f t="shared" si="8"/>
        <v/>
      </c>
      <c r="I36" s="1217" t="str">
        <f t="shared" si="9"/>
        <v/>
      </c>
      <c r="J36" s="1221" t="str">
        <f t="shared" si="10"/>
        <v/>
      </c>
      <c r="K36" s="1780" t="str">
        <f t="shared" si="11"/>
        <v/>
      </c>
      <c r="L36" s="1224" t="str">
        <f t="shared" si="12"/>
        <v/>
      </c>
      <c r="M36" s="1225" t="str">
        <f t="shared" si="13"/>
        <v/>
      </c>
      <c r="N36" s="1220" t="str">
        <f t="shared" si="14"/>
        <v/>
      </c>
      <c r="O36" s="1221" t="str">
        <f t="shared" si="15"/>
        <v/>
      </c>
      <c r="P36" s="1222" t="str">
        <f t="shared" si="16"/>
        <v/>
      </c>
      <c r="Q36" s="1217" t="str">
        <f t="shared" si="17"/>
        <v/>
      </c>
      <c r="R36" s="1221" t="str">
        <f t="shared" si="18"/>
        <v/>
      </c>
      <c r="S36" s="1223" t="str">
        <f t="shared" si="19"/>
        <v/>
      </c>
      <c r="T36" s="1226" t="str">
        <f t="shared" si="20"/>
        <v/>
      </c>
      <c r="U36" s="1221" t="str">
        <f t="shared" si="21"/>
        <v/>
      </c>
      <c r="V36" s="1217" t="str">
        <f t="shared" si="22"/>
        <v/>
      </c>
      <c r="W36" s="1221" t="str">
        <f t="shared" si="23"/>
        <v/>
      </c>
      <c r="X36" s="1225">
        <f t="shared" si="24"/>
        <v>0</v>
      </c>
      <c r="Y36" s="1770" t="str">
        <f t="shared" si="25"/>
        <v/>
      </c>
      <c r="Z36" s="1771" t="str">
        <f t="shared" si="26"/>
        <v/>
      </c>
      <c r="AA36" s="1772" t="str">
        <f t="shared" si="27"/>
        <v/>
      </c>
      <c r="AB36" s="1414"/>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5"/>
      <c r="BD36" s="733"/>
      <c r="BE36" s="734"/>
      <c r="BF36" s="735"/>
      <c r="BG36" s="672"/>
      <c r="BH36" s="982"/>
      <c r="BI36" s="983"/>
      <c r="BJ36" s="1626"/>
      <c r="BK36" s="713"/>
      <c r="BL36" s="714"/>
      <c r="BM36" s="715"/>
      <c r="BN36" s="716"/>
      <c r="BO36" s="672" t="str">
        <f>IF(ISERROR(CU36),"",IF(CU36="","",IF(VLOOKUP(BG36,SectInfo!$B:$N,10,FALSE)="","","X")))</f>
        <v/>
      </c>
      <c r="BP36" s="738"/>
      <c r="BQ36" s="1552" t="str">
        <f t="shared" si="48"/>
        <v/>
      </c>
      <c r="BR36" s="910"/>
      <c r="BS36" s="672"/>
      <c r="BT36" s="713"/>
      <c r="BU36" s="714"/>
      <c r="BV36" s="1626"/>
      <c r="BW36" s="713"/>
      <c r="BX36" s="714"/>
      <c r="BY36" s="715"/>
      <c r="BZ36" s="716"/>
      <c r="CA36" s="680" t="str">
        <f>IF(ISERROR(DE36),"",IF(DE36="","",IF(VLOOKUP(BS36,SectInfo!$B:$N,10,FALSE)="","","X")))</f>
        <v/>
      </c>
      <c r="CB36" s="738"/>
      <c r="CC36" s="1552"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4" t="str">
        <f t="shared" si="80"/>
        <v/>
      </c>
      <c r="EF36" s="1294" t="str">
        <f t="shared" si="81"/>
        <v/>
      </c>
      <c r="EG36" s="1294" t="str">
        <f t="shared" si="82"/>
        <v/>
      </c>
      <c r="EH36" s="856" t="e">
        <f t="shared" si="83"/>
        <v>#N/A</v>
      </c>
      <c r="EI36" s="856" t="e">
        <f t="shared" si="84"/>
        <v>#N/A</v>
      </c>
      <c r="EJ36" s="822" t="str">
        <f t="shared" si="85"/>
        <v/>
      </c>
      <c r="EK36" s="822" t="str">
        <f t="shared" si="85"/>
        <v/>
      </c>
      <c r="EL36" s="1294" t="str">
        <f t="shared" si="86"/>
        <v/>
      </c>
      <c r="EM36" s="822" t="str">
        <f t="shared" si="87"/>
        <v/>
      </c>
      <c r="EN36" s="822" t="str">
        <f t="shared" si="88"/>
        <v/>
      </c>
      <c r="EO36" s="856" t="e">
        <f t="shared" si="89"/>
        <v>#N/A</v>
      </c>
      <c r="EP36" s="856" t="e">
        <f t="shared" si="90"/>
        <v>#N/A</v>
      </c>
      <c r="EQ36" s="1294"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599" t="str">
        <f t="shared" si="115"/>
        <v/>
      </c>
      <c r="GB36" s="619" t="str">
        <f t="shared" si="116"/>
        <v/>
      </c>
      <c r="GC36" s="621" t="str">
        <f t="shared" si="117"/>
        <v/>
      </c>
      <c r="GD36" s="622" t="str">
        <f t="shared" si="118"/>
        <v/>
      </c>
      <c r="GE36" s="620" t="str">
        <f t="shared" si="119"/>
        <v/>
      </c>
      <c r="GF36" s="600" t="str">
        <f t="shared" si="120"/>
        <v/>
      </c>
      <c r="GG36" s="1131"/>
      <c r="GH36" s="1132"/>
      <c r="GI36" s="1131"/>
      <c r="GJ36" s="1132"/>
      <c r="GK36" s="1639">
        <f t="shared" si="121"/>
        <v>0</v>
      </c>
      <c r="GL36" s="1637" t="e">
        <f t="shared" si="122"/>
        <v>#VALUE!</v>
      </c>
      <c r="GM36" s="1638" t="e">
        <f>IF(ABS(GK36-GL36)&gt;='Job Info.'!$L$22,ABS(GK36-GL36),0)</f>
        <v>#VALUE!</v>
      </c>
      <c r="HA36" s="1270"/>
      <c r="HB36" s="1271"/>
      <c r="HC36" s="1271"/>
      <c r="HD36" s="1272"/>
      <c r="HE36" s="1273"/>
      <c r="HF36" s="1271"/>
      <c r="HG36" s="1271"/>
      <c r="HH36" s="1271"/>
      <c r="HI36" s="1274"/>
      <c r="HJ36" s="1271"/>
      <c r="HK36" s="1271"/>
      <c r="HL36" s="1271"/>
      <c r="HM36" s="1271"/>
      <c r="HN36" s="1271"/>
      <c r="HO36" s="1271"/>
      <c r="HP36" s="1271"/>
      <c r="HQ36" s="1274"/>
      <c r="HR36" s="1271"/>
      <c r="HS36" s="1271"/>
      <c r="HT36" s="1271"/>
      <c r="HU36" s="1271"/>
      <c r="HV36" s="1271"/>
      <c r="HW36" s="1273"/>
      <c r="HX36" s="1273"/>
      <c r="HY36" s="1273"/>
      <c r="HZ36" s="1273"/>
      <c r="IA36" s="1273"/>
      <c r="IB36" s="1273"/>
      <c r="IC36" s="1273"/>
      <c r="ID36" s="1273"/>
      <c r="IE36" s="1273"/>
      <c r="IF36" s="1275"/>
    </row>
    <row r="37" spans="1:240" ht="12.6" customHeight="1" x14ac:dyDescent="0.25">
      <c r="A37" s="1215" t="str">
        <f t="shared" si="1"/>
        <v/>
      </c>
      <c r="B37" s="1709" t="str">
        <f t="shared" si="2"/>
        <v/>
      </c>
      <c r="C37" s="1216" t="str">
        <f t="shared" si="3"/>
        <v/>
      </c>
      <c r="D37" s="1217" t="str">
        <f t="shared" si="4"/>
        <v/>
      </c>
      <c r="E37" s="1218" t="str">
        <f t="shared" si="5"/>
        <v/>
      </c>
      <c r="F37" s="1226" t="str">
        <f t="shared" si="6"/>
        <v/>
      </c>
      <c r="G37" s="1221" t="str">
        <f t="shared" si="7"/>
        <v/>
      </c>
      <c r="H37" s="1768" t="str">
        <f t="shared" si="8"/>
        <v/>
      </c>
      <c r="I37" s="1217" t="str">
        <f t="shared" si="9"/>
        <v/>
      </c>
      <c r="J37" s="1221" t="str">
        <f t="shared" si="10"/>
        <v/>
      </c>
      <c r="K37" s="1780" t="str">
        <f t="shared" si="11"/>
        <v/>
      </c>
      <c r="L37" s="1224" t="str">
        <f t="shared" si="12"/>
        <v/>
      </c>
      <c r="M37" s="1225" t="str">
        <f t="shared" si="13"/>
        <v/>
      </c>
      <c r="N37" s="1220" t="str">
        <f t="shared" si="14"/>
        <v/>
      </c>
      <c r="O37" s="1221" t="str">
        <f t="shared" si="15"/>
        <v/>
      </c>
      <c r="P37" s="1222" t="str">
        <f t="shared" si="16"/>
        <v/>
      </c>
      <c r="Q37" s="1217" t="str">
        <f t="shared" si="17"/>
        <v/>
      </c>
      <c r="R37" s="1221" t="str">
        <f t="shared" si="18"/>
        <v/>
      </c>
      <c r="S37" s="1223" t="str">
        <f t="shared" si="19"/>
        <v/>
      </c>
      <c r="T37" s="1226" t="str">
        <f t="shared" si="20"/>
        <v/>
      </c>
      <c r="U37" s="1221" t="str">
        <f t="shared" si="21"/>
        <v/>
      </c>
      <c r="V37" s="1217" t="str">
        <f t="shared" si="22"/>
        <v/>
      </c>
      <c r="W37" s="1221" t="str">
        <f t="shared" si="23"/>
        <v/>
      </c>
      <c r="X37" s="1225">
        <f t="shared" si="24"/>
        <v>0</v>
      </c>
      <c r="Y37" s="1770" t="str">
        <f t="shared" si="25"/>
        <v/>
      </c>
      <c r="Z37" s="1771" t="str">
        <f t="shared" si="26"/>
        <v/>
      </c>
      <c r="AA37" s="1772" t="str">
        <f t="shared" si="27"/>
        <v/>
      </c>
      <c r="AB37" s="1414"/>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5"/>
      <c r="BD37" s="733"/>
      <c r="BE37" s="734"/>
      <c r="BF37" s="735"/>
      <c r="BG37" s="672"/>
      <c r="BH37" s="982"/>
      <c r="BI37" s="983"/>
      <c r="BJ37" s="1626"/>
      <c r="BK37" s="713"/>
      <c r="BL37" s="714"/>
      <c r="BM37" s="715"/>
      <c r="BN37" s="716"/>
      <c r="BO37" s="672" t="str">
        <f>IF(ISERROR(CU37),"",IF(CU37="","",IF(VLOOKUP(BG37,SectInfo!$B:$N,10,FALSE)="","","X")))</f>
        <v/>
      </c>
      <c r="BP37" s="738"/>
      <c r="BQ37" s="1552" t="str">
        <f t="shared" si="48"/>
        <v/>
      </c>
      <c r="BR37" s="910"/>
      <c r="BS37" s="672"/>
      <c r="BT37" s="713"/>
      <c r="BU37" s="714"/>
      <c r="BV37" s="1626"/>
      <c r="BW37" s="713"/>
      <c r="BX37" s="714"/>
      <c r="BY37" s="715"/>
      <c r="BZ37" s="716"/>
      <c r="CA37" s="680" t="str">
        <f>IF(ISERROR(DE37),"",IF(DE37="","",IF(VLOOKUP(BS37,SectInfo!$B:$N,10,FALSE)="","","X")))</f>
        <v/>
      </c>
      <c r="CB37" s="738"/>
      <c r="CC37" s="1552"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4" t="str">
        <f t="shared" si="80"/>
        <v/>
      </c>
      <c r="EF37" s="1294" t="str">
        <f t="shared" si="81"/>
        <v/>
      </c>
      <c r="EG37" s="1294" t="str">
        <f t="shared" si="82"/>
        <v/>
      </c>
      <c r="EH37" s="856" t="e">
        <f t="shared" si="83"/>
        <v>#N/A</v>
      </c>
      <c r="EI37" s="856" t="e">
        <f t="shared" si="84"/>
        <v>#N/A</v>
      </c>
      <c r="EJ37" s="822" t="str">
        <f t="shared" si="85"/>
        <v/>
      </c>
      <c r="EK37" s="822" t="str">
        <f t="shared" si="85"/>
        <v/>
      </c>
      <c r="EL37" s="1294" t="str">
        <f t="shared" si="86"/>
        <v/>
      </c>
      <c r="EM37" s="822" t="str">
        <f t="shared" si="87"/>
        <v/>
      </c>
      <c r="EN37" s="822" t="str">
        <f t="shared" si="88"/>
        <v/>
      </c>
      <c r="EO37" s="856" t="e">
        <f t="shared" si="89"/>
        <v>#N/A</v>
      </c>
      <c r="EP37" s="856" t="e">
        <f t="shared" si="90"/>
        <v>#N/A</v>
      </c>
      <c r="EQ37" s="1294"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599" t="str">
        <f t="shared" si="115"/>
        <v/>
      </c>
      <c r="GB37" s="619" t="str">
        <f t="shared" si="116"/>
        <v/>
      </c>
      <c r="GC37" s="621" t="str">
        <f t="shared" si="117"/>
        <v/>
      </c>
      <c r="GD37" s="622" t="str">
        <f t="shared" si="118"/>
        <v/>
      </c>
      <c r="GE37" s="620" t="str">
        <f t="shared" si="119"/>
        <v/>
      </c>
      <c r="GF37" s="600" t="str">
        <f t="shared" si="120"/>
        <v/>
      </c>
      <c r="GG37" s="1131"/>
      <c r="GH37" s="1132"/>
      <c r="GI37" s="1131"/>
      <c r="GJ37" s="1132"/>
      <c r="GK37" s="1639">
        <f t="shared" si="121"/>
        <v>0</v>
      </c>
      <c r="GL37" s="1637" t="e">
        <f t="shared" si="122"/>
        <v>#VALUE!</v>
      </c>
      <c r="GM37" s="1638" t="e">
        <f>IF(ABS(GK37-GL37)&gt;='Job Info.'!$L$22,ABS(GK37-GL37),0)</f>
        <v>#VALUE!</v>
      </c>
      <c r="HA37" s="1270"/>
      <c r="HB37" s="1271"/>
      <c r="HC37" s="1271"/>
      <c r="HD37" s="1272"/>
      <c r="HE37" s="1273"/>
      <c r="HF37" s="1271"/>
      <c r="HG37" s="1271"/>
      <c r="HH37" s="1271"/>
      <c r="HI37" s="1274"/>
      <c r="HJ37" s="1271"/>
      <c r="HK37" s="1271"/>
      <c r="HL37" s="1271"/>
      <c r="HM37" s="1271"/>
      <c r="HN37" s="1271"/>
      <c r="HO37" s="1271"/>
      <c r="HP37" s="1271"/>
      <c r="HQ37" s="1274"/>
      <c r="HR37" s="1271"/>
      <c r="HS37" s="1271"/>
      <c r="HT37" s="1271"/>
      <c r="HU37" s="1271"/>
      <c r="HV37" s="1271"/>
      <c r="HW37" s="1273"/>
      <c r="HX37" s="1273"/>
      <c r="HY37" s="1273"/>
      <c r="HZ37" s="1273"/>
      <c r="IA37" s="1273"/>
      <c r="IB37" s="1273"/>
      <c r="IC37" s="1273"/>
      <c r="ID37" s="1273"/>
      <c r="IE37" s="1273"/>
      <c r="IF37" s="1275"/>
    </row>
    <row r="38" spans="1:240" ht="12.6" customHeight="1" x14ac:dyDescent="0.25">
      <c r="A38" s="1215" t="str">
        <f t="shared" si="1"/>
        <v/>
      </c>
      <c r="B38" s="1709" t="str">
        <f t="shared" si="2"/>
        <v/>
      </c>
      <c r="C38" s="1216" t="str">
        <f t="shared" si="3"/>
        <v/>
      </c>
      <c r="D38" s="1217" t="str">
        <f t="shared" si="4"/>
        <v/>
      </c>
      <c r="E38" s="1218" t="str">
        <f t="shared" si="5"/>
        <v/>
      </c>
      <c r="F38" s="1226" t="str">
        <f t="shared" si="6"/>
        <v/>
      </c>
      <c r="G38" s="1221" t="str">
        <f t="shared" si="7"/>
        <v/>
      </c>
      <c r="H38" s="1768" t="str">
        <f t="shared" si="8"/>
        <v/>
      </c>
      <c r="I38" s="1217" t="str">
        <f t="shared" si="9"/>
        <v/>
      </c>
      <c r="J38" s="1221" t="str">
        <f t="shared" si="10"/>
        <v/>
      </c>
      <c r="K38" s="1780" t="str">
        <f t="shared" si="11"/>
        <v/>
      </c>
      <c r="L38" s="1224" t="str">
        <f t="shared" si="12"/>
        <v/>
      </c>
      <c r="M38" s="1225" t="str">
        <f t="shared" si="13"/>
        <v/>
      </c>
      <c r="N38" s="1220" t="str">
        <f t="shared" si="14"/>
        <v/>
      </c>
      <c r="O38" s="1221" t="str">
        <f t="shared" si="15"/>
        <v/>
      </c>
      <c r="P38" s="1222" t="str">
        <f t="shared" si="16"/>
        <v/>
      </c>
      <c r="Q38" s="1217" t="str">
        <f t="shared" si="17"/>
        <v/>
      </c>
      <c r="R38" s="1221" t="str">
        <f t="shared" si="18"/>
        <v/>
      </c>
      <c r="S38" s="1223" t="str">
        <f t="shared" si="19"/>
        <v/>
      </c>
      <c r="T38" s="1226" t="str">
        <f t="shared" si="20"/>
        <v/>
      </c>
      <c r="U38" s="1221" t="str">
        <f t="shared" si="21"/>
        <v/>
      </c>
      <c r="V38" s="1217" t="str">
        <f t="shared" si="22"/>
        <v/>
      </c>
      <c r="W38" s="1221" t="str">
        <f t="shared" si="23"/>
        <v/>
      </c>
      <c r="X38" s="1225">
        <f t="shared" si="24"/>
        <v>0</v>
      </c>
      <c r="Y38" s="1770" t="str">
        <f t="shared" si="25"/>
        <v/>
      </c>
      <c r="Z38" s="1771" t="str">
        <f t="shared" si="26"/>
        <v/>
      </c>
      <c r="AA38" s="1772" t="str">
        <f t="shared" si="27"/>
        <v/>
      </c>
      <c r="AB38" s="1414"/>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5"/>
      <c r="BD38" s="733"/>
      <c r="BE38" s="734"/>
      <c r="BF38" s="735"/>
      <c r="BG38" s="672"/>
      <c r="BH38" s="982"/>
      <c r="BI38" s="983"/>
      <c r="BJ38" s="1626"/>
      <c r="BK38" s="713"/>
      <c r="BL38" s="714"/>
      <c r="BM38" s="715"/>
      <c r="BN38" s="716"/>
      <c r="BO38" s="672" t="str">
        <f>IF(ISERROR(CU38),"",IF(CU38="","",IF(VLOOKUP(BG38,SectInfo!$B:$N,10,FALSE)="","","X")))</f>
        <v/>
      </c>
      <c r="BP38" s="738"/>
      <c r="BQ38" s="1552" t="str">
        <f t="shared" si="48"/>
        <v/>
      </c>
      <c r="BR38" s="910"/>
      <c r="BS38" s="672"/>
      <c r="BT38" s="713"/>
      <c r="BU38" s="714"/>
      <c r="BV38" s="1626"/>
      <c r="BW38" s="713"/>
      <c r="BX38" s="714"/>
      <c r="BY38" s="715"/>
      <c r="BZ38" s="716"/>
      <c r="CA38" s="680" t="str">
        <f>IF(ISERROR(DE38),"",IF(DE38="","",IF(VLOOKUP(BS38,SectInfo!$B:$N,10,FALSE)="","","X")))</f>
        <v/>
      </c>
      <c r="CB38" s="738"/>
      <c r="CC38" s="1552"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4" t="str">
        <f t="shared" si="80"/>
        <v/>
      </c>
      <c r="EF38" s="1294" t="str">
        <f t="shared" si="81"/>
        <v/>
      </c>
      <c r="EG38" s="1294" t="str">
        <f t="shared" si="82"/>
        <v/>
      </c>
      <c r="EH38" s="856" t="e">
        <f t="shared" si="83"/>
        <v>#N/A</v>
      </c>
      <c r="EI38" s="856" t="e">
        <f t="shared" si="84"/>
        <v>#N/A</v>
      </c>
      <c r="EJ38" s="822" t="str">
        <f t="shared" si="85"/>
        <v/>
      </c>
      <c r="EK38" s="822" t="str">
        <f t="shared" si="85"/>
        <v/>
      </c>
      <c r="EL38" s="1294" t="str">
        <f t="shared" si="86"/>
        <v/>
      </c>
      <c r="EM38" s="822" t="str">
        <f t="shared" si="87"/>
        <v/>
      </c>
      <c r="EN38" s="822" t="str">
        <f t="shared" si="88"/>
        <v/>
      </c>
      <c r="EO38" s="856" t="e">
        <f t="shared" si="89"/>
        <v>#N/A</v>
      </c>
      <c r="EP38" s="856" t="e">
        <f t="shared" si="90"/>
        <v>#N/A</v>
      </c>
      <c r="EQ38" s="1294"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599" t="str">
        <f t="shared" si="115"/>
        <v/>
      </c>
      <c r="GB38" s="619" t="str">
        <f t="shared" si="116"/>
        <v/>
      </c>
      <c r="GC38" s="621" t="str">
        <f t="shared" si="117"/>
        <v/>
      </c>
      <c r="GD38" s="622" t="str">
        <f t="shared" si="118"/>
        <v/>
      </c>
      <c r="GE38" s="620" t="str">
        <f t="shared" si="119"/>
        <v/>
      </c>
      <c r="GF38" s="600" t="str">
        <f t="shared" si="120"/>
        <v/>
      </c>
      <c r="GG38" s="1131"/>
      <c r="GH38" s="1132"/>
      <c r="GI38" s="1131"/>
      <c r="GJ38" s="1132"/>
      <c r="GK38" s="1639">
        <f t="shared" si="121"/>
        <v>0</v>
      </c>
      <c r="GL38" s="1637" t="e">
        <f t="shared" si="122"/>
        <v>#VALUE!</v>
      </c>
      <c r="GM38" s="1638" t="e">
        <f>IF(ABS(GK38-GL38)&gt;='Job Info.'!$L$22,ABS(GK38-GL38),0)</f>
        <v>#VALUE!</v>
      </c>
      <c r="HA38" s="1270"/>
      <c r="HB38" s="1271"/>
      <c r="HC38" s="1271"/>
      <c r="HD38" s="1272"/>
      <c r="HE38" s="1273"/>
      <c r="HF38" s="1271"/>
      <c r="HG38" s="1271"/>
      <c r="HH38" s="1271"/>
      <c r="HI38" s="1274"/>
      <c r="HJ38" s="1271"/>
      <c r="HK38" s="1271"/>
      <c r="HL38" s="1271"/>
      <c r="HM38" s="1271"/>
      <c r="HN38" s="1271"/>
      <c r="HO38" s="1271"/>
      <c r="HP38" s="1271"/>
      <c r="HQ38" s="1274"/>
      <c r="HR38" s="1271"/>
      <c r="HS38" s="1271"/>
      <c r="HT38" s="1271"/>
      <c r="HU38" s="1271"/>
      <c r="HV38" s="1271"/>
      <c r="HW38" s="1273"/>
      <c r="HX38" s="1273"/>
      <c r="HY38" s="1273"/>
      <c r="HZ38" s="1273"/>
      <c r="IA38" s="1273"/>
      <c r="IB38" s="1273"/>
      <c r="IC38" s="1273"/>
      <c r="ID38" s="1273"/>
      <c r="IE38" s="1273"/>
      <c r="IF38" s="1275"/>
    </row>
    <row r="39" spans="1:240" ht="12.6" customHeight="1" x14ac:dyDescent="0.25">
      <c r="A39" s="1215" t="str">
        <f t="shared" si="1"/>
        <v/>
      </c>
      <c r="B39" s="1709" t="str">
        <f t="shared" si="2"/>
        <v/>
      </c>
      <c r="C39" s="1216" t="str">
        <f t="shared" si="3"/>
        <v/>
      </c>
      <c r="D39" s="1217" t="str">
        <f t="shared" si="4"/>
        <v/>
      </c>
      <c r="E39" s="1218" t="str">
        <f t="shared" si="5"/>
        <v/>
      </c>
      <c r="F39" s="1226" t="str">
        <f t="shared" si="6"/>
        <v/>
      </c>
      <c r="G39" s="1221" t="str">
        <f t="shared" si="7"/>
        <v/>
      </c>
      <c r="H39" s="1768" t="str">
        <f t="shared" si="8"/>
        <v/>
      </c>
      <c r="I39" s="1217" t="str">
        <f t="shared" si="9"/>
        <v/>
      </c>
      <c r="J39" s="1221" t="str">
        <f t="shared" si="10"/>
        <v/>
      </c>
      <c r="K39" s="1780" t="str">
        <f t="shared" si="11"/>
        <v/>
      </c>
      <c r="L39" s="1224" t="str">
        <f t="shared" si="12"/>
        <v/>
      </c>
      <c r="M39" s="1225" t="str">
        <f t="shared" si="13"/>
        <v/>
      </c>
      <c r="N39" s="1220" t="str">
        <f t="shared" si="14"/>
        <v/>
      </c>
      <c r="O39" s="1221" t="str">
        <f t="shared" si="15"/>
        <v/>
      </c>
      <c r="P39" s="1222" t="str">
        <f t="shared" si="16"/>
        <v/>
      </c>
      <c r="Q39" s="1217" t="str">
        <f t="shared" si="17"/>
        <v/>
      </c>
      <c r="R39" s="1221" t="str">
        <f t="shared" si="18"/>
        <v/>
      </c>
      <c r="S39" s="1223" t="str">
        <f t="shared" si="19"/>
        <v/>
      </c>
      <c r="T39" s="1226" t="str">
        <f t="shared" si="20"/>
        <v/>
      </c>
      <c r="U39" s="1221" t="str">
        <f t="shared" si="21"/>
        <v/>
      </c>
      <c r="V39" s="1217" t="str">
        <f t="shared" si="22"/>
        <v/>
      </c>
      <c r="W39" s="1221" t="str">
        <f t="shared" si="23"/>
        <v/>
      </c>
      <c r="X39" s="1225">
        <f t="shared" si="24"/>
        <v>0</v>
      </c>
      <c r="Y39" s="1770" t="str">
        <f t="shared" si="25"/>
        <v/>
      </c>
      <c r="Z39" s="1771" t="str">
        <f t="shared" si="26"/>
        <v/>
      </c>
      <c r="AA39" s="1772" t="str">
        <f t="shared" si="27"/>
        <v/>
      </c>
      <c r="AB39" s="1414"/>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5"/>
      <c r="BD39" s="733"/>
      <c r="BE39" s="734"/>
      <c r="BF39" s="735"/>
      <c r="BG39" s="672"/>
      <c r="BH39" s="982"/>
      <c r="BI39" s="983"/>
      <c r="BJ39" s="1626"/>
      <c r="BK39" s="713"/>
      <c r="BL39" s="714"/>
      <c r="BM39" s="715"/>
      <c r="BN39" s="716"/>
      <c r="BO39" s="672" t="str">
        <f>IF(ISERROR(CU39),"",IF(CU39="","",IF(VLOOKUP(BG39,SectInfo!$B:$N,10,FALSE)="","","X")))</f>
        <v/>
      </c>
      <c r="BP39" s="738"/>
      <c r="BQ39" s="1552" t="str">
        <f t="shared" si="48"/>
        <v/>
      </c>
      <c r="BR39" s="910"/>
      <c r="BS39" s="672"/>
      <c r="BT39" s="713"/>
      <c r="BU39" s="714"/>
      <c r="BV39" s="1626"/>
      <c r="BW39" s="713"/>
      <c r="BX39" s="714"/>
      <c r="BY39" s="715"/>
      <c r="BZ39" s="716"/>
      <c r="CA39" s="680" t="str">
        <f>IF(ISERROR(DE39),"",IF(DE39="","",IF(VLOOKUP(BS39,SectInfo!$B:$N,10,FALSE)="","","X")))</f>
        <v/>
      </c>
      <c r="CB39" s="738"/>
      <c r="CC39" s="1552"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4" t="str">
        <f t="shared" si="80"/>
        <v/>
      </c>
      <c r="EF39" s="1294" t="str">
        <f t="shared" si="81"/>
        <v/>
      </c>
      <c r="EG39" s="1294" t="str">
        <f t="shared" si="82"/>
        <v/>
      </c>
      <c r="EH39" s="856" t="e">
        <f t="shared" si="83"/>
        <v>#N/A</v>
      </c>
      <c r="EI39" s="856" t="e">
        <f t="shared" si="84"/>
        <v>#N/A</v>
      </c>
      <c r="EJ39" s="822" t="str">
        <f t="shared" si="85"/>
        <v/>
      </c>
      <c r="EK39" s="822" t="str">
        <f t="shared" si="85"/>
        <v/>
      </c>
      <c r="EL39" s="1294" t="str">
        <f t="shared" si="86"/>
        <v/>
      </c>
      <c r="EM39" s="822" t="str">
        <f t="shared" si="87"/>
        <v/>
      </c>
      <c r="EN39" s="822" t="str">
        <f t="shared" si="88"/>
        <v/>
      </c>
      <c r="EO39" s="856" t="e">
        <f t="shared" si="89"/>
        <v>#N/A</v>
      </c>
      <c r="EP39" s="856" t="e">
        <f t="shared" si="90"/>
        <v>#N/A</v>
      </c>
      <c r="EQ39" s="1294"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599" t="str">
        <f t="shared" si="115"/>
        <v/>
      </c>
      <c r="GB39" s="619" t="str">
        <f t="shared" si="116"/>
        <v/>
      </c>
      <c r="GC39" s="621" t="str">
        <f t="shared" si="117"/>
        <v/>
      </c>
      <c r="GD39" s="622" t="str">
        <f t="shared" si="118"/>
        <v/>
      </c>
      <c r="GE39" s="620" t="str">
        <f t="shared" si="119"/>
        <v/>
      </c>
      <c r="GF39" s="600" t="str">
        <f t="shared" si="120"/>
        <v/>
      </c>
      <c r="GG39" s="1131"/>
      <c r="GH39" s="1132"/>
      <c r="GI39" s="1131"/>
      <c r="GJ39" s="1132"/>
      <c r="GK39" s="1639">
        <f t="shared" si="121"/>
        <v>0</v>
      </c>
      <c r="GL39" s="1637" t="e">
        <f t="shared" si="122"/>
        <v>#VALUE!</v>
      </c>
      <c r="GM39" s="1638" t="e">
        <f>IF(ABS(GK39-GL39)&gt;='Job Info.'!$L$22,ABS(GK39-GL39),0)</f>
        <v>#VALUE!</v>
      </c>
      <c r="HA39" s="1270"/>
      <c r="HB39" s="1271"/>
      <c r="HC39" s="1271"/>
      <c r="HD39" s="1272"/>
      <c r="HE39" s="1273"/>
      <c r="HF39" s="1271"/>
      <c r="HG39" s="1271"/>
      <c r="HH39" s="1271"/>
      <c r="HI39" s="1274"/>
      <c r="HJ39" s="1271"/>
      <c r="HK39" s="1271"/>
      <c r="HL39" s="1271"/>
      <c r="HM39" s="1271"/>
      <c r="HN39" s="1271"/>
      <c r="HO39" s="1271"/>
      <c r="HP39" s="1271"/>
      <c r="HQ39" s="1274"/>
      <c r="HR39" s="1271"/>
      <c r="HS39" s="1271"/>
      <c r="HT39" s="1271"/>
      <c r="HU39" s="1271"/>
      <c r="HV39" s="1271"/>
      <c r="HW39" s="1273"/>
      <c r="HX39" s="1273"/>
      <c r="HY39" s="1273"/>
      <c r="HZ39" s="1273"/>
      <c r="IA39" s="1273"/>
      <c r="IB39" s="1273"/>
      <c r="IC39" s="1273"/>
      <c r="ID39" s="1273"/>
      <c r="IE39" s="1273"/>
      <c r="IF39" s="1275"/>
    </row>
    <row r="40" spans="1:240" ht="12.6" customHeight="1" x14ac:dyDescent="0.25">
      <c r="A40" s="1215" t="str">
        <f t="shared" si="1"/>
        <v/>
      </c>
      <c r="B40" s="1709" t="str">
        <f t="shared" si="2"/>
        <v/>
      </c>
      <c r="C40" s="1216" t="str">
        <f t="shared" si="3"/>
        <v/>
      </c>
      <c r="D40" s="1217" t="str">
        <f t="shared" si="4"/>
        <v/>
      </c>
      <c r="E40" s="1218" t="str">
        <f t="shared" si="5"/>
        <v/>
      </c>
      <c r="F40" s="1226" t="str">
        <f t="shared" si="6"/>
        <v/>
      </c>
      <c r="G40" s="1221" t="str">
        <f t="shared" si="7"/>
        <v/>
      </c>
      <c r="H40" s="1768" t="str">
        <f t="shared" si="8"/>
        <v/>
      </c>
      <c r="I40" s="1217" t="str">
        <f t="shared" si="9"/>
        <v/>
      </c>
      <c r="J40" s="1221" t="str">
        <f t="shared" si="10"/>
        <v/>
      </c>
      <c r="K40" s="1780" t="str">
        <f t="shared" si="11"/>
        <v/>
      </c>
      <c r="L40" s="1224" t="str">
        <f t="shared" si="12"/>
        <v/>
      </c>
      <c r="M40" s="1225" t="str">
        <f t="shared" si="13"/>
        <v/>
      </c>
      <c r="N40" s="1220" t="str">
        <f t="shared" si="14"/>
        <v/>
      </c>
      <c r="O40" s="1221" t="str">
        <f t="shared" si="15"/>
        <v/>
      </c>
      <c r="P40" s="1222" t="str">
        <f t="shared" si="16"/>
        <v/>
      </c>
      <c r="Q40" s="1217" t="str">
        <f t="shared" si="17"/>
        <v/>
      </c>
      <c r="R40" s="1221" t="str">
        <f t="shared" si="18"/>
        <v/>
      </c>
      <c r="S40" s="1223" t="str">
        <f t="shared" si="19"/>
        <v/>
      </c>
      <c r="T40" s="1226" t="str">
        <f t="shared" si="20"/>
        <v/>
      </c>
      <c r="U40" s="1221" t="str">
        <f t="shared" si="21"/>
        <v/>
      </c>
      <c r="V40" s="1217" t="str">
        <f t="shared" si="22"/>
        <v/>
      </c>
      <c r="W40" s="1221" t="str">
        <f t="shared" si="23"/>
        <v/>
      </c>
      <c r="X40" s="1225">
        <f t="shared" si="24"/>
        <v>0</v>
      </c>
      <c r="Y40" s="1770" t="str">
        <f t="shared" si="25"/>
        <v/>
      </c>
      <c r="Z40" s="1771" t="str">
        <f t="shared" si="26"/>
        <v/>
      </c>
      <c r="AA40" s="1772" t="str">
        <f t="shared" si="27"/>
        <v/>
      </c>
      <c r="AB40" s="1414"/>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5"/>
      <c r="BD40" s="733"/>
      <c r="BE40" s="734"/>
      <c r="BF40" s="735"/>
      <c r="BG40" s="672"/>
      <c r="BH40" s="982"/>
      <c r="BI40" s="983"/>
      <c r="BJ40" s="1626"/>
      <c r="BK40" s="713"/>
      <c r="BL40" s="714"/>
      <c r="BM40" s="715"/>
      <c r="BN40" s="716"/>
      <c r="BO40" s="672" t="str">
        <f>IF(ISERROR(CU40),"",IF(CU40="","",IF(VLOOKUP(BG40,SectInfo!$B:$N,10,FALSE)="","","X")))</f>
        <v/>
      </c>
      <c r="BP40" s="738"/>
      <c r="BQ40" s="1552" t="str">
        <f t="shared" si="48"/>
        <v/>
      </c>
      <c r="BR40" s="910"/>
      <c r="BS40" s="672"/>
      <c r="BT40" s="713"/>
      <c r="BU40" s="714"/>
      <c r="BV40" s="1626"/>
      <c r="BW40" s="713"/>
      <c r="BX40" s="714"/>
      <c r="BY40" s="715"/>
      <c r="BZ40" s="716"/>
      <c r="CA40" s="680" t="str">
        <f>IF(ISERROR(DE40),"",IF(DE40="","",IF(VLOOKUP(BS40,SectInfo!$B:$N,10,FALSE)="","","X")))</f>
        <v/>
      </c>
      <c r="CB40" s="738"/>
      <c r="CC40" s="1552"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7" t="str">
        <f>IF(BG40="","",IF(VLOOKUP(BG40,SectInfo!$B:$N,10,FALSE)="","",(IF(BO40="X",VLOOKUP(BG40,SectInfo!$B:$N,10,FALSE),VALUE(BO40))*-1)))</f>
        <v/>
      </c>
      <c r="CZ40" s="1123"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7" t="str">
        <f>IF(BS40="","",IF(VLOOKUP(BS40,SectInfo!$B:$N,10,FALSE)="","",(IF(CA40="X",VLOOKUP(BS40,SectInfo!$B:$N,10,FALSE),VALUE(CA40))*-1)))</f>
        <v/>
      </c>
      <c r="DJ40" s="1123"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4" t="str">
        <f t="shared" si="80"/>
        <v/>
      </c>
      <c r="EF40" s="1294" t="str">
        <f t="shared" si="81"/>
        <v/>
      </c>
      <c r="EG40" s="1294" t="str">
        <f t="shared" si="82"/>
        <v/>
      </c>
      <c r="EH40" s="856" t="e">
        <f t="shared" si="83"/>
        <v>#N/A</v>
      </c>
      <c r="EI40" s="856" t="e">
        <f t="shared" si="84"/>
        <v>#N/A</v>
      </c>
      <c r="EJ40" s="822" t="str">
        <f t="shared" si="85"/>
        <v/>
      </c>
      <c r="EK40" s="822" t="str">
        <f t="shared" si="85"/>
        <v/>
      </c>
      <c r="EL40" s="1294" t="str">
        <f t="shared" si="86"/>
        <v/>
      </c>
      <c r="EM40" s="822" t="str">
        <f t="shared" si="87"/>
        <v/>
      </c>
      <c r="EN40" s="822" t="str">
        <f t="shared" si="88"/>
        <v/>
      </c>
      <c r="EO40" s="856" t="e">
        <f t="shared" si="89"/>
        <v>#N/A</v>
      </c>
      <c r="EP40" s="856" t="e">
        <f t="shared" si="90"/>
        <v>#N/A</v>
      </c>
      <c r="EQ40" s="1294"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599" t="str">
        <f t="shared" si="115"/>
        <v/>
      </c>
      <c r="GB40" s="619" t="str">
        <f t="shared" si="116"/>
        <v/>
      </c>
      <c r="GC40" s="621" t="str">
        <f t="shared" si="117"/>
        <v/>
      </c>
      <c r="GD40" s="622" t="str">
        <f t="shared" si="118"/>
        <v/>
      </c>
      <c r="GE40" s="620" t="str">
        <f t="shared" si="119"/>
        <v/>
      </c>
      <c r="GF40" s="600" t="str">
        <f t="shared" si="120"/>
        <v/>
      </c>
      <c r="GG40" s="1131"/>
      <c r="GH40" s="1132"/>
      <c r="GI40" s="1131"/>
      <c r="GJ40" s="1132"/>
      <c r="GK40" s="1639">
        <f t="shared" si="121"/>
        <v>0</v>
      </c>
      <c r="GL40" s="1637" t="e">
        <f t="shared" si="122"/>
        <v>#VALUE!</v>
      </c>
      <c r="GM40" s="1638" t="e">
        <f>IF(ABS(GK40-GL40)&gt;='Job Info.'!$L$22,ABS(GK40-GL40),0)</f>
        <v>#VALUE!</v>
      </c>
      <c r="HA40" s="1270"/>
      <c r="HB40" s="1271"/>
      <c r="HC40" s="1271"/>
      <c r="HD40" s="1272"/>
      <c r="HE40" s="1273"/>
      <c r="HF40" s="1271"/>
      <c r="HG40" s="1271"/>
      <c r="HH40" s="1271"/>
      <c r="HI40" s="1274"/>
      <c r="HJ40" s="1271"/>
      <c r="HK40" s="1271"/>
      <c r="HL40" s="1271"/>
      <c r="HM40" s="1271"/>
      <c r="HN40" s="1271"/>
      <c r="HO40" s="1271"/>
      <c r="HP40" s="1271"/>
      <c r="HQ40" s="1274"/>
      <c r="HR40" s="1271"/>
      <c r="HS40" s="1271"/>
      <c r="HT40" s="1271"/>
      <c r="HU40" s="1271"/>
      <c r="HV40" s="1271"/>
      <c r="HW40" s="1273"/>
      <c r="HX40" s="1273"/>
      <c r="HY40" s="1273"/>
      <c r="HZ40" s="1273"/>
      <c r="IA40" s="1273"/>
      <c r="IB40" s="1273"/>
      <c r="IC40" s="1273"/>
      <c r="ID40" s="1273"/>
      <c r="IE40" s="1273"/>
      <c r="IF40" s="1275"/>
    </row>
    <row r="41" spans="1:240" ht="12.6" customHeight="1" x14ac:dyDescent="0.25">
      <c r="A41" s="1215" t="str">
        <f t="shared" si="1"/>
        <v/>
      </c>
      <c r="B41" s="1709" t="str">
        <f t="shared" si="2"/>
        <v/>
      </c>
      <c r="C41" s="1216" t="str">
        <f t="shared" si="3"/>
        <v/>
      </c>
      <c r="D41" s="1217" t="str">
        <f t="shared" si="4"/>
        <v/>
      </c>
      <c r="E41" s="1218" t="str">
        <f t="shared" si="5"/>
        <v/>
      </c>
      <c r="F41" s="1226" t="str">
        <f t="shared" si="6"/>
        <v/>
      </c>
      <c r="G41" s="1221" t="str">
        <f t="shared" si="7"/>
        <v/>
      </c>
      <c r="H41" s="1768" t="str">
        <f t="shared" si="8"/>
        <v/>
      </c>
      <c r="I41" s="1217" t="str">
        <f t="shared" si="9"/>
        <v/>
      </c>
      <c r="J41" s="1221" t="str">
        <f t="shared" si="10"/>
        <v/>
      </c>
      <c r="K41" s="1780" t="str">
        <f t="shared" si="11"/>
        <v/>
      </c>
      <c r="L41" s="1224" t="str">
        <f t="shared" si="12"/>
        <v/>
      </c>
      <c r="M41" s="1225" t="str">
        <f t="shared" si="13"/>
        <v/>
      </c>
      <c r="N41" s="1220" t="str">
        <f t="shared" si="14"/>
        <v/>
      </c>
      <c r="O41" s="1221" t="str">
        <f t="shared" si="15"/>
        <v/>
      </c>
      <c r="P41" s="1222" t="str">
        <f t="shared" si="16"/>
        <v/>
      </c>
      <c r="Q41" s="1217" t="str">
        <f t="shared" si="17"/>
        <v/>
      </c>
      <c r="R41" s="1221" t="str">
        <f t="shared" si="18"/>
        <v/>
      </c>
      <c r="S41" s="1223" t="str">
        <f t="shared" si="19"/>
        <v/>
      </c>
      <c r="T41" s="1226" t="str">
        <f t="shared" si="20"/>
        <v/>
      </c>
      <c r="U41" s="1221" t="str">
        <f t="shared" si="21"/>
        <v/>
      </c>
      <c r="V41" s="1217" t="str">
        <f t="shared" si="22"/>
        <v/>
      </c>
      <c r="W41" s="1221" t="str">
        <f t="shared" si="23"/>
        <v/>
      </c>
      <c r="X41" s="1225">
        <f t="shared" si="24"/>
        <v>0</v>
      </c>
      <c r="Y41" s="1770" t="str">
        <f t="shared" si="25"/>
        <v/>
      </c>
      <c r="Z41" s="1771" t="str">
        <f t="shared" si="26"/>
        <v/>
      </c>
      <c r="AA41" s="1772" t="str">
        <f t="shared" si="27"/>
        <v/>
      </c>
      <c r="AB41" s="1414"/>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5"/>
      <c r="BD41" s="733"/>
      <c r="BE41" s="734"/>
      <c r="BF41" s="735"/>
      <c r="BG41" s="672"/>
      <c r="BH41" s="982"/>
      <c r="BI41" s="983"/>
      <c r="BJ41" s="1626"/>
      <c r="BK41" s="713"/>
      <c r="BL41" s="714"/>
      <c r="BM41" s="715"/>
      <c r="BN41" s="716"/>
      <c r="BO41" s="672" t="str">
        <f>IF(ISERROR(CU41),"",IF(CU41="","",IF(VLOOKUP(BG41,SectInfo!$B:$N,10,FALSE)="","","X")))</f>
        <v/>
      </c>
      <c r="BP41" s="738"/>
      <c r="BQ41" s="1552" t="str">
        <f t="shared" si="48"/>
        <v/>
      </c>
      <c r="BR41" s="910"/>
      <c r="BS41" s="672"/>
      <c r="BT41" s="713"/>
      <c r="BU41" s="714"/>
      <c r="BV41" s="1626"/>
      <c r="BW41" s="713"/>
      <c r="BX41" s="714"/>
      <c r="BY41" s="715"/>
      <c r="BZ41" s="716"/>
      <c r="CA41" s="680" t="str">
        <f>IF(ISERROR(DE41),"",IF(DE41="","",IF(VLOOKUP(BS41,SectInfo!$B:$N,10,FALSE)="","","X")))</f>
        <v/>
      </c>
      <c r="CB41" s="738"/>
      <c r="CC41" s="1552"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7" t="str">
        <f>IF(BG41="","",IF(VLOOKUP(BG41,SectInfo!$B:$N,10,FALSE)="","",(IF(BO41="X",VLOOKUP(BG41,SectInfo!$B:$N,10,FALSE),VALUE(BO41))*-1)))</f>
        <v/>
      </c>
      <c r="CZ41" s="1123"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7" t="str">
        <f>IF(BS41="","",IF(VLOOKUP(BS41,SectInfo!$B:$N,10,FALSE)="","",(IF(CA41="X",VLOOKUP(BS41,SectInfo!$B:$N,10,FALSE),VALUE(CA41))*-1)))</f>
        <v/>
      </c>
      <c r="DJ41" s="1123"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4" t="str">
        <f t="shared" si="80"/>
        <v/>
      </c>
      <c r="EF41" s="1294" t="str">
        <f t="shared" si="81"/>
        <v/>
      </c>
      <c r="EG41" s="1294" t="str">
        <f t="shared" si="82"/>
        <v/>
      </c>
      <c r="EH41" s="856" t="e">
        <f t="shared" si="83"/>
        <v>#N/A</v>
      </c>
      <c r="EI41" s="856" t="e">
        <f t="shared" si="84"/>
        <v>#N/A</v>
      </c>
      <c r="EJ41" s="822" t="str">
        <f t="shared" si="85"/>
        <v/>
      </c>
      <c r="EK41" s="822" t="str">
        <f t="shared" si="85"/>
        <v/>
      </c>
      <c r="EL41" s="1294" t="str">
        <f t="shared" si="86"/>
        <v/>
      </c>
      <c r="EM41" s="822" t="str">
        <f t="shared" si="87"/>
        <v/>
      </c>
      <c r="EN41" s="822" t="str">
        <f t="shared" si="88"/>
        <v/>
      </c>
      <c r="EO41" s="856" t="e">
        <f t="shared" si="89"/>
        <v>#N/A</v>
      </c>
      <c r="EP41" s="856" t="e">
        <f t="shared" si="90"/>
        <v>#N/A</v>
      </c>
      <c r="EQ41" s="1294"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599" t="str">
        <f t="shared" si="115"/>
        <v/>
      </c>
      <c r="GB41" s="619" t="str">
        <f t="shared" si="116"/>
        <v/>
      </c>
      <c r="GC41" s="621" t="str">
        <f t="shared" si="117"/>
        <v/>
      </c>
      <c r="GD41" s="622" t="str">
        <f t="shared" si="118"/>
        <v/>
      </c>
      <c r="GE41" s="620" t="str">
        <f t="shared" si="119"/>
        <v/>
      </c>
      <c r="GF41" s="600" t="str">
        <f t="shared" si="120"/>
        <v/>
      </c>
      <c r="GG41" s="1131"/>
      <c r="GH41" s="1132"/>
      <c r="GI41" s="1131"/>
      <c r="GJ41" s="1132"/>
      <c r="GK41" s="1639">
        <f t="shared" si="121"/>
        <v>0</v>
      </c>
      <c r="GL41" s="1637" t="e">
        <f t="shared" si="122"/>
        <v>#VALUE!</v>
      </c>
      <c r="GM41" s="1638" t="e">
        <f>IF(ABS(GK41-GL41)&gt;='Job Info.'!$L$22,ABS(GK41-GL41),0)</f>
        <v>#VALUE!</v>
      </c>
      <c r="HA41" s="1270"/>
      <c r="HB41" s="1271"/>
      <c r="HC41" s="1271"/>
      <c r="HD41" s="1272"/>
      <c r="HE41" s="1273"/>
      <c r="HF41" s="1271"/>
      <c r="HG41" s="1271"/>
      <c r="HH41" s="1271"/>
      <c r="HI41" s="1274"/>
      <c r="HJ41" s="1271"/>
      <c r="HK41" s="1271"/>
      <c r="HL41" s="1271"/>
      <c r="HM41" s="1271"/>
      <c r="HN41" s="1271"/>
      <c r="HO41" s="1271"/>
      <c r="HP41" s="1271"/>
      <c r="HQ41" s="1274"/>
      <c r="HR41" s="1271"/>
      <c r="HS41" s="1271"/>
      <c r="HT41" s="1271"/>
      <c r="HU41" s="1271"/>
      <c r="HV41" s="1271"/>
      <c r="HW41" s="1273"/>
      <c r="HX41" s="1273"/>
      <c r="HY41" s="1273"/>
      <c r="HZ41" s="1273"/>
      <c r="IA41" s="1273"/>
      <c r="IB41" s="1273"/>
      <c r="IC41" s="1273"/>
      <c r="ID41" s="1273"/>
      <c r="IE41" s="1273"/>
      <c r="IF41" s="1275"/>
    </row>
    <row r="42" spans="1:240" ht="12.6" customHeight="1" x14ac:dyDescent="0.25">
      <c r="A42" s="1215" t="str">
        <f t="shared" si="1"/>
        <v/>
      </c>
      <c r="B42" s="1709" t="str">
        <f t="shared" si="2"/>
        <v/>
      </c>
      <c r="C42" s="1216" t="str">
        <f t="shared" si="3"/>
        <v/>
      </c>
      <c r="D42" s="1217" t="str">
        <f t="shared" si="4"/>
        <v/>
      </c>
      <c r="E42" s="1218" t="str">
        <f t="shared" si="5"/>
        <v/>
      </c>
      <c r="F42" s="1226" t="str">
        <f t="shared" si="6"/>
        <v/>
      </c>
      <c r="G42" s="1221" t="str">
        <f t="shared" si="7"/>
        <v/>
      </c>
      <c r="H42" s="1768" t="str">
        <f t="shared" si="8"/>
        <v/>
      </c>
      <c r="I42" s="1217" t="str">
        <f t="shared" si="9"/>
        <v/>
      </c>
      <c r="J42" s="1221" t="str">
        <f t="shared" si="10"/>
        <v/>
      </c>
      <c r="K42" s="1780" t="str">
        <f t="shared" si="11"/>
        <v/>
      </c>
      <c r="L42" s="1224" t="str">
        <f t="shared" si="12"/>
        <v/>
      </c>
      <c r="M42" s="1225" t="str">
        <f t="shared" si="13"/>
        <v/>
      </c>
      <c r="N42" s="1220" t="str">
        <f t="shared" si="14"/>
        <v/>
      </c>
      <c r="O42" s="1221" t="str">
        <f t="shared" si="15"/>
        <v/>
      </c>
      <c r="P42" s="1222" t="str">
        <f t="shared" si="16"/>
        <v/>
      </c>
      <c r="Q42" s="1217" t="str">
        <f t="shared" si="17"/>
        <v/>
      </c>
      <c r="R42" s="1221" t="str">
        <f t="shared" si="18"/>
        <v/>
      </c>
      <c r="S42" s="1223" t="str">
        <f t="shared" si="19"/>
        <v/>
      </c>
      <c r="T42" s="1226" t="str">
        <f t="shared" si="20"/>
        <v/>
      </c>
      <c r="U42" s="1221" t="str">
        <f t="shared" si="21"/>
        <v/>
      </c>
      <c r="V42" s="1217" t="str">
        <f t="shared" si="22"/>
        <v/>
      </c>
      <c r="W42" s="1221" t="str">
        <f t="shared" si="23"/>
        <v/>
      </c>
      <c r="X42" s="1225">
        <f t="shared" si="24"/>
        <v>0</v>
      </c>
      <c r="Y42" s="1770" t="str">
        <f t="shared" si="25"/>
        <v/>
      </c>
      <c r="Z42" s="1771" t="str">
        <f t="shared" si="26"/>
        <v/>
      </c>
      <c r="AA42" s="1772" t="str">
        <f t="shared" si="27"/>
        <v/>
      </c>
      <c r="AB42" s="1414"/>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5"/>
      <c r="BD42" s="733"/>
      <c r="BE42" s="734"/>
      <c r="BF42" s="735"/>
      <c r="BG42" s="672"/>
      <c r="BH42" s="982"/>
      <c r="BI42" s="983"/>
      <c r="BJ42" s="1626"/>
      <c r="BK42" s="713"/>
      <c r="BL42" s="714"/>
      <c r="BM42" s="715"/>
      <c r="BN42" s="716"/>
      <c r="BO42" s="672" t="str">
        <f>IF(ISERROR(CU42),"",IF(CU42="","",IF(VLOOKUP(BG42,SectInfo!$B:$N,10,FALSE)="","","X")))</f>
        <v/>
      </c>
      <c r="BP42" s="738"/>
      <c r="BQ42" s="1552" t="str">
        <f t="shared" si="48"/>
        <v/>
      </c>
      <c r="BR42" s="910"/>
      <c r="BS42" s="672"/>
      <c r="BT42" s="713"/>
      <c r="BU42" s="714"/>
      <c r="BV42" s="1626"/>
      <c r="BW42" s="713"/>
      <c r="BX42" s="714"/>
      <c r="BY42" s="715"/>
      <c r="BZ42" s="716"/>
      <c r="CA42" s="680" t="str">
        <f>IF(ISERROR(DE42),"",IF(DE42="","",IF(VLOOKUP(BS42,SectInfo!$B:$N,10,FALSE)="","","X")))</f>
        <v/>
      </c>
      <c r="CB42" s="738"/>
      <c r="CC42" s="1552"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7" t="str">
        <f>IF(BG42="","",IF(VLOOKUP(BG42,SectInfo!$B:$N,10,FALSE)="","",(IF(BO42="X",VLOOKUP(BG42,SectInfo!$B:$N,10,FALSE),VALUE(BO42))*-1)))</f>
        <v/>
      </c>
      <c r="CZ42" s="1123"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7" t="str">
        <f>IF(BS42="","",IF(VLOOKUP(BS42,SectInfo!$B:$N,10,FALSE)="","",(IF(CA42="X",VLOOKUP(BS42,SectInfo!$B:$N,10,FALSE),VALUE(CA42))*-1)))</f>
        <v/>
      </c>
      <c r="DJ42" s="1123"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4" t="str">
        <f t="shared" si="80"/>
        <v/>
      </c>
      <c r="EF42" s="1294" t="str">
        <f t="shared" si="81"/>
        <v/>
      </c>
      <c r="EG42" s="1294" t="str">
        <f t="shared" si="82"/>
        <v/>
      </c>
      <c r="EH42" s="856" t="e">
        <f t="shared" si="83"/>
        <v>#N/A</v>
      </c>
      <c r="EI42" s="856" t="e">
        <f t="shared" si="84"/>
        <v>#N/A</v>
      </c>
      <c r="EJ42" s="822" t="str">
        <f t="shared" si="85"/>
        <v/>
      </c>
      <c r="EK42" s="822" t="str">
        <f t="shared" si="85"/>
        <v/>
      </c>
      <c r="EL42" s="1294" t="str">
        <f t="shared" si="86"/>
        <v/>
      </c>
      <c r="EM42" s="822" t="str">
        <f t="shared" si="87"/>
        <v/>
      </c>
      <c r="EN42" s="822" t="str">
        <f t="shared" si="88"/>
        <v/>
      </c>
      <c r="EO42" s="856" t="e">
        <f t="shared" si="89"/>
        <v>#N/A</v>
      </c>
      <c r="EP42" s="856" t="e">
        <f t="shared" si="90"/>
        <v>#N/A</v>
      </c>
      <c r="EQ42" s="1294"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599" t="str">
        <f t="shared" si="115"/>
        <v/>
      </c>
      <c r="GB42" s="619" t="str">
        <f t="shared" si="116"/>
        <v/>
      </c>
      <c r="GC42" s="621" t="str">
        <f t="shared" si="117"/>
        <v/>
      </c>
      <c r="GD42" s="622" t="str">
        <f t="shared" si="118"/>
        <v/>
      </c>
      <c r="GE42" s="620" t="str">
        <f t="shared" si="119"/>
        <v/>
      </c>
      <c r="GF42" s="600" t="str">
        <f t="shared" si="120"/>
        <v/>
      </c>
      <c r="GG42" s="1131"/>
      <c r="GH42" s="1132"/>
      <c r="GI42" s="1131"/>
      <c r="GJ42" s="1132"/>
      <c r="GK42" s="1639">
        <f t="shared" si="121"/>
        <v>0</v>
      </c>
      <c r="GL42" s="1637" t="e">
        <f t="shared" si="122"/>
        <v>#VALUE!</v>
      </c>
      <c r="GM42" s="1638" t="e">
        <f>IF(ABS(GK42-GL42)&gt;='Job Info.'!$L$22,ABS(GK42-GL42),0)</f>
        <v>#VALUE!</v>
      </c>
      <c r="HA42" s="1270"/>
      <c r="HB42" s="1271"/>
      <c r="HC42" s="1271"/>
      <c r="HD42" s="1272"/>
      <c r="HE42" s="1273"/>
      <c r="HF42" s="1271"/>
      <c r="HG42" s="1271"/>
      <c r="HH42" s="1271"/>
      <c r="HI42" s="1274"/>
      <c r="HJ42" s="1271"/>
      <c r="HK42" s="1271"/>
      <c r="HL42" s="1271"/>
      <c r="HM42" s="1271"/>
      <c r="HN42" s="1271"/>
      <c r="HO42" s="1271"/>
      <c r="HP42" s="1271"/>
      <c r="HQ42" s="1274"/>
      <c r="HR42" s="1271"/>
      <c r="HS42" s="1271"/>
      <c r="HT42" s="1271"/>
      <c r="HU42" s="1271"/>
      <c r="HV42" s="1271"/>
      <c r="HW42" s="1273"/>
      <c r="HX42" s="1273"/>
      <c r="HY42" s="1273"/>
      <c r="HZ42" s="1273"/>
      <c r="IA42" s="1273"/>
      <c r="IB42" s="1273"/>
      <c r="IC42" s="1273"/>
      <c r="ID42" s="1273"/>
      <c r="IE42" s="1273"/>
      <c r="IF42" s="1275"/>
    </row>
    <row r="43" spans="1:240" ht="12.6" customHeight="1" x14ac:dyDescent="0.25">
      <c r="A43" s="1215" t="str">
        <f t="shared" si="1"/>
        <v/>
      </c>
      <c r="B43" s="1709" t="str">
        <f t="shared" si="2"/>
        <v/>
      </c>
      <c r="C43" s="1216" t="str">
        <f t="shared" si="3"/>
        <v/>
      </c>
      <c r="D43" s="1217" t="str">
        <f t="shared" si="4"/>
        <v/>
      </c>
      <c r="E43" s="1218" t="str">
        <f t="shared" si="5"/>
        <v/>
      </c>
      <c r="F43" s="1226" t="str">
        <f t="shared" si="6"/>
        <v/>
      </c>
      <c r="G43" s="1221" t="str">
        <f t="shared" si="7"/>
        <v/>
      </c>
      <c r="H43" s="1768" t="str">
        <f t="shared" si="8"/>
        <v/>
      </c>
      <c r="I43" s="1217" t="str">
        <f t="shared" si="9"/>
        <v/>
      </c>
      <c r="J43" s="1221" t="str">
        <f t="shared" si="10"/>
        <v/>
      </c>
      <c r="K43" s="1780" t="str">
        <f t="shared" si="11"/>
        <v/>
      </c>
      <c r="L43" s="1224" t="str">
        <f t="shared" si="12"/>
        <v/>
      </c>
      <c r="M43" s="1225" t="str">
        <f t="shared" si="13"/>
        <v/>
      </c>
      <c r="N43" s="1220" t="str">
        <f t="shared" si="14"/>
        <v/>
      </c>
      <c r="O43" s="1221" t="str">
        <f t="shared" si="15"/>
        <v/>
      </c>
      <c r="P43" s="1222" t="str">
        <f t="shared" si="16"/>
        <v/>
      </c>
      <c r="Q43" s="1217" t="str">
        <f t="shared" si="17"/>
        <v/>
      </c>
      <c r="R43" s="1221" t="str">
        <f t="shared" si="18"/>
        <v/>
      </c>
      <c r="S43" s="1223" t="str">
        <f t="shared" si="19"/>
        <v/>
      </c>
      <c r="T43" s="1226" t="str">
        <f t="shared" si="20"/>
        <v/>
      </c>
      <c r="U43" s="1221" t="str">
        <f t="shared" si="21"/>
        <v/>
      </c>
      <c r="V43" s="1217" t="str">
        <f t="shared" si="22"/>
        <v/>
      </c>
      <c r="W43" s="1221" t="str">
        <f t="shared" si="23"/>
        <v/>
      </c>
      <c r="X43" s="1225">
        <f t="shared" si="24"/>
        <v>0</v>
      </c>
      <c r="Y43" s="1770" t="str">
        <f t="shared" si="25"/>
        <v/>
      </c>
      <c r="Z43" s="1771" t="str">
        <f t="shared" si="26"/>
        <v/>
      </c>
      <c r="AA43" s="1772" t="str">
        <f t="shared" si="27"/>
        <v/>
      </c>
      <c r="AB43" s="1414"/>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5"/>
      <c r="BD43" s="733"/>
      <c r="BE43" s="734"/>
      <c r="BF43" s="735"/>
      <c r="BG43" s="672"/>
      <c r="BH43" s="982"/>
      <c r="BI43" s="983"/>
      <c r="BJ43" s="1626"/>
      <c r="BK43" s="713"/>
      <c r="BL43" s="714"/>
      <c r="BM43" s="715"/>
      <c r="BN43" s="716"/>
      <c r="BO43" s="672" t="str">
        <f>IF(ISERROR(CU43),"",IF(CU43="","",IF(VLOOKUP(BG43,SectInfo!$B:$N,10,FALSE)="","","X")))</f>
        <v/>
      </c>
      <c r="BP43" s="738"/>
      <c r="BQ43" s="1552" t="str">
        <f t="shared" si="48"/>
        <v/>
      </c>
      <c r="BR43" s="910"/>
      <c r="BS43" s="672"/>
      <c r="BT43" s="713"/>
      <c r="BU43" s="714"/>
      <c r="BV43" s="1626"/>
      <c r="BW43" s="713"/>
      <c r="BX43" s="714"/>
      <c r="BY43" s="715"/>
      <c r="BZ43" s="716"/>
      <c r="CA43" s="680" t="str">
        <f>IF(ISERROR(DE43),"",IF(DE43="","",IF(VLOOKUP(BS43,SectInfo!$B:$N,10,FALSE)="","","X")))</f>
        <v/>
      </c>
      <c r="CB43" s="738"/>
      <c r="CC43" s="1552"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7" t="str">
        <f>IF(BG43="","",IF(VLOOKUP(BG43,SectInfo!$B:$N,10,FALSE)="","",(IF(BO43="X",VLOOKUP(BG43,SectInfo!$B:$N,10,FALSE),VALUE(BO43))*-1)))</f>
        <v/>
      </c>
      <c r="CZ43" s="1123"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7" t="str">
        <f>IF(BS43="","",IF(VLOOKUP(BS43,SectInfo!$B:$N,10,FALSE)="","",(IF(CA43="X",VLOOKUP(BS43,SectInfo!$B:$N,10,FALSE),VALUE(CA43))*-1)))</f>
        <v/>
      </c>
      <c r="DJ43" s="1123"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4" t="str">
        <f t="shared" si="80"/>
        <v/>
      </c>
      <c r="EF43" s="1294" t="str">
        <f t="shared" si="81"/>
        <v/>
      </c>
      <c r="EG43" s="1294" t="str">
        <f t="shared" si="82"/>
        <v/>
      </c>
      <c r="EH43" s="856" t="e">
        <f t="shared" si="83"/>
        <v>#N/A</v>
      </c>
      <c r="EI43" s="856" t="e">
        <f t="shared" si="84"/>
        <v>#N/A</v>
      </c>
      <c r="EJ43" s="822" t="str">
        <f t="shared" si="85"/>
        <v/>
      </c>
      <c r="EK43" s="822" t="str">
        <f t="shared" si="85"/>
        <v/>
      </c>
      <c r="EL43" s="1294" t="str">
        <f t="shared" si="86"/>
        <v/>
      </c>
      <c r="EM43" s="822" t="str">
        <f t="shared" si="87"/>
        <v/>
      </c>
      <c r="EN43" s="822" t="str">
        <f t="shared" si="88"/>
        <v/>
      </c>
      <c r="EO43" s="856" t="e">
        <f t="shared" si="89"/>
        <v>#N/A</v>
      </c>
      <c r="EP43" s="856" t="e">
        <f t="shared" si="90"/>
        <v>#N/A</v>
      </c>
      <c r="EQ43" s="1294"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599" t="str">
        <f t="shared" si="115"/>
        <v/>
      </c>
      <c r="GB43" s="619" t="str">
        <f t="shared" si="116"/>
        <v/>
      </c>
      <c r="GC43" s="621" t="str">
        <f t="shared" si="117"/>
        <v/>
      </c>
      <c r="GD43" s="622" t="str">
        <f t="shared" si="118"/>
        <v/>
      </c>
      <c r="GE43" s="620" t="str">
        <f t="shared" si="119"/>
        <v/>
      </c>
      <c r="GF43" s="600" t="str">
        <f t="shared" si="120"/>
        <v/>
      </c>
      <c r="GG43" s="1131"/>
      <c r="GH43" s="1132"/>
      <c r="GI43" s="1131"/>
      <c r="GJ43" s="1132"/>
      <c r="GK43" s="1639">
        <f t="shared" si="121"/>
        <v>0</v>
      </c>
      <c r="GL43" s="1637" t="e">
        <f t="shared" si="122"/>
        <v>#VALUE!</v>
      </c>
      <c r="GM43" s="1638" t="e">
        <f>IF(ABS(GK43-GL43)&gt;='Job Info.'!$L$22,ABS(GK43-GL43),0)</f>
        <v>#VALUE!</v>
      </c>
      <c r="HA43" s="1270"/>
      <c r="HB43" s="1271"/>
      <c r="HC43" s="1271"/>
      <c r="HD43" s="1272"/>
      <c r="HE43" s="1273"/>
      <c r="HF43" s="1271"/>
      <c r="HG43" s="1271"/>
      <c r="HH43" s="1271"/>
      <c r="HI43" s="1274"/>
      <c r="HJ43" s="1271"/>
      <c r="HK43" s="1271"/>
      <c r="HL43" s="1271"/>
      <c r="HM43" s="1271"/>
      <c r="HN43" s="1271"/>
      <c r="HO43" s="1271"/>
      <c r="HP43" s="1271"/>
      <c r="HQ43" s="1274"/>
      <c r="HR43" s="1271"/>
      <c r="HS43" s="1271"/>
      <c r="HT43" s="1271"/>
      <c r="HU43" s="1271"/>
      <c r="HV43" s="1271"/>
      <c r="HW43" s="1273"/>
      <c r="HX43" s="1273"/>
      <c r="HY43" s="1273"/>
      <c r="HZ43" s="1273"/>
      <c r="IA43" s="1273"/>
      <c r="IB43" s="1273"/>
      <c r="IC43" s="1273"/>
      <c r="ID43" s="1273"/>
      <c r="IE43" s="1273"/>
      <c r="IF43" s="1275"/>
    </row>
    <row r="44" spans="1:240" ht="12.6" customHeight="1" x14ac:dyDescent="0.25">
      <c r="A44" s="1215" t="str">
        <f t="shared" si="1"/>
        <v/>
      </c>
      <c r="B44" s="1709" t="str">
        <f t="shared" si="2"/>
        <v/>
      </c>
      <c r="C44" s="1216" t="str">
        <f t="shared" si="3"/>
        <v/>
      </c>
      <c r="D44" s="1217" t="str">
        <f t="shared" si="4"/>
        <v/>
      </c>
      <c r="E44" s="1218" t="str">
        <f t="shared" si="5"/>
        <v/>
      </c>
      <c r="F44" s="1226" t="str">
        <f t="shared" si="6"/>
        <v/>
      </c>
      <c r="G44" s="1221" t="str">
        <f t="shared" si="7"/>
        <v/>
      </c>
      <c r="H44" s="1768" t="str">
        <f t="shared" si="8"/>
        <v/>
      </c>
      <c r="I44" s="1217" t="str">
        <f t="shared" si="9"/>
        <v/>
      </c>
      <c r="J44" s="1221" t="str">
        <f t="shared" si="10"/>
        <v/>
      </c>
      <c r="K44" s="1780" t="str">
        <f t="shared" si="11"/>
        <v/>
      </c>
      <c r="L44" s="1224" t="str">
        <f t="shared" si="12"/>
        <v/>
      </c>
      <c r="M44" s="1225" t="str">
        <f t="shared" si="13"/>
        <v/>
      </c>
      <c r="N44" s="1220" t="str">
        <f t="shared" si="14"/>
        <v/>
      </c>
      <c r="O44" s="1221" t="str">
        <f t="shared" si="15"/>
        <v/>
      </c>
      <c r="P44" s="1222" t="str">
        <f t="shared" si="16"/>
        <v/>
      </c>
      <c r="Q44" s="1217" t="str">
        <f t="shared" si="17"/>
        <v/>
      </c>
      <c r="R44" s="1221" t="str">
        <f t="shared" si="18"/>
        <v/>
      </c>
      <c r="S44" s="1223" t="str">
        <f t="shared" si="19"/>
        <v/>
      </c>
      <c r="T44" s="1226" t="str">
        <f t="shared" si="20"/>
        <v/>
      </c>
      <c r="U44" s="1221" t="str">
        <f t="shared" si="21"/>
        <v/>
      </c>
      <c r="V44" s="1217" t="str">
        <f t="shared" si="22"/>
        <v/>
      </c>
      <c r="W44" s="1221" t="str">
        <f t="shared" si="23"/>
        <v/>
      </c>
      <c r="X44" s="1225">
        <f t="shared" si="24"/>
        <v>0</v>
      </c>
      <c r="Y44" s="1770" t="str">
        <f t="shared" si="25"/>
        <v/>
      </c>
      <c r="Z44" s="1771" t="str">
        <f t="shared" si="26"/>
        <v/>
      </c>
      <c r="AA44" s="1772" t="str">
        <f t="shared" si="27"/>
        <v/>
      </c>
      <c r="AB44" s="1414"/>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5"/>
      <c r="BD44" s="733"/>
      <c r="BE44" s="734"/>
      <c r="BF44" s="735"/>
      <c r="BG44" s="672"/>
      <c r="BH44" s="982"/>
      <c r="BI44" s="983"/>
      <c r="BJ44" s="1626"/>
      <c r="BK44" s="713"/>
      <c r="BL44" s="714"/>
      <c r="BM44" s="715"/>
      <c r="BN44" s="716"/>
      <c r="BO44" s="672" t="str">
        <f>IF(ISERROR(CU44),"",IF(CU44="","",IF(VLOOKUP(BG44,SectInfo!$B:$N,10,FALSE)="","","X")))</f>
        <v/>
      </c>
      <c r="BP44" s="738"/>
      <c r="BQ44" s="1552" t="str">
        <f t="shared" si="48"/>
        <v/>
      </c>
      <c r="BR44" s="910"/>
      <c r="BS44" s="672"/>
      <c r="BT44" s="713"/>
      <c r="BU44" s="714"/>
      <c r="BV44" s="1626"/>
      <c r="BW44" s="713"/>
      <c r="BX44" s="714"/>
      <c r="BY44" s="715"/>
      <c r="BZ44" s="716"/>
      <c r="CA44" s="680" t="str">
        <f>IF(ISERROR(DE44),"",IF(DE44="","",IF(VLOOKUP(BS44,SectInfo!$B:$N,10,FALSE)="","","X")))</f>
        <v/>
      </c>
      <c r="CB44" s="738"/>
      <c r="CC44" s="1552"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7" t="str">
        <f>IF(BG44="","",IF(VLOOKUP(BG44,SectInfo!$B:$N,10,FALSE)="","",(IF(BO44="X",VLOOKUP(BG44,SectInfo!$B:$N,10,FALSE),VALUE(BO44))*-1)))</f>
        <v/>
      </c>
      <c r="CZ44" s="1123"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7" t="str">
        <f>IF(BS44="","",IF(VLOOKUP(BS44,SectInfo!$B:$N,10,FALSE)="","",(IF(CA44="X",VLOOKUP(BS44,SectInfo!$B:$N,10,FALSE),VALUE(CA44))*-1)))</f>
        <v/>
      </c>
      <c r="DJ44" s="1123"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4" t="str">
        <f t="shared" si="80"/>
        <v/>
      </c>
      <c r="EF44" s="1294" t="str">
        <f t="shared" si="81"/>
        <v/>
      </c>
      <c r="EG44" s="1294" t="str">
        <f t="shared" si="82"/>
        <v/>
      </c>
      <c r="EH44" s="856" t="e">
        <f t="shared" si="83"/>
        <v>#N/A</v>
      </c>
      <c r="EI44" s="856" t="e">
        <f t="shared" si="84"/>
        <v>#N/A</v>
      </c>
      <c r="EJ44" s="822" t="str">
        <f t="shared" si="85"/>
        <v/>
      </c>
      <c r="EK44" s="822" t="str">
        <f t="shared" si="85"/>
        <v/>
      </c>
      <c r="EL44" s="1294" t="str">
        <f t="shared" si="86"/>
        <v/>
      </c>
      <c r="EM44" s="822" t="str">
        <f t="shared" si="87"/>
        <v/>
      </c>
      <c r="EN44" s="822" t="str">
        <f t="shared" si="88"/>
        <v/>
      </c>
      <c r="EO44" s="856" t="e">
        <f t="shared" si="89"/>
        <v>#N/A</v>
      </c>
      <c r="EP44" s="856" t="e">
        <f t="shared" si="90"/>
        <v>#N/A</v>
      </c>
      <c r="EQ44" s="1294"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599" t="str">
        <f t="shared" si="115"/>
        <v/>
      </c>
      <c r="GB44" s="619" t="str">
        <f t="shared" si="116"/>
        <v/>
      </c>
      <c r="GC44" s="621" t="str">
        <f t="shared" si="117"/>
        <v/>
      </c>
      <c r="GD44" s="622" t="str">
        <f t="shared" si="118"/>
        <v/>
      </c>
      <c r="GE44" s="620" t="str">
        <f t="shared" si="119"/>
        <v/>
      </c>
      <c r="GF44" s="600" t="str">
        <f t="shared" si="120"/>
        <v/>
      </c>
      <c r="GG44" s="1131"/>
      <c r="GH44" s="1132"/>
      <c r="GI44" s="1131"/>
      <c r="GJ44" s="1132"/>
      <c r="GK44" s="1639">
        <f t="shared" si="121"/>
        <v>0</v>
      </c>
      <c r="GL44" s="1637" t="e">
        <f t="shared" si="122"/>
        <v>#VALUE!</v>
      </c>
      <c r="GM44" s="1638" t="e">
        <f>IF(ABS(GK44-GL44)&gt;='Job Info.'!$L$22,ABS(GK44-GL44),0)</f>
        <v>#VALUE!</v>
      </c>
      <c r="HA44" s="1270"/>
      <c r="HB44" s="1271"/>
      <c r="HC44" s="1271"/>
      <c r="HD44" s="1272"/>
      <c r="HE44" s="1273"/>
      <c r="HF44" s="1271"/>
      <c r="HG44" s="1271"/>
      <c r="HH44" s="1271"/>
      <c r="HI44" s="1274"/>
      <c r="HJ44" s="1271"/>
      <c r="HK44" s="1271"/>
      <c r="HL44" s="1271"/>
      <c r="HM44" s="1271"/>
      <c r="HN44" s="1271"/>
      <c r="HO44" s="1271"/>
      <c r="HP44" s="1271"/>
      <c r="HQ44" s="1274"/>
      <c r="HR44" s="1271"/>
      <c r="HS44" s="1271"/>
      <c r="HT44" s="1271"/>
      <c r="HU44" s="1271"/>
      <c r="HV44" s="1271"/>
      <c r="HW44" s="1273"/>
      <c r="HX44" s="1273"/>
      <c r="HY44" s="1273"/>
      <c r="HZ44" s="1273"/>
      <c r="IA44" s="1273"/>
      <c r="IB44" s="1273"/>
      <c r="IC44" s="1273"/>
      <c r="ID44" s="1273"/>
      <c r="IE44" s="1273"/>
      <c r="IF44" s="1275"/>
    </row>
    <row r="45" spans="1:240" ht="12.6" customHeight="1" thickBot="1" x14ac:dyDescent="0.3">
      <c r="A45" s="1711" t="str">
        <f>IF(BB45="","",UPPER(BB45))</f>
        <v/>
      </c>
      <c r="B45" s="1712" t="str">
        <f>IF(BC45="","",BC45)</f>
        <v/>
      </c>
      <c r="C45" s="1713" t="str">
        <f>IF(BD45="","",UPPER(BD45))</f>
        <v/>
      </c>
      <c r="D45" s="1714" t="str">
        <f>IF(DP45="","",TRUNC(DP45/12))</f>
        <v/>
      </c>
      <c r="E45" s="1715" t="str">
        <f>IF(DP45="","",DP45-(D45*12))</f>
        <v/>
      </c>
      <c r="F45" s="1723" t="str">
        <f>IF(DX45=0,"",TRUNC(DX45/12))</f>
        <v/>
      </c>
      <c r="G45" s="1718" t="str">
        <f>IF(DX45=0,"",DX45-(F45*12))</f>
        <v/>
      </c>
      <c r="H45" s="1774" t="str">
        <f>IF(DX45=0,"",CW45)</f>
        <v/>
      </c>
      <c r="I45" s="1714" t="str">
        <f>IF(ED45=0,"",TRUNC(ED45/12))</f>
        <v/>
      </c>
      <c r="J45" s="1718" t="str">
        <f>IF(ED45=0,"",ED45-(I45*12))</f>
        <v/>
      </c>
      <c r="K45" s="1781" t="str">
        <f>IF(ED45=0,"",DG45)</f>
        <v/>
      </c>
      <c r="L45" s="1721" t="str">
        <f>DQ45</f>
        <v/>
      </c>
      <c r="M45" s="1722" t="str">
        <f>DR45</f>
        <v/>
      </c>
      <c r="N45" s="1717" t="str">
        <f t="shared" si="14"/>
        <v/>
      </c>
      <c r="O45" s="1718" t="str">
        <f t="shared" si="15"/>
        <v/>
      </c>
      <c r="P45" s="1719" t="str">
        <f t="shared" si="16"/>
        <v/>
      </c>
      <c r="Q45" s="1714" t="str">
        <f t="shared" si="17"/>
        <v/>
      </c>
      <c r="R45" s="1718" t="str">
        <f t="shared" si="18"/>
        <v/>
      </c>
      <c r="S45" s="1720" t="str">
        <f t="shared" si="19"/>
        <v/>
      </c>
      <c r="T45" s="1723" t="str">
        <f t="shared" si="20"/>
        <v/>
      </c>
      <c r="U45" s="1718" t="str">
        <f t="shared" si="21"/>
        <v/>
      </c>
      <c r="V45" s="1714" t="str">
        <f t="shared" si="22"/>
        <v/>
      </c>
      <c r="W45" s="1718" t="str">
        <f t="shared" si="23"/>
        <v/>
      </c>
      <c r="X45" s="1722">
        <f>IF(EV45="",0,EV45)</f>
        <v>0</v>
      </c>
      <c r="Y45" s="1776" t="str">
        <f>FG45</f>
        <v/>
      </c>
      <c r="Z45" s="1777" t="str">
        <f>FL45</f>
        <v/>
      </c>
      <c r="AA45" s="1778" t="str">
        <f t="shared" si="27"/>
        <v/>
      </c>
      <c r="AB45" s="1414"/>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6"/>
      <c r="BD45" s="807"/>
      <c r="BE45" s="808"/>
      <c r="BF45" s="809"/>
      <c r="BG45" s="681"/>
      <c r="BH45" s="985"/>
      <c r="BI45" s="986"/>
      <c r="BJ45" s="1627"/>
      <c r="BK45" s="718"/>
      <c r="BL45" s="719"/>
      <c r="BM45" s="720"/>
      <c r="BN45" s="721"/>
      <c r="BO45" s="681" t="str">
        <f>IF(ISERROR(CU45),"",IF(CU45="","",IF(VLOOKUP(BG45,SectInfo!$B:$N,10,FALSE)="","","X")))</f>
        <v/>
      </c>
      <c r="BP45" s="741"/>
      <c r="BQ45" s="1553" t="str">
        <f t="shared" si="48"/>
        <v/>
      </c>
      <c r="BR45" s="911"/>
      <c r="BS45" s="681"/>
      <c r="BT45" s="718"/>
      <c r="BU45" s="719"/>
      <c r="BV45" s="1627"/>
      <c r="BW45" s="718"/>
      <c r="BX45" s="719"/>
      <c r="BY45" s="720"/>
      <c r="BZ45" s="721"/>
      <c r="CA45" s="689" t="str">
        <f>IF(ISERROR(DE45),"",IF(DE45="","",IF(VLOOKUP(BS45,SectInfo!$B:$N,10,FALSE)="","","X")))</f>
        <v/>
      </c>
      <c r="CB45" s="741"/>
      <c r="CC45" s="1553"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7" t="str">
        <f>IF(BG45="","",IF(VLOOKUP(BG45,SectInfo!$B:$N,10,FALSE)="","",(IF(BO45="X",VLOOKUP(BG45,SectInfo!$B:$N,10,FALSE),VALUE(BO45))*-1)))</f>
        <v/>
      </c>
      <c r="CZ45" s="1123"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7" t="str">
        <f>IF(BS45="","",IF(VLOOKUP(BS45,SectInfo!$B:$N,10,FALSE)="","",(IF(CA45="X",VLOOKUP(BS45,SectInfo!$B:$N,10,FALSE),VALUE(CA45))*-1)))</f>
        <v/>
      </c>
      <c r="DJ45" s="1123"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4" t="str">
        <f t="shared" si="80"/>
        <v/>
      </c>
      <c r="EF45" s="1294" t="str">
        <f t="shared" si="81"/>
        <v/>
      </c>
      <c r="EG45" s="1294" t="str">
        <f t="shared" si="82"/>
        <v/>
      </c>
      <c r="EH45" s="856" t="e">
        <f t="shared" si="83"/>
        <v>#N/A</v>
      </c>
      <c r="EI45" s="856" t="e">
        <f t="shared" si="84"/>
        <v>#N/A</v>
      </c>
      <c r="EJ45" s="822" t="str">
        <f t="shared" si="85"/>
        <v/>
      </c>
      <c r="EK45" s="822" t="str">
        <f t="shared" si="85"/>
        <v/>
      </c>
      <c r="EL45" s="1294" t="str">
        <f t="shared" si="86"/>
        <v/>
      </c>
      <c r="EM45" s="822" t="str">
        <f t="shared" si="87"/>
        <v/>
      </c>
      <c r="EN45" s="822" t="str">
        <f t="shared" si="88"/>
        <v/>
      </c>
      <c r="EO45" s="856" t="e">
        <f t="shared" si="89"/>
        <v>#N/A</v>
      </c>
      <c r="EP45" s="856" t="e">
        <f t="shared" si="90"/>
        <v>#N/A</v>
      </c>
      <c r="EQ45" s="1294"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599" t="str">
        <f t="shared" si="115"/>
        <v/>
      </c>
      <c r="GB45" s="619" t="str">
        <f t="shared" si="116"/>
        <v/>
      </c>
      <c r="GC45" s="621" t="str">
        <f t="shared" si="117"/>
        <v/>
      </c>
      <c r="GD45" s="622" t="str">
        <f t="shared" si="118"/>
        <v/>
      </c>
      <c r="GE45" s="620" t="str">
        <f t="shared" si="119"/>
        <v/>
      </c>
      <c r="GF45" s="600" t="str">
        <f t="shared" si="120"/>
        <v/>
      </c>
      <c r="GG45" s="1133"/>
      <c r="GH45" s="1134"/>
      <c r="GI45" s="1133"/>
      <c r="GJ45" s="1134"/>
      <c r="GK45" s="1639">
        <f t="shared" si="121"/>
        <v>0</v>
      </c>
      <c r="GL45" s="1637" t="e">
        <f t="shared" si="122"/>
        <v>#VALUE!</v>
      </c>
      <c r="GM45" s="1638" t="e">
        <f>IF(ABS(GK45-GL45)&gt;='Job Info.'!$L$22,ABS(GK45-GL45),0)</f>
        <v>#VALUE!</v>
      </c>
      <c r="HA45" s="1276"/>
      <c r="HB45" s="1277"/>
      <c r="HC45" s="1277"/>
      <c r="HD45" s="1278"/>
      <c r="HE45" s="1279"/>
      <c r="HF45" s="1277"/>
      <c r="HG45" s="1277"/>
      <c r="HH45" s="1277"/>
      <c r="HI45" s="1280"/>
      <c r="HJ45" s="1277"/>
      <c r="HK45" s="1277"/>
      <c r="HL45" s="1277"/>
      <c r="HM45" s="1277"/>
      <c r="HN45" s="1277"/>
      <c r="HO45" s="1277"/>
      <c r="HP45" s="1277"/>
      <c r="HQ45" s="1280"/>
      <c r="HR45" s="1277"/>
      <c r="HS45" s="1277"/>
      <c r="HT45" s="1277"/>
      <c r="HU45" s="1277"/>
      <c r="HV45" s="1277"/>
      <c r="HW45" s="1279"/>
      <c r="HX45" s="1279"/>
      <c r="HY45" s="1279"/>
      <c r="HZ45" s="1279"/>
      <c r="IA45" s="1279"/>
      <c r="IB45" s="1279"/>
      <c r="IC45" s="1279"/>
      <c r="ID45" s="1279"/>
      <c r="IE45" s="1279"/>
      <c r="IF45" s="1281"/>
    </row>
    <row r="46" spans="1:240" ht="15" customHeight="1" thickTop="1" thickBot="1" x14ac:dyDescent="0.25">
      <c r="A46" s="1147"/>
      <c r="B46" s="1147"/>
      <c r="C46" s="1147"/>
      <c r="D46" s="1147"/>
      <c r="E46" s="1147"/>
      <c r="F46" s="1147"/>
      <c r="G46" s="1147"/>
      <c r="H46" s="1147"/>
      <c r="I46" s="1147"/>
      <c r="J46" s="1147"/>
      <c r="K46" s="1147"/>
      <c r="L46" s="1147"/>
      <c r="M46" s="1147"/>
      <c r="N46" s="1147"/>
      <c r="O46" s="1147"/>
      <c r="P46" s="1147"/>
      <c r="Q46" s="1147"/>
      <c r="R46" s="1147"/>
      <c r="S46" s="1147"/>
      <c r="T46" s="1147"/>
      <c r="U46" s="1147"/>
      <c r="V46" s="1147"/>
      <c r="W46" s="1147"/>
      <c r="X46" s="1147"/>
      <c r="Y46" s="1147"/>
      <c r="Z46" s="1147"/>
      <c r="AA46" s="1147"/>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5"/>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27"/>
      <c r="CQ57" s="2428"/>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1"/>
      <c r="GH57" s="1132"/>
      <c r="GI57" s="1131"/>
      <c r="GJ57" s="1132"/>
    </row>
    <row r="58" spans="1:192" ht="15" hidden="1" customHeight="1" x14ac:dyDescent="0.2">
      <c r="AA58" s="1146"/>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30" t="s">
        <v>524</v>
      </c>
      <c r="EM71" s="2431"/>
      <c r="EN71" s="2431"/>
      <c r="EO71" s="2432"/>
    </row>
    <row r="72" spans="1:145" ht="15" customHeight="1" thickBot="1" x14ac:dyDescent="0.25">
      <c r="EL72" s="2455" t="s">
        <v>535</v>
      </c>
      <c r="EM72" s="2458" t="s">
        <v>536</v>
      </c>
      <c r="EN72" s="2458" t="s">
        <v>537</v>
      </c>
      <c r="EO72" s="2461" t="s">
        <v>538</v>
      </c>
    </row>
    <row r="73" spans="1:145" ht="15" customHeight="1" thickBot="1" x14ac:dyDescent="0.25">
      <c r="EJ73" s="2462" t="s">
        <v>542</v>
      </c>
      <c r="EL73" s="2456"/>
      <c r="EM73" s="2459"/>
      <c r="EN73" s="2459"/>
      <c r="EO73" s="2366"/>
    </row>
    <row r="74" spans="1:145" ht="15" customHeight="1" thickBot="1" x14ac:dyDescent="0.25">
      <c r="EJ74" s="2463"/>
      <c r="EL74" s="2457"/>
      <c r="EM74" s="2460"/>
      <c r="EN74" s="2460"/>
      <c r="EO74" s="2367"/>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 ref="ED14:ED15"/>
    <mergeCell ref="DX14:DX15"/>
    <mergeCell ref="DP14:DP15"/>
    <mergeCell ref="DW14:DW15"/>
    <mergeCell ref="DS14:DS15"/>
    <mergeCell ref="DV14:DV15"/>
    <mergeCell ref="DR14:DR15"/>
    <mergeCell ref="DT14:DU14"/>
    <mergeCell ref="DQ14:DQ15"/>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AU13:AU15"/>
    <mergeCell ref="P2:S3"/>
    <mergeCell ref="P4:S4"/>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s>
  <phoneticPr fontId="0" type="noConversion"/>
  <conditionalFormatting sqref="EF57">
    <cfRule type="cellIs" dxfId="1098" priority="650" stopIfTrue="1" operator="notEqual">
      <formula>$EG57</formula>
    </cfRule>
  </conditionalFormatting>
  <conditionalFormatting sqref="EM57">
    <cfRule type="cellIs" dxfId="1097" priority="651" stopIfTrue="1" operator="notEqual">
      <formula>$EN57</formula>
    </cfRule>
  </conditionalFormatting>
  <conditionalFormatting sqref="P2:S4">
    <cfRule type="cellIs" dxfId="1096" priority="760" stopIfTrue="1" operator="equal">
      <formula>""</formula>
    </cfRule>
  </conditionalFormatting>
  <conditionalFormatting sqref="EF16:EF45">
    <cfRule type="cellIs" dxfId="1095" priority="610" stopIfTrue="1" operator="notEqual">
      <formula>$EG16</formula>
    </cfRule>
  </conditionalFormatting>
  <conditionalFormatting sqref="CC7">
    <cfRule type="expression" dxfId="1094" priority="374" stopIfTrue="1">
      <formula>ISBLANK($CC$7)</formula>
    </cfRule>
  </conditionalFormatting>
  <conditionalFormatting sqref="CC6">
    <cfRule type="expression" dxfId="1093" priority="373" stopIfTrue="1">
      <formula>ISBLANK($CC$6)</formula>
    </cfRule>
  </conditionalFormatting>
  <conditionalFormatting sqref="M7">
    <cfRule type="expression" dxfId="1092" priority="371" stopIfTrue="1">
      <formula>OR(ISBLANK($M$7),$M$7="")</formula>
    </cfRule>
    <cfRule type="expression" dxfId="1091" priority="372" stopIfTrue="1">
      <formula>NOT(OR(COUNTIF(masterFinishList, $M$7) &gt; 0, COUNTIF($M$7, "Other:*") &gt; 0))</formula>
    </cfRule>
  </conditionalFormatting>
  <conditionalFormatting sqref="BD16:BD45">
    <cfRule type="expression" dxfId="1090" priority="251">
      <formula>AND(NOT($AY16),NOT($AP16))</formula>
    </cfRule>
  </conditionalFormatting>
  <conditionalFormatting sqref="C16:C45">
    <cfRule type="expression" dxfId="1089" priority="186">
      <formula>AND(NOT($AY16),NOT($AP16))</formula>
    </cfRule>
  </conditionalFormatting>
  <conditionalFormatting sqref="X16:X45">
    <cfRule type="expression" dxfId="1088" priority="53">
      <formula>$X16=0</formula>
    </cfRule>
  </conditionalFormatting>
  <conditionalFormatting sqref="CG16:CG45">
    <cfRule type="expression" dxfId="1087" priority="673">
      <formula>OR(CH16&lt;&gt;"",CI16&lt;&gt;"",CJ16&lt;&gt;"",CK16&lt;&gt;"",CL16&lt;&gt;"",CM16&lt;&gt;"",CP16&lt;&gt;"",CQ16&lt;&gt;"")</formula>
    </cfRule>
  </conditionalFormatting>
  <conditionalFormatting sqref="BE16:BF45">
    <cfRule type="expression" dxfId="1086" priority="985">
      <formula>AND(NOT($AY16),AND($AZ16,AND($AK16&lt;&gt;"HDR",$AK16&lt;&gt;"JS",$AJ16&gt;=8)))</formula>
    </cfRule>
  </conditionalFormatting>
  <conditionalFormatting sqref="D16:E45">
    <cfRule type="expression" dxfId="1085" priority="223">
      <formula>AND(NOT($AY16),AND($AZ16,AND($AK16&lt;&gt;"HDR",$AK16&lt;&gt;"JS",$AJ16&gt;=8)))</formula>
    </cfRule>
  </conditionalFormatting>
  <conditionalFormatting sqref="AA12">
    <cfRule type="expression" dxfId="1084" priority="159">
      <formula>OR(ISBLANK(AA12),AA12="")</formula>
    </cfRule>
  </conditionalFormatting>
  <conditionalFormatting sqref="A16:S45 X16:AA45 BB16:CD45">
    <cfRule type="expression" dxfId="1083" priority="1147">
      <formula>$AC16</formula>
    </cfRule>
  </conditionalFormatting>
  <conditionalFormatting sqref="BG16:BG45">
    <cfRule type="expression" dxfId="1082" priority="54">
      <formula>AND(NOT($AY16),ISERROR(CU16))</formula>
    </cfRule>
    <cfRule type="expression" dxfId="1081" priority="92">
      <formula>AND(NOT($AY16),OR(CP16&lt;&gt;"", CU16=""))</formula>
    </cfRule>
  </conditionalFormatting>
  <conditionalFormatting sqref="BH16:BH45">
    <cfRule type="expression" dxfId="1080" priority="80">
      <formula>AND(NOT($AY16),OR($CU16="M",$CU16="C",AND($CU16="B",$DC16&gt;0)))</formula>
    </cfRule>
    <cfRule type="expression" dxfId="1079" priority="81">
      <formula>AND(NOT($AY16),AND(BH16="",BI16="",OR($CU16="B",$CU16="G")))</formula>
    </cfRule>
    <cfRule type="expression" dxfId="1078" priority="82">
      <formula>AND(NOT($AY16),(BH16/2)/COS(RADIANS(BM16))+CV16-DW16&lt;VLOOKUP(AU16,$DF$2:$DJ$9,5,FALSE))</formula>
    </cfRule>
  </conditionalFormatting>
  <conditionalFormatting sqref="BI16:BI45">
    <cfRule type="expression" dxfId="1077" priority="89">
      <formula>AND(NOT($AY16),OR($CU16="M",$CU16="C",AND($CU16="B",$DC16&gt;0)))</formula>
    </cfRule>
    <cfRule type="expression" dxfId="1076" priority="90">
      <formula>AND(NOT($AY16),AND(BH16="",BI16="",OR($CU16="B",$CU16="G")))</formula>
    </cfRule>
    <cfRule type="expression" dxfId="1075" priority="91">
      <formula>AND(NOT($AY16),(BI16/2)/COS(RADIANS(BM16))+CV16-DW16&lt;VLOOKUP(AU16,$DF$2:$DJ$9,5,FALSE))</formula>
    </cfRule>
  </conditionalFormatting>
  <conditionalFormatting sqref="BK16:BK45">
    <cfRule type="expression" dxfId="1074" priority="68">
      <formula>AND(NOT($AY16),OR($CU16="M",$CU16="C",AND($CU16="B",$DA16&lt;&gt;"")))</formula>
    </cfRule>
    <cfRule type="expression" dxfId="1073" priority="69">
      <formula>AND(NOT($AY16),AND(BJ16="X",BK16="",BL16=""))</formula>
    </cfRule>
    <cfRule type="expression" dxfId="1072" priority="70">
      <formula>AND(NOT($AY16),EZ16="ERR")</formula>
    </cfRule>
  </conditionalFormatting>
  <conditionalFormatting sqref="BL16:BL45">
    <cfRule type="expression" dxfId="1071" priority="71">
      <formula>AND(NOT($AY16),OR($CU16="M",$CU16="C",AND($CU16="B",$DA16&lt;&gt;"")))</formula>
    </cfRule>
    <cfRule type="expression" dxfId="1070" priority="72">
      <formula>AND(NOT($AY16),AND(BJ16="X",BK16="",BL16=""))</formula>
    </cfRule>
    <cfRule type="expression" dxfId="1069" priority="73">
      <formula>AND(NOT($AY16),EZ16="ERR")</formula>
    </cfRule>
  </conditionalFormatting>
  <conditionalFormatting sqref="A16:B45 BB16:BC45">
    <cfRule type="expression" dxfId="1068" priority="105">
      <formula>AND(NOT($AE$1),$B16=0,$AD$1="M")</formula>
    </cfRule>
  </conditionalFormatting>
  <conditionalFormatting sqref="AA16:AA45">
    <cfRule type="expression" dxfId="1067" priority="34">
      <formula>AND(NOT($AY16),LEN(AA16)&gt;31)</formula>
    </cfRule>
  </conditionalFormatting>
  <conditionalFormatting sqref="GA16:GB45">
    <cfRule type="expression" dxfId="1066" priority="32" stopIfTrue="1">
      <formula>$GM16&gt;=0.125</formula>
    </cfRule>
  </conditionalFormatting>
  <conditionalFormatting sqref="BO16:BO45">
    <cfRule type="expression" dxfId="1065" priority="27">
      <formula>AND(BO16="X",CY16="")</formula>
    </cfRule>
    <cfRule type="expression" dxfId="1064" priority="28">
      <formula>AND(BO16="",CY16&lt;&gt;"")</formula>
    </cfRule>
  </conditionalFormatting>
  <conditionalFormatting sqref="CA16:CA45">
    <cfRule type="expression" dxfId="1063" priority="29">
      <formula>AND(CA16="X",DI16="")</formula>
    </cfRule>
    <cfRule type="expression" dxfId="1062" priority="30">
      <formula>AND(CA16="",DI16&lt;&gt;"")</formula>
    </cfRule>
  </conditionalFormatting>
  <conditionalFormatting sqref="CE16:CG45">
    <cfRule type="expression" dxfId="1061" priority="31">
      <formula>$AC16</formula>
    </cfRule>
  </conditionalFormatting>
  <conditionalFormatting sqref="EM16:EM45">
    <cfRule type="cellIs" dxfId="1060" priority="26" stopIfTrue="1" operator="notEqual">
      <formula>$EN16</formula>
    </cfRule>
  </conditionalFormatting>
  <conditionalFormatting sqref="U16:U45">
    <cfRule type="expression" dxfId="1059" priority="22">
      <formula>AND(NOT($AY16),NOT(AR16),$P16&lt;&gt;3)</formula>
    </cfRule>
  </conditionalFormatting>
  <conditionalFormatting sqref="W16:W45">
    <cfRule type="expression" dxfId="1058" priority="24">
      <formula>AND(NOT($AY16),NOT(AT16),$S16&lt;&gt;3)</formula>
    </cfRule>
  </conditionalFormatting>
  <conditionalFormatting sqref="T16:T45">
    <cfRule type="expression" dxfId="1057" priority="21">
      <formula>AND(NOT($AY16),NOT(AR16),$P16&lt;&gt;3)</formula>
    </cfRule>
  </conditionalFormatting>
  <conditionalFormatting sqref="V16:V45">
    <cfRule type="expression" dxfId="1056" priority="23">
      <formula>AND(NOT($AY16),NOT(AT16),$S16&lt;&gt;3)</formula>
    </cfRule>
  </conditionalFormatting>
  <conditionalFormatting sqref="T16:W45">
    <cfRule type="expression" dxfId="1055" priority="25">
      <formula>$AC16</formula>
    </cfRule>
  </conditionalFormatting>
  <conditionalFormatting sqref="C57">
    <cfRule type="expression" dxfId="1054" priority="13">
      <formula>AND(NOT($AY57),NOT($AP57))</formula>
    </cfRule>
  </conditionalFormatting>
  <conditionalFormatting sqref="X57">
    <cfRule type="expression" dxfId="1053" priority="11">
      <formula>$X57=0</formula>
    </cfRule>
  </conditionalFormatting>
  <conditionalFormatting sqref="D57:E57">
    <cfRule type="expression" dxfId="1052" priority="14">
      <formula>AND(NOT($AY57),AND($AZ57,AND($AK57&lt;&gt;"HDR",$AK57&lt;&gt;"JS",$AJ57&gt;=8)))</formula>
    </cfRule>
  </conditionalFormatting>
  <conditionalFormatting sqref="A57:S57 X57:AA57">
    <cfRule type="expression" dxfId="1051" priority="15">
      <formula>$AC57</formula>
    </cfRule>
  </conditionalFormatting>
  <conditionalFormatting sqref="A57:B57">
    <cfRule type="expression" dxfId="1050" priority="12">
      <formula>AND(NOT($AE$1),$B57=0,$AD$1="M")</formula>
    </cfRule>
  </conditionalFormatting>
  <conditionalFormatting sqref="AA57">
    <cfRule type="expression" dxfId="1049" priority="10">
      <formula>AND(NOT($AY57),LEN(AA57)&gt;31)</formula>
    </cfRule>
  </conditionalFormatting>
  <conditionalFormatting sqref="U57">
    <cfRule type="expression" dxfId="1048" priority="6">
      <formula>AND(NOT($AY57),NOT(AR57),$P57&lt;&gt;3)</formula>
    </cfRule>
  </conditionalFormatting>
  <conditionalFormatting sqref="W57">
    <cfRule type="expression" dxfId="1047" priority="8">
      <formula>AND(NOT($AY57),NOT(AT57),$S57&lt;&gt;3)</formula>
    </cfRule>
  </conditionalFormatting>
  <conditionalFormatting sqref="T57">
    <cfRule type="expression" dxfId="1046" priority="5">
      <formula>AND(NOT($AY57),NOT(AR57),$P57&lt;&gt;3)</formula>
    </cfRule>
  </conditionalFormatting>
  <conditionalFormatting sqref="V57">
    <cfRule type="expression" dxfId="1045" priority="7">
      <formula>AND(NOT($AY57),NOT(AT57),$S57&lt;&gt;3)</formula>
    </cfRule>
  </conditionalFormatting>
  <conditionalFormatting sqref="T57:W57">
    <cfRule type="expression" dxfId="1044" priority="9">
      <formula>$AC57</formula>
    </cfRule>
  </conditionalFormatting>
  <conditionalFormatting sqref="BQ16:BQ45">
    <cfRule type="expression" dxfId="1043" priority="3">
      <formula>CP16&lt;&gt;""</formula>
    </cfRule>
  </conditionalFormatting>
  <conditionalFormatting sqref="CC16:CC45">
    <cfRule type="expression" dxfId="1042" priority="2">
      <formula>CQ16&lt;&gt;""</formula>
    </cfRule>
  </conditionalFormatting>
  <conditionalFormatting sqref="BS16:BS45">
    <cfRule type="expression" dxfId="1041" priority="1466">
      <formula>AND(NOT($AY16),ISERROR(DE16))</formula>
    </cfRule>
    <cfRule type="expression" dxfId="1040" priority="1467">
      <formula>AND(NOT($AY16),OR(DE16="", CQ16&lt;&gt;""))</formula>
    </cfRule>
  </conditionalFormatting>
  <conditionalFormatting sqref="BW16:BW45">
    <cfRule type="expression" dxfId="1039" priority="1518">
      <formula>AND(NOT($AY16),OR($DE16="M",$DE16="C",AND($DE16="B",$DK16&lt;&gt;"")))</formula>
    </cfRule>
    <cfRule type="expression" dxfId="1038" priority="1519">
      <formula>AND(NOT($AY16),AND(BV16="X",BW16="",BX16=""))</formula>
    </cfRule>
    <cfRule type="expression" dxfId="1037" priority="1520">
      <formula>AND(NOT($AY16),FC16="ERR")</formula>
    </cfRule>
  </conditionalFormatting>
  <conditionalFormatting sqref="BX16:BX45">
    <cfRule type="expression" dxfId="1036" priority="1521">
      <formula>AND(NOT($AY16),OR($DE16="M",$DE16="C",AND($DE16="B",$DK16&lt;&gt;"")))</formula>
    </cfRule>
    <cfRule type="expression" dxfId="1035" priority="1522">
      <formula>AND(NOT($AY16),AND(BV16="X",BW16="",BX16=""))</formula>
    </cfRule>
    <cfRule type="expression" dxfId="1034" priority="1523">
      <formula>AND(NOT($AY16),FC16="ERR")</formula>
    </cfRule>
  </conditionalFormatting>
  <conditionalFormatting sqref="BT16:BT45">
    <cfRule type="expression" dxfId="1033" priority="1524">
      <formula>AND(NOT($AY16),OR($DE16="M",$DE16="C",AND($DE16="B",$DM16&gt;0)))</formula>
    </cfRule>
    <cfRule type="expression" dxfId="1032" priority="1525">
      <formula>AND(NOT($AY16),AND(BT16="",BU16="",OR($DE16="B",$DE16="G")))</formula>
    </cfRule>
    <cfRule type="expression" dxfId="1031" priority="1526">
      <formula>AND(NOT($AY16),(BT16/2)/COS(RADIANS(BY16))+DF16-EC16&lt;VLOOKUP(AU16,$DF$2:$DJ$9,5,FALSE))</formula>
    </cfRule>
  </conditionalFormatting>
  <conditionalFormatting sqref="BU16:BU45">
    <cfRule type="expression" dxfId="1030" priority="1527">
      <formula>AND(NOT($AY16),OR($DE16="M",$DE16="C",AND($DE16="B",$DM16&gt;0)))</formula>
    </cfRule>
    <cfRule type="expression" dxfId="1029" priority="1528">
      <formula>AND(NOT($AY16),AND(BT16="",BU16="",OR($DE16="B",$DE16="G")))</formula>
    </cfRule>
    <cfRule type="expression" dxfId="1028" priority="1529">
      <formula>AND(NOT($AY16),(BU16/2)/COS(RADIANS(BY16))+DF16-EC16&lt;VLOOKUP(AU16,$DF$2:$DJ$9,5,FALSE))</formula>
    </cfRule>
  </conditionalFormatting>
  <conditionalFormatting sqref="BZ16:BZ45 BN16:BN45">
    <cfRule type="expression" dxfId="1027" priority="1550">
      <formula>AND(NOT($AY16),AND(ISBLANK(BN16),AND(NOT(ISBLANK(BM16)),$CE16&lt;&gt;0)))</formula>
    </cfRule>
  </conditionalFormatting>
  <conditionalFormatting sqref="BJ16:BJ45">
    <cfRule type="expression" dxfId="1026" priority="1554">
      <formula>AND(NOT($AY16),OR($CU16="C",AND($CU16="M",$DA16&gt;0)))</formula>
    </cfRule>
    <cfRule type="expression" dxfId="1025" priority="1555">
      <formula>AND(NOT($AY16),OR(NOT(IF(AND(OR(MID($BB16,1,1)="T",($BE16+$BF16/12)/IF(ABS($CE16)&gt;$DQ$1,COS($DO16),1)&gt;=40),OR($CU16="B",$CU16="G")),"X","")="X"),$EZ16="ERR"))</formula>
    </cfRule>
    <cfRule type="expression" dxfId="1024" priority="1556">
      <formula>AND(NOT($AY16),$BJ16&lt;&gt;"X",$BJ16&lt;&gt;IF(AND(OR(MID(BB16,1,1)="T",($BE16+$BF16/12)/IF(ABS($CE16)&gt;$DQ$1,COS($DO16),1)&gt;=40),OR($CU16="B",$CU16="G")),"X",""))</formula>
    </cfRule>
  </conditionalFormatting>
  <conditionalFormatting sqref="BV16:BV45">
    <cfRule type="expression" dxfId="1023" priority="1569">
      <formula>AND(NOT($AY16),OR($DE16="C",AND($DE16="M",$DK16&gt;0)))</formula>
    </cfRule>
    <cfRule type="expression" dxfId="1022" priority="1570">
      <formula>AND(NOT($AY16),OR(NOT(IF(AND(OR(MID($BB16,1,1)="T",($BE16+$BF16/12)/IF(ABS($CE16)&gt;$DQ$1,COS($DO16),1)&gt;=40),OR($DE16="B",$DE16="G")),"X","")="X"),$FC16="ERR"))</formula>
    </cfRule>
    <cfRule type="expression" dxfId="1021" priority="1571">
      <formula>AND(NOT($AY16),$BV16&lt;&gt;"X",$BV16&lt;&gt;IF(AND(OR(MID(BB16,1,1)="T",($BE16+$BF16/12)/IF(ABS($CE16)&gt;$DQ$1,COS($DO16),1)&gt;=40),OR($DE16="B",$DE16="G")),"X",""))</formula>
    </cfRule>
  </conditionalFormatting>
  <conditionalFormatting sqref="GA57:GB57">
    <cfRule type="expression" dxfId="102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02" t="str">
        <f>IF(R1="","",VLOOKUP(R1,'Job Info.'!X:AA,4,FALSE))</f>
        <v>Master</v>
      </c>
      <c r="K1" s="1802"/>
      <c r="L1" s="180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07" t="str">
        <f>IF(R1="","",IF(VLOOKUP(R1,'Job Info.'!X:Z,2,FALSE),"Released for Fabrication",""))</f>
        <v/>
      </c>
      <c r="K2" s="1808"/>
      <c r="L2" s="180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10"/>
      <c r="K3" s="1811"/>
      <c r="L3" s="181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13" t="str">
        <f>IF(R1="","",IF(VLOOKUP(R1,'Job Info.'!X:Z,2,FALSE),VLOOKUP(R1,'Job Info.'!X:Z,3,FALSE),""))</f>
        <v/>
      </c>
      <c r="K4" s="1814"/>
      <c r="L4" s="181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18" t="str">
        <f ca="1">'Job Info.'!D11</f>
        <v>8200 Woolery Way | Fallon, NV 89406 | www.newmill.com</v>
      </c>
      <c r="B5" s="2358"/>
      <c r="C5" s="2358"/>
      <c r="D5" s="2358"/>
      <c r="E5" s="2358"/>
      <c r="F5" s="2358"/>
      <c r="G5" s="2358"/>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75">
        <f>IF(ISBLANK('Job Info.'!D8),"",'Job Info.'!D8)</f>
        <v>44909</v>
      </c>
      <c r="P6" s="2475"/>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485"/>
      <c r="J7" s="2486"/>
      <c r="K7" s="2486"/>
      <c r="L7" s="1971"/>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82" t="str">
        <f>IF(I7="NO PAINT - GALV","GALV. BOLTS","")</f>
        <v/>
      </c>
      <c r="J8" s="2482"/>
      <c r="K8" s="2482"/>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796" t="str">
        <f>IF(ISBLANK('Job Info.'!D3),"",'Job Info.'!D3)</f>
        <v>SUNCAP CHEYENNE&amp;COMMERCE BLDG A&amp;B PP</v>
      </c>
      <c r="D9" s="1796"/>
      <c r="E9" s="1796"/>
      <c r="F9" s="1796"/>
      <c r="G9" s="1859"/>
      <c r="H9" s="468"/>
      <c r="I9" s="458" t="s">
        <v>2</v>
      </c>
      <c r="J9" s="1796" t="str">
        <f>IF(ISBLANK('Job Info.'!D5),"",'Job Info.'!D5)</f>
        <v>9122-0050</v>
      </c>
      <c r="K9" s="1796"/>
      <c r="L9" s="1796"/>
      <c r="M9" s="1796"/>
      <c r="N9" s="1796"/>
      <c r="O9" s="1796"/>
      <c r="P9" s="1797"/>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796" t="str">
        <f>IF(ISBLANK('Job Info.'!D4),"",'Job Info.'!D4)</f>
        <v>LAS VEGAS, NV</v>
      </c>
      <c r="D10" s="1796"/>
      <c r="E10" s="1796"/>
      <c r="F10" s="1796"/>
      <c r="G10" s="1859"/>
      <c r="H10" s="468"/>
      <c r="I10" s="471" t="s">
        <v>22</v>
      </c>
      <c r="J10" s="1796" t="str">
        <f>IF(ISBLANK('Job Info.'!D6),"",'Job Info.'!D6)</f>
        <v>SA</v>
      </c>
      <c r="K10" s="1796"/>
      <c r="L10" s="1797"/>
      <c r="M10" s="469"/>
      <c r="N10" s="458" t="s">
        <v>23</v>
      </c>
      <c r="O10" s="1796" t="str">
        <f>IF(ISBLANK('Job Info.'!D7),"",'Job Info.'!D7)</f>
        <v>NR</v>
      </c>
      <c r="P10" s="1797"/>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83"/>
      <c r="B12" s="2483"/>
      <c r="C12" s="2483"/>
      <c r="D12" s="2483"/>
      <c r="E12" s="2483"/>
      <c r="F12" s="1110"/>
      <c r="G12" s="1109"/>
      <c r="H12" s="24"/>
      <c r="I12" s="24"/>
      <c r="J12" s="24"/>
      <c r="K12" s="24"/>
      <c r="L12" s="25"/>
      <c r="M12" s="2483"/>
      <c r="N12" s="2483"/>
      <c r="O12" s="25"/>
      <c r="P12" s="19"/>
      <c r="GZ12" s="245"/>
      <c r="HW12" s="1286"/>
      <c r="HY12" s="245"/>
      <c r="HZ12" s="245"/>
      <c r="IA12" s="245"/>
      <c r="IB12" s="245"/>
      <c r="IC12" s="245"/>
    </row>
    <row r="13" spans="1:237" ht="12.6" customHeight="1" x14ac:dyDescent="0.25">
      <c r="A13" s="26"/>
      <c r="B13" s="26"/>
      <c r="C13" s="26"/>
      <c r="D13" s="1110"/>
      <c r="E13" s="1110"/>
      <c r="F13" s="1110"/>
      <c r="G13" s="1110"/>
      <c r="H13" s="1110"/>
      <c r="I13" s="1110"/>
      <c r="J13" s="1110"/>
      <c r="K13" s="1110"/>
      <c r="L13" s="25"/>
      <c r="M13" s="25"/>
      <c r="N13" s="25"/>
      <c r="O13" s="25"/>
      <c r="P13" s="19"/>
      <c r="GZ13" s="245"/>
      <c r="HW13" s="1286"/>
      <c r="HY13" s="245"/>
      <c r="HZ13" s="245"/>
      <c r="IA13" s="245"/>
      <c r="IB13" s="245"/>
      <c r="IC13" s="245"/>
    </row>
    <row r="14" spans="1:237" ht="12.6" customHeight="1" x14ac:dyDescent="0.25">
      <c r="A14" s="25"/>
      <c r="B14" s="26"/>
      <c r="C14" s="26"/>
      <c r="D14" s="1110"/>
      <c r="E14" s="1110"/>
      <c r="F14" s="1110"/>
      <c r="G14" s="1110"/>
      <c r="H14" s="1110"/>
      <c r="I14" s="1110"/>
      <c r="J14" s="1110"/>
      <c r="K14" s="1110"/>
      <c r="L14" s="25"/>
      <c r="M14" s="25"/>
      <c r="N14" s="25"/>
      <c r="O14" s="25"/>
      <c r="P14" s="19"/>
      <c r="GZ14" s="245"/>
      <c r="HW14" s="1286"/>
      <c r="IC14" s="245"/>
    </row>
    <row r="15" spans="1:237" ht="12.6" customHeight="1" x14ac:dyDescent="0.25">
      <c r="A15" s="26"/>
      <c r="B15" s="26"/>
      <c r="C15" s="26"/>
      <c r="D15" s="25"/>
      <c r="E15" s="1110"/>
      <c r="F15" s="1110"/>
      <c r="G15" s="1110"/>
      <c r="H15" s="1110"/>
      <c r="I15" s="1110"/>
      <c r="J15" s="1110"/>
      <c r="K15" s="1110"/>
      <c r="L15" s="25"/>
      <c r="M15" s="25"/>
      <c r="N15" s="25"/>
      <c r="O15" s="25"/>
      <c r="P15" s="19"/>
      <c r="GZ15" s="245"/>
      <c r="IC15" s="245"/>
    </row>
    <row r="16" spans="1:237" ht="12.6" customHeight="1" x14ac:dyDescent="0.25">
      <c r="A16" s="26"/>
      <c r="B16" s="26"/>
      <c r="C16" s="26"/>
      <c r="D16" s="1110"/>
      <c r="E16" s="1110"/>
      <c r="F16" s="1110"/>
      <c r="G16" s="1110"/>
      <c r="H16" s="1110"/>
      <c r="I16" s="1110"/>
      <c r="J16" s="1110"/>
      <c r="K16" s="1110"/>
      <c r="L16" s="25"/>
      <c r="M16" s="25"/>
      <c r="N16" s="25"/>
      <c r="O16" s="25"/>
      <c r="P16" s="19"/>
      <c r="GZ16" s="245"/>
      <c r="IC16" s="245"/>
    </row>
    <row r="17" spans="1:225" ht="12.6" customHeight="1" x14ac:dyDescent="0.25">
      <c r="A17" s="26"/>
      <c r="B17" s="26"/>
      <c r="C17" s="26"/>
      <c r="D17" s="25"/>
      <c r="E17" s="25"/>
      <c r="F17" s="1110"/>
      <c r="G17" s="1110"/>
      <c r="H17" s="1110"/>
      <c r="I17" s="1110"/>
      <c r="J17" s="1110"/>
      <c r="K17" s="1110"/>
      <c r="L17" s="25"/>
      <c r="M17" s="25"/>
      <c r="N17" s="25"/>
      <c r="O17" s="25"/>
      <c r="P17" s="19"/>
    </row>
    <row r="18" spans="1:225" ht="12.6" customHeight="1" x14ac:dyDescent="0.25">
      <c r="A18" s="26"/>
      <c r="B18" s="26"/>
      <c r="C18" s="26"/>
      <c r="D18" s="2493"/>
      <c r="E18" s="2493"/>
      <c r="F18" s="25"/>
      <c r="G18" s="1110"/>
      <c r="H18" s="1110"/>
      <c r="I18" s="1110"/>
      <c r="J18" s="1110"/>
      <c r="K18" s="1110"/>
      <c r="L18" s="25"/>
      <c r="M18" s="25"/>
      <c r="N18" s="25"/>
      <c r="O18" s="25"/>
      <c r="P18" s="19"/>
    </row>
    <row r="19" spans="1:225" ht="12.6" customHeight="1" x14ac:dyDescent="0.2">
      <c r="A19" s="25"/>
      <c r="B19" s="25"/>
      <c r="C19" s="25"/>
      <c r="D19" s="25"/>
      <c r="E19" s="25"/>
      <c r="F19" s="1110"/>
      <c r="G19" s="25"/>
      <c r="H19" s="25"/>
      <c r="I19" s="25"/>
      <c r="J19" s="25"/>
      <c r="K19" s="25"/>
      <c r="L19" s="25"/>
      <c r="M19" s="25"/>
      <c r="N19" s="25"/>
      <c r="O19" s="25"/>
      <c r="P19" s="19"/>
    </row>
    <row r="20" spans="1:225" ht="12.6" customHeight="1" x14ac:dyDescent="0.2">
      <c r="A20" s="25"/>
      <c r="B20" s="25"/>
      <c r="C20" s="25"/>
      <c r="D20" s="25"/>
      <c r="E20" s="25"/>
      <c r="F20" s="1110"/>
      <c r="G20" s="25"/>
      <c r="H20" s="25"/>
      <c r="I20" s="25"/>
      <c r="J20" s="25"/>
      <c r="K20" s="25"/>
      <c r="L20" s="25"/>
      <c r="M20" s="25"/>
      <c r="N20" s="25"/>
      <c r="O20" s="25"/>
      <c r="P20" s="19"/>
    </row>
    <row r="21" spans="1:225" ht="12.6" customHeight="1" x14ac:dyDescent="0.2">
      <c r="A21" s="2492"/>
      <c r="B21" s="2492"/>
      <c r="C21" s="2492"/>
      <c r="D21" s="1114"/>
      <c r="E21" s="28"/>
      <c r="F21" s="29"/>
      <c r="G21" s="28"/>
      <c r="H21" s="28"/>
      <c r="I21" s="28"/>
      <c r="J21" s="28"/>
      <c r="K21" s="28"/>
      <c r="L21" s="28"/>
      <c r="M21" s="28"/>
      <c r="N21" s="28"/>
      <c r="O21" s="28"/>
      <c r="P21" s="19"/>
    </row>
    <row r="22" spans="1:225" ht="12.6" customHeight="1" thickBot="1" x14ac:dyDescent="0.25">
      <c r="A22" s="2491"/>
      <c r="B22" s="2491"/>
      <c r="C22" s="2491"/>
      <c r="D22" s="1113"/>
      <c r="E22" s="28"/>
      <c r="F22" s="28"/>
      <c r="G22" s="1113"/>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491"/>
      <c r="B23" s="2491"/>
      <c r="C23" s="2491"/>
      <c r="D23" s="1113"/>
      <c r="E23" s="28"/>
      <c r="F23" s="28"/>
      <c r="G23" s="1113"/>
      <c r="H23" s="28"/>
      <c r="I23" s="28"/>
      <c r="J23" s="28"/>
      <c r="K23" s="28"/>
      <c r="L23" s="28"/>
      <c r="M23" s="28"/>
      <c r="N23" s="28"/>
      <c r="O23" s="28"/>
      <c r="P23" s="19"/>
      <c r="HA23" s="2506" t="s">
        <v>621</v>
      </c>
      <c r="HB23" s="2017"/>
      <c r="HC23" s="2017"/>
      <c r="HD23" s="2017"/>
      <c r="HE23" s="2017"/>
      <c r="HF23" s="2017"/>
      <c r="HG23" s="2017"/>
      <c r="HH23" s="2017"/>
      <c r="HI23" s="2017"/>
      <c r="HJ23" s="2017"/>
      <c r="HK23" s="2017"/>
      <c r="HL23" s="2017"/>
      <c r="HM23" s="2017"/>
      <c r="HN23" s="2017"/>
      <c r="HO23" s="2017"/>
      <c r="HP23" s="2018"/>
    </row>
    <row r="24" spans="1:225" ht="12.6" customHeight="1" thickBot="1" x14ac:dyDescent="0.3">
      <c r="A24" s="1115"/>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35"/>
      <c r="HB24" s="2036"/>
      <c r="HC24" s="2036"/>
      <c r="HD24" s="2036"/>
      <c r="HE24" s="2036"/>
      <c r="HF24" s="2036"/>
      <c r="HG24" s="2036"/>
      <c r="HH24" s="2036"/>
      <c r="HI24" s="2036"/>
      <c r="HJ24" s="2036"/>
      <c r="HK24" s="2036"/>
      <c r="HL24" s="2036"/>
      <c r="HM24" s="2036"/>
      <c r="HN24" s="2036"/>
      <c r="HO24" s="2036"/>
      <c r="HP24" s="2037"/>
    </row>
    <row r="25" spans="1:225" s="23" customFormat="1" ht="12.6" customHeight="1" thickTop="1" thickBot="1" x14ac:dyDescent="0.25">
      <c r="A25" s="2498" t="s">
        <v>40</v>
      </c>
      <c r="B25" s="2499"/>
      <c r="C25" s="2480" t="s">
        <v>130</v>
      </c>
      <c r="D25" s="2135" t="s">
        <v>673</v>
      </c>
      <c r="E25" s="2487" t="s">
        <v>674</v>
      </c>
      <c r="F25" s="2496" t="s">
        <v>36</v>
      </c>
      <c r="G25" s="2363" t="s">
        <v>79</v>
      </c>
      <c r="H25" s="2360"/>
      <c r="I25" s="2497" t="s">
        <v>675</v>
      </c>
      <c r="J25" s="2360"/>
      <c r="K25" s="2487" t="s">
        <v>107</v>
      </c>
      <c r="L25" s="2488"/>
      <c r="M25" s="2484" t="s">
        <v>108</v>
      </c>
      <c r="N25" s="2480" t="s">
        <v>109</v>
      </c>
      <c r="O25" s="2496" t="s">
        <v>110</v>
      </c>
      <c r="P25" s="1059" t="s">
        <v>676</v>
      </c>
      <c r="Q25" s="1411"/>
      <c r="R25" s="426"/>
      <c r="S25" s="426"/>
      <c r="T25" s="426"/>
      <c r="U25" s="426">
        <f>COUNTA(U27:U300)</f>
        <v>13</v>
      </c>
      <c r="V25" s="2478" t="s">
        <v>797</v>
      </c>
      <c r="W25" s="426">
        <f>COUNTA(W27:W300)</f>
        <v>9</v>
      </c>
      <c r="X25" s="2476" t="s">
        <v>946</v>
      </c>
      <c r="Y25" s="2477"/>
      <c r="Z25" s="2477"/>
      <c r="AA25" s="2477"/>
      <c r="AB25" s="426"/>
      <c r="AC25" s="2503" t="s">
        <v>1137</v>
      </c>
      <c r="AD25" s="1883"/>
      <c r="AE25" s="426">
        <f>COUNTA(AE27:AE300)</f>
        <v>166</v>
      </c>
      <c r="HA25" s="2507" t="s">
        <v>632</v>
      </c>
      <c r="HB25" s="2509" t="s">
        <v>1148</v>
      </c>
      <c r="HC25" s="2509" t="s">
        <v>1134</v>
      </c>
      <c r="HD25" s="2504" t="s">
        <v>1144</v>
      </c>
      <c r="HE25" s="2504" t="s">
        <v>660</v>
      </c>
      <c r="HF25" s="2494" t="s">
        <v>677</v>
      </c>
      <c r="HG25" s="2494" t="s">
        <v>1149</v>
      </c>
      <c r="HH25" s="2494" t="s">
        <v>1150</v>
      </c>
      <c r="HI25" s="2494" t="s">
        <v>1151</v>
      </c>
      <c r="HJ25" s="2494" t="s">
        <v>1152</v>
      </c>
      <c r="HK25" s="2494" t="s">
        <v>1153</v>
      </c>
      <c r="HL25" s="2494" t="s">
        <v>1154</v>
      </c>
      <c r="HM25" s="2494" t="s">
        <v>1145</v>
      </c>
      <c r="HN25" s="2504" t="s">
        <v>1146</v>
      </c>
      <c r="HO25" s="2504" t="s">
        <v>1147</v>
      </c>
      <c r="HP25" s="2511" t="s">
        <v>480</v>
      </c>
    </row>
    <row r="26" spans="1:225" s="23" customFormat="1" ht="12.6" customHeight="1" thickTop="1" thickBot="1" x14ac:dyDescent="0.25">
      <c r="A26" s="2489"/>
      <c r="B26" s="2481"/>
      <c r="C26" s="2501"/>
      <c r="D26" s="2136"/>
      <c r="E26" s="2500"/>
      <c r="F26" s="2502"/>
      <c r="G26" s="1112" t="s">
        <v>632</v>
      </c>
      <c r="H26" s="1066" t="s">
        <v>171</v>
      </c>
      <c r="I26" s="1071" t="s">
        <v>632</v>
      </c>
      <c r="J26" s="1111" t="s">
        <v>171</v>
      </c>
      <c r="K26" s="2489"/>
      <c r="L26" s="2490"/>
      <c r="M26" s="2123"/>
      <c r="N26" s="2481"/>
      <c r="O26" s="2490"/>
      <c r="P26" s="1060" t="s">
        <v>57</v>
      </c>
      <c r="Q26" s="1409" t="s">
        <v>1101</v>
      </c>
      <c r="R26" s="372" t="s">
        <v>170</v>
      </c>
      <c r="S26" s="372" t="s">
        <v>788</v>
      </c>
      <c r="T26" s="372" t="s">
        <v>1136</v>
      </c>
      <c r="U26" s="426" t="s">
        <v>794</v>
      </c>
      <c r="V26" s="2479"/>
      <c r="W26" s="426" t="s">
        <v>660</v>
      </c>
      <c r="X26" s="426" t="s">
        <v>661</v>
      </c>
      <c r="Y26" s="426" t="s">
        <v>662</v>
      </c>
      <c r="Z26" s="426" t="s">
        <v>663</v>
      </c>
      <c r="AA26" s="426" t="s">
        <v>664</v>
      </c>
      <c r="AB26" s="426" t="s">
        <v>677</v>
      </c>
      <c r="AC26" s="426" t="s">
        <v>1138</v>
      </c>
      <c r="AD26" s="426" t="s">
        <v>1139</v>
      </c>
      <c r="AE26" s="426" t="s">
        <v>819</v>
      </c>
      <c r="AF26" s="426" t="s">
        <v>1135</v>
      </c>
      <c r="HA26" s="2508"/>
      <c r="HB26" s="2510"/>
      <c r="HC26" s="2510"/>
      <c r="HD26" s="2505"/>
      <c r="HE26" s="2505"/>
      <c r="HF26" s="2495"/>
      <c r="HG26" s="2495"/>
      <c r="HH26" s="2495"/>
      <c r="HI26" s="2495"/>
      <c r="HJ26" s="2495"/>
      <c r="HK26" s="2495"/>
      <c r="HL26" s="2495"/>
      <c r="HM26" s="2495"/>
      <c r="HN26" s="2505"/>
      <c r="HO26" s="2505"/>
      <c r="HP26" s="2512"/>
    </row>
    <row r="27" spans="1:225" ht="12.6" customHeight="1" thickTop="1" x14ac:dyDescent="0.25">
      <c r="A27" s="1449"/>
      <c r="B27" s="1450"/>
      <c r="C27" s="1682"/>
      <c r="D27" s="1451"/>
      <c r="E27" s="1449"/>
      <c r="F27" s="1452"/>
      <c r="G27" s="1449"/>
      <c r="H27" s="714"/>
      <c r="I27" s="1453"/>
      <c r="J27" s="1454"/>
      <c r="K27" s="1455"/>
      <c r="L27" s="1456"/>
      <c r="M27" s="1457"/>
      <c r="N27" s="1458"/>
      <c r="O27" s="1459"/>
      <c r="P27" s="1460"/>
      <c r="Q27" s="1410"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48"/>
      <c r="HB27" s="1149"/>
      <c r="HC27" s="1149"/>
      <c r="HD27" s="1154"/>
      <c r="HE27" s="1155"/>
      <c r="HF27" s="1149"/>
      <c r="HG27" s="1149"/>
      <c r="HH27" s="1149"/>
      <c r="HI27" s="1156"/>
      <c r="HJ27" s="1149"/>
      <c r="HK27" s="1149"/>
      <c r="HL27" s="1149"/>
      <c r="HM27" s="1149"/>
      <c r="HN27" s="1149"/>
      <c r="HO27" s="1149"/>
      <c r="HP27" s="1157"/>
      <c r="HQ27" s="1174"/>
    </row>
    <row r="28" spans="1:225" ht="12.6" customHeight="1" x14ac:dyDescent="0.25">
      <c r="A28" s="1449"/>
      <c r="B28" s="1450"/>
      <c r="C28" s="1682"/>
      <c r="D28" s="1451"/>
      <c r="E28" s="1449"/>
      <c r="F28" s="1452"/>
      <c r="G28" s="1449"/>
      <c r="H28" s="714"/>
      <c r="I28" s="1453"/>
      <c r="J28" s="1454"/>
      <c r="K28" s="1455"/>
      <c r="L28" s="1456"/>
      <c r="M28" s="1457"/>
      <c r="N28" s="1458"/>
      <c r="O28" s="1459"/>
      <c r="P28" s="1460"/>
      <c r="Q28" s="1410"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59"/>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59"/>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59"/>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59"/>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59"/>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59"/>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59"/>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59"/>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59"/>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59"/>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59"/>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59"/>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59"/>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72"/>
      <c r="P42" s="1473"/>
      <c r="Q42" s="1410" t="b">
        <v>0</v>
      </c>
      <c r="R42" s="470" t="b">
        <v>0</v>
      </c>
      <c r="S42" s="464" t="b">
        <f t="shared" si="1"/>
        <v>0</v>
      </c>
      <c r="T42" s="464" t="b">
        <f t="shared" si="2"/>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SUM(C27:C42)</f>
        <v>0</v>
      </c>
      <c r="E47" s="30" t="b">
        <f>SUMIF(E27:E42,"BA*",C27:C42)&gt;0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2" t="s">
        <v>1174</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1" ht="12.6" customHeight="1" x14ac:dyDescent="0.2">
      <c r="AE301" s="635" t="s">
        <v>938</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1019" priority="69" stopIfTrue="1" operator="equal">
      <formula>""</formula>
    </cfRule>
  </conditionalFormatting>
  <conditionalFormatting sqref="G7">
    <cfRule type="cellIs" dxfId="1018" priority="70" stopIfTrue="1" operator="equal">
      <formula>"NO PAINT"</formula>
    </cfRule>
  </conditionalFormatting>
  <conditionalFormatting sqref="I7:K7">
    <cfRule type="expression" dxfId="1017" priority="71" stopIfTrue="1">
      <formula>NOT(OR(COUNTIF(masterFinishList, $I$7) &gt; 0, COUNTIF($I$7, "Other:*") &gt; 0))</formula>
    </cfRule>
  </conditionalFormatting>
  <conditionalFormatting sqref="C27:C42 A27:A42">
    <cfRule type="expression" dxfId="1016" priority="8">
      <formula>AND(NOT($S$1),$C27=0,OR($R$1="",$R$1="M"))</formula>
    </cfRule>
  </conditionalFormatting>
  <conditionalFormatting sqref="F27:F42">
    <cfRule type="expression" dxfId="1015" priority="35">
      <formula>OR(ISERROR(VLOOKUP(E27,$V$27:$V$42,1,FALSE)),ISERROR(VLOOKUP(F27,$AB$27:$AB$42,1,FALSE)))</formula>
    </cfRule>
  </conditionalFormatting>
  <conditionalFormatting sqref="D27:D42">
    <cfRule type="expression" dxfId="1014" priority="12">
      <formula>OR(ISERROR(VLOOKUP(TRIM(D27),$AE$27:$AE$300,1,FALSE)),AND(NOT(ISERROR(VLOOKUP(E27,$V$27:$V$300,1,FALSE))),NOT(ISERROR(VLOOKUP(TRIM(D27),$U$27:$U$300,1,FALSE)))))</formula>
    </cfRule>
  </conditionalFormatting>
  <conditionalFormatting sqref="E27:E42">
    <cfRule type="expression" dxfId="1013" priority="15">
      <formula>OR(ISERROR(VLOOKUP(E27,$W$27:$W$42,1,FALSE)),AND(NOT(ISERROR(VLOOKUP(E27,$V$27:$V$300,1,FALSE))),NOT(ISERROR(VLOOKUP(D27,$U$27:$U$300,1,FALSE)))))</formula>
    </cfRule>
  </conditionalFormatting>
  <conditionalFormatting sqref="I7:L7">
    <cfRule type="cellIs" dxfId="1012" priority="9" operator="equal">
      <formula>0</formula>
    </cfRule>
  </conditionalFormatting>
  <conditionalFormatting sqref="A27:P42">
    <cfRule type="expression" dxfId="1011" priority="38">
      <formula>$Q27</formula>
    </cfRule>
  </conditionalFormatting>
  <conditionalFormatting sqref="A36:A42">
    <cfRule type="expression" dxfId="1010" priority="5">
      <formula>AND(NOT($S$1),$C36=0,OR($R$1="",$R$1="M"))</formula>
    </cfRule>
  </conditionalFormatting>
  <conditionalFormatting sqref="G27:G42">
    <cfRule type="expression" dxfId="1009" priority="4">
      <formula>NOT(VLOOKUP($E27,$W$27:$AA$42,2,FALSE))</formula>
    </cfRule>
  </conditionalFormatting>
  <conditionalFormatting sqref="I27:I42">
    <cfRule type="expression" dxfId="1008" priority="3">
      <formula>NOT(VLOOKUP($E27,$W$27:$AA$42,4,FALSE))</formula>
    </cfRule>
  </conditionalFormatting>
  <conditionalFormatting sqref="H27">
    <cfRule type="expression" dxfId="1007" priority="2">
      <formula>NOT(VLOOKUP($E27,$W$27:$AA$42,3,FALSE))</formula>
    </cfRule>
  </conditionalFormatting>
  <conditionalFormatting sqref="J27:J42">
    <cfRule type="expression" dxfId="100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02" t="str">
        <f>IF(R1="","",VLOOKUP(R1,'Job Info.'!X:AA,4,FALSE))</f>
        <v>Master</v>
      </c>
      <c r="K1" s="1802"/>
      <c r="L1" s="180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07" t="str">
        <f>IF(R1="","",IF(VLOOKUP(R1,'Job Info.'!X:Z,2,FALSE),"Released for Fabrication",""))</f>
        <v/>
      </c>
      <c r="K2" s="1808"/>
      <c r="L2" s="180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10"/>
      <c r="K3" s="1811"/>
      <c r="L3" s="181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13" t="str">
        <f>IF(R1="","",IF(VLOOKUP(R1,'Job Info.'!X:Z,2,FALSE),VLOOKUP(R1,'Job Info.'!X:Z,3,FALSE),""))</f>
        <v/>
      </c>
      <c r="K4" s="1814"/>
      <c r="L4" s="181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118" t="str">
        <f ca="1">'Job Info.'!D11</f>
        <v>8200 Woolery Way | Fallon, NV 89406 | www.newmill.com</v>
      </c>
      <c r="B5" s="2358"/>
      <c r="C5" s="2358"/>
      <c r="D5" s="2358"/>
      <c r="E5" s="2358"/>
      <c r="F5" s="2358"/>
      <c r="G5" s="2358"/>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475">
        <f>IF(ISBLANK('Job Info.'!D8),"",'Job Info.'!D8)</f>
        <v>44909</v>
      </c>
      <c r="P6" s="2475"/>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485"/>
      <c r="J7" s="2486"/>
      <c r="K7" s="2486"/>
      <c r="L7" s="1971"/>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482" t="str">
        <f>IF(I7="NO PAINT - GALV","GALV. BOLTS","")</f>
        <v/>
      </c>
      <c r="J8" s="2482"/>
      <c r="K8" s="2482"/>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796" t="str">
        <f>IF(ISBLANK('Job Info.'!D3),"",'Job Info.'!D3)</f>
        <v>SUNCAP CHEYENNE&amp;COMMERCE BLDG A&amp;B PP</v>
      </c>
      <c r="D9" s="1796"/>
      <c r="E9" s="1796"/>
      <c r="F9" s="1796"/>
      <c r="G9" s="1859"/>
      <c r="H9" s="468"/>
      <c r="I9" s="458" t="s">
        <v>2</v>
      </c>
      <c r="J9" s="1796" t="str">
        <f>IF(ISBLANK('Job Info.'!D5),"",'Job Info.'!D5)</f>
        <v>9122-0050</v>
      </c>
      <c r="K9" s="1796"/>
      <c r="L9" s="1796"/>
      <c r="M9" s="1796"/>
      <c r="N9" s="1796"/>
      <c r="O9" s="1796"/>
      <c r="P9" s="1797"/>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796" t="str">
        <f>IF(ISBLANK('Job Info.'!D4),"",'Job Info.'!D4)</f>
        <v>LAS VEGAS, NV</v>
      </c>
      <c r="D10" s="1796"/>
      <c r="E10" s="1796"/>
      <c r="F10" s="1796"/>
      <c r="G10" s="1859"/>
      <c r="H10" s="468"/>
      <c r="I10" s="471" t="s">
        <v>22</v>
      </c>
      <c r="J10" s="1796" t="str">
        <f>IF(ISBLANK('Job Info.'!D6),"",'Job Info.'!D6)</f>
        <v>SA</v>
      </c>
      <c r="K10" s="1796"/>
      <c r="L10" s="1797"/>
      <c r="M10" s="469"/>
      <c r="N10" s="458" t="s">
        <v>23</v>
      </c>
      <c r="O10" s="1796" t="str">
        <f>IF(ISBLANK('Job Info.'!D7),"",'Job Info.'!D7)</f>
        <v>NR</v>
      </c>
      <c r="P10" s="1797"/>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18" t="s">
        <v>621</v>
      </c>
      <c r="HB11" s="2519"/>
      <c r="HC11" s="2519"/>
      <c r="HD11" s="2519"/>
      <c r="HE11" s="2519"/>
      <c r="HF11" s="2519"/>
      <c r="HG11" s="2519"/>
      <c r="HH11" s="2519"/>
      <c r="HI11" s="2519"/>
      <c r="HJ11" s="2519"/>
      <c r="HK11" s="2519"/>
      <c r="HL11" s="2519"/>
      <c r="HM11" s="2519"/>
      <c r="HN11" s="2519"/>
      <c r="HO11" s="2519"/>
      <c r="HP11" s="2520"/>
    </row>
    <row r="12" spans="1:226" ht="12.6" customHeight="1" thickTop="1" thickBot="1" x14ac:dyDescent="0.25">
      <c r="A12" s="2498" t="s">
        <v>40</v>
      </c>
      <c r="B12" s="2499"/>
      <c r="C12" s="1935" t="s">
        <v>130</v>
      </c>
      <c r="D12" s="1936" t="s">
        <v>673</v>
      </c>
      <c r="E12" s="1934" t="s">
        <v>674</v>
      </c>
      <c r="F12" s="2513" t="s">
        <v>36</v>
      </c>
      <c r="G12" s="1934" t="s">
        <v>79</v>
      </c>
      <c r="H12" s="2513"/>
      <c r="I12" s="2515" t="s">
        <v>675</v>
      </c>
      <c r="J12" s="1936"/>
      <c r="K12" s="1934" t="s">
        <v>107</v>
      </c>
      <c r="L12" s="2516"/>
      <c r="M12" s="2515" t="s">
        <v>108</v>
      </c>
      <c r="N12" s="1935" t="s">
        <v>109</v>
      </c>
      <c r="O12" s="1936" t="s">
        <v>110</v>
      </c>
      <c r="P12" s="1059" t="s">
        <v>676</v>
      </c>
      <c r="Q12" s="1408"/>
      <c r="GZ12" s="245"/>
      <c r="HA12" s="2507" t="s">
        <v>632</v>
      </c>
      <c r="HB12" s="2509" t="s">
        <v>1148</v>
      </c>
      <c r="HC12" s="2509" t="s">
        <v>1134</v>
      </c>
      <c r="HD12" s="2504" t="s">
        <v>1144</v>
      </c>
      <c r="HE12" s="2504" t="s">
        <v>660</v>
      </c>
      <c r="HF12" s="2494" t="s">
        <v>677</v>
      </c>
      <c r="HG12" s="2494" t="s">
        <v>1149</v>
      </c>
      <c r="HH12" s="2494" t="s">
        <v>1150</v>
      </c>
      <c r="HI12" s="2494" t="s">
        <v>1151</v>
      </c>
      <c r="HJ12" s="2494" t="s">
        <v>1152</v>
      </c>
      <c r="HK12" s="2494" t="s">
        <v>1153</v>
      </c>
      <c r="HL12" s="2494" t="s">
        <v>1154</v>
      </c>
      <c r="HM12" s="2494" t="s">
        <v>1145</v>
      </c>
      <c r="HN12" s="2504" t="s">
        <v>1146</v>
      </c>
      <c r="HO12" s="2504" t="s">
        <v>1147</v>
      </c>
      <c r="HP12" s="2511" t="s">
        <v>480</v>
      </c>
    </row>
    <row r="13" spans="1:226" ht="12.6" customHeight="1" thickTop="1" thickBot="1" x14ac:dyDescent="0.25">
      <c r="A13" s="2489"/>
      <c r="B13" s="2481"/>
      <c r="C13" s="1935"/>
      <c r="D13" s="1936"/>
      <c r="E13" s="1934"/>
      <c r="F13" s="2514"/>
      <c r="G13" s="1405" t="s">
        <v>632</v>
      </c>
      <c r="H13" s="1063" t="s">
        <v>171</v>
      </c>
      <c r="I13" s="1062" t="s">
        <v>632</v>
      </c>
      <c r="J13" s="1406" t="s">
        <v>171</v>
      </c>
      <c r="K13" s="2517"/>
      <c r="L13" s="2516"/>
      <c r="M13" s="1940"/>
      <c r="N13" s="1905"/>
      <c r="O13" s="1906"/>
      <c r="P13" s="1060" t="s">
        <v>57</v>
      </c>
      <c r="Q13" s="1409" t="s">
        <v>1101</v>
      </c>
      <c r="R13" s="372" t="s">
        <v>170</v>
      </c>
      <c r="S13" s="372" t="s">
        <v>788</v>
      </c>
      <c r="T13" s="372" t="s">
        <v>1136</v>
      </c>
      <c r="GZ13" s="245"/>
      <c r="HA13" s="2508"/>
      <c r="HB13" s="2510"/>
      <c r="HC13" s="2510"/>
      <c r="HD13" s="2505"/>
      <c r="HE13" s="2505"/>
      <c r="HF13" s="2495"/>
      <c r="HG13" s="2495"/>
      <c r="HH13" s="2495"/>
      <c r="HI13" s="2495"/>
      <c r="HJ13" s="2495"/>
      <c r="HK13" s="2495"/>
      <c r="HL13" s="2495"/>
      <c r="HM13" s="2495"/>
      <c r="HN13" s="2505"/>
      <c r="HO13" s="2505"/>
      <c r="HP13" s="2512"/>
    </row>
    <row r="14" spans="1:226" ht="12.6" customHeight="1" thickTop="1" x14ac:dyDescent="0.25">
      <c r="A14" s="1474"/>
      <c r="B14" s="1475"/>
      <c r="C14" s="1681"/>
      <c r="D14" s="1476"/>
      <c r="E14" s="1474"/>
      <c r="F14" s="1477"/>
      <c r="G14" s="1474"/>
      <c r="H14" s="1478"/>
      <c r="I14" s="1479"/>
      <c r="J14" s="1480"/>
      <c r="K14" s="1481"/>
      <c r="L14" s="1482"/>
      <c r="M14" s="1483"/>
      <c r="N14" s="1484"/>
      <c r="O14" s="1485"/>
      <c r="P14" s="1486"/>
      <c r="Q14" s="1410"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8"/>
      <c r="HB14" s="1149"/>
      <c r="HC14" s="1149"/>
      <c r="HD14" s="1154"/>
      <c r="HE14" s="1155"/>
      <c r="HF14" s="1149"/>
      <c r="HG14" s="1149"/>
      <c r="HH14" s="1149"/>
      <c r="HI14" s="1156"/>
      <c r="HJ14" s="1149"/>
      <c r="HK14" s="1149"/>
      <c r="HL14" s="1149"/>
      <c r="HM14" s="1149"/>
      <c r="HN14" s="1149"/>
      <c r="HO14" s="1149"/>
      <c r="HP14" s="1157"/>
      <c r="HQ14" s="1174"/>
    </row>
    <row r="15" spans="1:226" ht="12.6" customHeight="1" x14ac:dyDescent="0.25">
      <c r="A15" s="1449"/>
      <c r="B15" s="1450"/>
      <c r="C15" s="1682"/>
      <c r="D15" s="1451"/>
      <c r="E15" s="1449"/>
      <c r="F15" s="1452"/>
      <c r="G15" s="1449"/>
      <c r="H15" s="714"/>
      <c r="I15" s="1453"/>
      <c r="J15" s="1454"/>
      <c r="K15" s="1455"/>
      <c r="L15" s="1456"/>
      <c r="M15" s="1457"/>
      <c r="N15" s="1458"/>
      <c r="O15" s="1487"/>
      <c r="P15" s="1460"/>
      <c r="Q15" s="1410"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50"/>
      <c r="HB15" s="1151"/>
      <c r="HC15" s="1151"/>
      <c r="HD15" s="1158"/>
      <c r="HE15" s="1159"/>
      <c r="HF15" s="1151"/>
      <c r="HG15" s="1151"/>
      <c r="HH15" s="1151"/>
      <c r="HI15" s="1160"/>
      <c r="HJ15" s="1151"/>
      <c r="HK15" s="1151"/>
      <c r="HL15" s="1151"/>
      <c r="HM15" s="1151"/>
      <c r="HN15" s="1151"/>
      <c r="HO15" s="1151"/>
      <c r="HP15" s="1161"/>
      <c r="HQ15" s="1174"/>
    </row>
    <row r="16" spans="1:226" ht="12.6" customHeight="1" x14ac:dyDescent="0.25">
      <c r="A16" s="1449"/>
      <c r="B16" s="1450"/>
      <c r="C16" s="1682"/>
      <c r="D16" s="1451"/>
      <c r="E16" s="1449"/>
      <c r="F16" s="1452"/>
      <c r="G16" s="1449"/>
      <c r="H16" s="714"/>
      <c r="I16" s="1453"/>
      <c r="J16" s="1454"/>
      <c r="K16" s="1455"/>
      <c r="L16" s="1456"/>
      <c r="M16" s="1457"/>
      <c r="N16" s="1458"/>
      <c r="O16" s="1487"/>
      <c r="P16" s="1460"/>
      <c r="Q16" s="1410" t="b">
        <v>0</v>
      </c>
      <c r="R16" s="470" t="b">
        <v>0</v>
      </c>
      <c r="S16" s="464" t="b">
        <f t="shared" si="1"/>
        <v>0</v>
      </c>
      <c r="T16" s="464" t="b">
        <f t="shared" si="2"/>
        <v>0</v>
      </c>
      <c r="GZ16" s="245"/>
      <c r="HA16" s="1150"/>
      <c r="HB16" s="1151"/>
      <c r="HC16" s="1151"/>
      <c r="HD16" s="1158"/>
      <c r="HE16" s="1159"/>
      <c r="HF16" s="1151"/>
      <c r="HG16" s="1151"/>
      <c r="HH16" s="1151"/>
      <c r="HI16" s="1160"/>
      <c r="HJ16" s="1151"/>
      <c r="HK16" s="1151"/>
      <c r="HL16" s="1151"/>
      <c r="HM16" s="1151"/>
      <c r="HN16" s="1151"/>
      <c r="HO16" s="1151"/>
      <c r="HP16" s="1161"/>
      <c r="HQ16" s="1174"/>
    </row>
    <row r="17" spans="1:225" ht="12.6" customHeight="1" x14ac:dyDescent="0.25">
      <c r="A17" s="1449"/>
      <c r="B17" s="1450"/>
      <c r="C17" s="1682"/>
      <c r="D17" s="1451"/>
      <c r="E17" s="1449"/>
      <c r="F17" s="1452"/>
      <c r="G17" s="1449"/>
      <c r="H17" s="714"/>
      <c r="I17" s="1453"/>
      <c r="J17" s="1454"/>
      <c r="K17" s="1455"/>
      <c r="L17" s="1456"/>
      <c r="M17" s="1457"/>
      <c r="N17" s="1458"/>
      <c r="O17" s="1487"/>
      <c r="P17" s="1460"/>
      <c r="Q17" s="1410" t="b">
        <v>0</v>
      </c>
      <c r="R17" s="470" t="b">
        <v>0</v>
      </c>
      <c r="S17" s="464" t="b">
        <f t="shared" si="1"/>
        <v>0</v>
      </c>
      <c r="T17" s="464" t="b">
        <f t="shared" si="2"/>
        <v>0</v>
      </c>
      <c r="HA17" s="1150"/>
      <c r="HB17" s="1151"/>
      <c r="HC17" s="1151"/>
      <c r="HD17" s="1158"/>
      <c r="HE17" s="1159"/>
      <c r="HF17" s="1151"/>
      <c r="HG17" s="1151"/>
      <c r="HH17" s="1151"/>
      <c r="HI17" s="1160"/>
      <c r="HJ17" s="1151"/>
      <c r="HK17" s="1151"/>
      <c r="HL17" s="1151"/>
      <c r="HM17" s="1151"/>
      <c r="HN17" s="1151"/>
      <c r="HO17" s="1151"/>
      <c r="HP17" s="1161"/>
      <c r="HQ17" s="1174"/>
    </row>
    <row r="18" spans="1:225" ht="12.6" customHeight="1" x14ac:dyDescent="0.25">
      <c r="A18" s="1449"/>
      <c r="B18" s="1450"/>
      <c r="C18" s="1682"/>
      <c r="D18" s="1451"/>
      <c r="E18" s="1449"/>
      <c r="F18" s="1452"/>
      <c r="G18" s="1449"/>
      <c r="H18" s="714"/>
      <c r="I18" s="1453"/>
      <c r="J18" s="1454"/>
      <c r="K18" s="1455"/>
      <c r="L18" s="1456"/>
      <c r="M18" s="1457"/>
      <c r="N18" s="1458"/>
      <c r="O18" s="1487"/>
      <c r="P18" s="1460"/>
      <c r="Q18" s="1410" t="b">
        <v>0</v>
      </c>
      <c r="R18" s="470" t="b">
        <v>0</v>
      </c>
      <c r="S18" s="464" t="b">
        <f t="shared" si="1"/>
        <v>0</v>
      </c>
      <c r="T18" s="464" t="b">
        <f t="shared" si="2"/>
        <v>0</v>
      </c>
      <c r="HA18" s="1150"/>
      <c r="HB18" s="1151"/>
      <c r="HC18" s="1151"/>
      <c r="HD18" s="1158"/>
      <c r="HE18" s="1159"/>
      <c r="HF18" s="1151"/>
      <c r="HG18" s="1151"/>
      <c r="HH18" s="1151"/>
      <c r="HI18" s="1160"/>
      <c r="HJ18" s="1151"/>
      <c r="HK18" s="1151"/>
      <c r="HL18" s="1151"/>
      <c r="HM18" s="1151"/>
      <c r="HN18" s="1151"/>
      <c r="HO18" s="1151"/>
      <c r="HP18" s="1161"/>
      <c r="HQ18" s="1174"/>
    </row>
    <row r="19" spans="1:225" ht="12.6" customHeight="1" x14ac:dyDescent="0.25">
      <c r="A19" s="1449"/>
      <c r="B19" s="1450"/>
      <c r="C19" s="1682"/>
      <c r="D19" s="1451"/>
      <c r="E19" s="1449"/>
      <c r="F19" s="1452"/>
      <c r="G19" s="1449"/>
      <c r="H19" s="714"/>
      <c r="I19" s="1453"/>
      <c r="J19" s="1454"/>
      <c r="K19" s="1455"/>
      <c r="L19" s="1456"/>
      <c r="M19" s="1457"/>
      <c r="N19" s="1458"/>
      <c r="O19" s="1487"/>
      <c r="P19" s="1460"/>
      <c r="Q19" s="1410" t="b">
        <v>0</v>
      </c>
      <c r="R19" s="470" t="b">
        <v>0</v>
      </c>
      <c r="S19" s="464" t="b">
        <f t="shared" si="1"/>
        <v>0</v>
      </c>
      <c r="T19" s="464" t="b">
        <f t="shared" si="2"/>
        <v>0</v>
      </c>
      <c r="HA19" s="1150"/>
      <c r="HB19" s="1151"/>
      <c r="HC19" s="1151"/>
      <c r="HD19" s="1158"/>
      <c r="HE19" s="1159"/>
      <c r="HF19" s="1151"/>
      <c r="HG19" s="1151"/>
      <c r="HH19" s="1151"/>
      <c r="HI19" s="1160"/>
      <c r="HJ19" s="1151"/>
      <c r="HK19" s="1151"/>
      <c r="HL19" s="1151"/>
      <c r="HM19" s="1151"/>
      <c r="HN19" s="1151"/>
      <c r="HO19" s="1151"/>
      <c r="HP19" s="1161"/>
      <c r="HQ19" s="1174"/>
    </row>
    <row r="20" spans="1:225" ht="12.6" customHeight="1" x14ac:dyDescent="0.25">
      <c r="A20" s="1449"/>
      <c r="B20" s="1450"/>
      <c r="C20" s="1682"/>
      <c r="D20" s="1451"/>
      <c r="E20" s="1449"/>
      <c r="F20" s="1452"/>
      <c r="G20" s="1449"/>
      <c r="H20" s="714"/>
      <c r="I20" s="1453"/>
      <c r="J20" s="1454"/>
      <c r="K20" s="1455"/>
      <c r="L20" s="1456"/>
      <c r="M20" s="1457"/>
      <c r="N20" s="1458"/>
      <c r="O20" s="1487"/>
      <c r="P20" s="1460"/>
      <c r="Q20" s="1410" t="b">
        <v>0</v>
      </c>
      <c r="R20" s="470" t="b">
        <v>0</v>
      </c>
      <c r="S20" s="464" t="b">
        <f t="shared" si="1"/>
        <v>0</v>
      </c>
      <c r="T20" s="464" t="b">
        <f t="shared" si="2"/>
        <v>0</v>
      </c>
      <c r="HA20" s="1150"/>
      <c r="HB20" s="1151"/>
      <c r="HC20" s="1151"/>
      <c r="HD20" s="1158"/>
      <c r="HE20" s="1159"/>
      <c r="HF20" s="1151"/>
      <c r="HG20" s="1151"/>
      <c r="HH20" s="1151"/>
      <c r="HI20" s="1160"/>
      <c r="HJ20" s="1151"/>
      <c r="HK20" s="1151"/>
      <c r="HL20" s="1151"/>
      <c r="HM20" s="1151"/>
      <c r="HN20" s="1151"/>
      <c r="HO20" s="1151"/>
      <c r="HP20" s="1161"/>
      <c r="HQ20" s="1174"/>
    </row>
    <row r="21" spans="1:225" ht="12.6" customHeight="1" x14ac:dyDescent="0.25">
      <c r="A21" s="1449"/>
      <c r="B21" s="1450"/>
      <c r="C21" s="1682"/>
      <c r="D21" s="1451"/>
      <c r="E21" s="1449"/>
      <c r="F21" s="1452"/>
      <c r="G21" s="1449"/>
      <c r="H21" s="714"/>
      <c r="I21" s="1453"/>
      <c r="J21" s="1454"/>
      <c r="K21" s="1455"/>
      <c r="L21" s="1456"/>
      <c r="M21" s="1457"/>
      <c r="N21" s="1458"/>
      <c r="O21" s="1487"/>
      <c r="P21" s="1460"/>
      <c r="Q21" s="1410" t="b">
        <v>0</v>
      </c>
      <c r="R21" s="470" t="b">
        <v>0</v>
      </c>
      <c r="S21" s="464" t="b">
        <f t="shared" si="1"/>
        <v>0</v>
      </c>
      <c r="T21" s="464" t="b">
        <f t="shared" si="2"/>
        <v>0</v>
      </c>
      <c r="HA21" s="1150"/>
      <c r="HB21" s="1151"/>
      <c r="HC21" s="1151"/>
      <c r="HD21" s="1158"/>
      <c r="HE21" s="1159"/>
      <c r="HF21" s="1151"/>
      <c r="HG21" s="1151"/>
      <c r="HH21" s="1151"/>
      <c r="HI21" s="1160"/>
      <c r="HJ21" s="1151"/>
      <c r="HK21" s="1151"/>
      <c r="HL21" s="1151"/>
      <c r="HM21" s="1151"/>
      <c r="HN21" s="1151"/>
      <c r="HO21" s="1151"/>
      <c r="HP21" s="1161"/>
      <c r="HQ21" s="1174"/>
    </row>
    <row r="22" spans="1:225" ht="12.6" customHeight="1" x14ac:dyDescent="0.25">
      <c r="A22" s="1449"/>
      <c r="B22" s="1450"/>
      <c r="C22" s="1682"/>
      <c r="D22" s="1451"/>
      <c r="E22" s="1449"/>
      <c r="F22" s="1452"/>
      <c r="G22" s="1449"/>
      <c r="H22" s="714"/>
      <c r="I22" s="1453"/>
      <c r="J22" s="1454"/>
      <c r="K22" s="1455"/>
      <c r="L22" s="1456"/>
      <c r="M22" s="1457"/>
      <c r="N22" s="1458"/>
      <c r="O22" s="1487"/>
      <c r="P22" s="1460"/>
      <c r="Q22" s="1410" t="b">
        <v>0</v>
      </c>
      <c r="R22" s="470" t="b">
        <v>0</v>
      </c>
      <c r="S22" s="464" t="b">
        <f t="shared" si="1"/>
        <v>0</v>
      </c>
      <c r="T22" s="464" t="b">
        <f t="shared" si="2"/>
        <v>0</v>
      </c>
      <c r="HA22" s="1150"/>
      <c r="HB22" s="1151"/>
      <c r="HC22" s="1151"/>
      <c r="HD22" s="1158"/>
      <c r="HE22" s="1159"/>
      <c r="HF22" s="1151"/>
      <c r="HG22" s="1151"/>
      <c r="HH22" s="1151"/>
      <c r="HI22" s="1160"/>
      <c r="HJ22" s="1151"/>
      <c r="HK22" s="1151"/>
      <c r="HL22" s="1151"/>
      <c r="HM22" s="1151"/>
      <c r="HN22" s="1151"/>
      <c r="HO22" s="1151"/>
      <c r="HP22" s="1161"/>
      <c r="HQ22" s="1174"/>
    </row>
    <row r="23" spans="1:225" ht="12.6" customHeight="1" x14ac:dyDescent="0.25">
      <c r="A23" s="1449"/>
      <c r="B23" s="1450"/>
      <c r="C23" s="1682"/>
      <c r="D23" s="1451"/>
      <c r="E23" s="1449"/>
      <c r="F23" s="1452"/>
      <c r="G23" s="1449"/>
      <c r="H23" s="714"/>
      <c r="I23" s="1453"/>
      <c r="J23" s="1454"/>
      <c r="K23" s="1455"/>
      <c r="L23" s="1456"/>
      <c r="M23" s="1457"/>
      <c r="N23" s="1458"/>
      <c r="O23" s="1487"/>
      <c r="P23" s="1460"/>
      <c r="Q23" s="1410" t="b">
        <v>0</v>
      </c>
      <c r="R23" s="470" t="b">
        <v>0</v>
      </c>
      <c r="S23" s="464" t="b">
        <f t="shared" si="1"/>
        <v>0</v>
      </c>
      <c r="T23" s="464" t="b">
        <f t="shared" si="2"/>
        <v>0</v>
      </c>
      <c r="HA23" s="1150"/>
      <c r="HB23" s="1151"/>
      <c r="HC23" s="1151"/>
      <c r="HD23" s="1158"/>
      <c r="HE23" s="1159"/>
      <c r="HF23" s="1151"/>
      <c r="HG23" s="1151"/>
      <c r="HH23" s="1151"/>
      <c r="HI23" s="1160"/>
      <c r="HJ23" s="1151"/>
      <c r="HK23" s="1151"/>
      <c r="HL23" s="1151"/>
      <c r="HM23" s="1151"/>
      <c r="HN23" s="1151"/>
      <c r="HO23" s="1151"/>
      <c r="HP23" s="1161"/>
      <c r="HQ23" s="1174"/>
    </row>
    <row r="24" spans="1:225" ht="12.6" customHeight="1" x14ac:dyDescent="0.25">
      <c r="A24" s="1449"/>
      <c r="B24" s="1450"/>
      <c r="C24" s="1682"/>
      <c r="D24" s="1451"/>
      <c r="E24" s="1449"/>
      <c r="F24" s="1452"/>
      <c r="G24" s="1449"/>
      <c r="H24" s="714"/>
      <c r="I24" s="1453"/>
      <c r="J24" s="1454"/>
      <c r="K24" s="1455"/>
      <c r="L24" s="1456"/>
      <c r="M24" s="1457"/>
      <c r="N24" s="1458"/>
      <c r="O24" s="1487"/>
      <c r="P24" s="1460"/>
      <c r="Q24" s="1410" t="b">
        <v>0</v>
      </c>
      <c r="R24" s="470" t="b">
        <v>0</v>
      </c>
      <c r="S24" s="464" t="b">
        <f t="shared" si="1"/>
        <v>0</v>
      </c>
      <c r="T24" s="464" t="b">
        <f t="shared" si="2"/>
        <v>0</v>
      </c>
      <c r="U24" s="245"/>
      <c r="V24" s="245"/>
      <c r="W24" s="245"/>
      <c r="X24" s="245"/>
      <c r="Y24" s="245"/>
      <c r="Z24" s="245"/>
      <c r="AA24" s="245"/>
      <c r="HA24" s="1150"/>
      <c r="HB24" s="1151"/>
      <c r="HC24" s="1151"/>
      <c r="HD24" s="1158"/>
      <c r="HE24" s="1159"/>
      <c r="HF24" s="1151"/>
      <c r="HG24" s="1151"/>
      <c r="HH24" s="1151"/>
      <c r="HI24" s="1160"/>
      <c r="HJ24" s="1151"/>
      <c r="HK24" s="1151"/>
      <c r="HL24" s="1151"/>
      <c r="HM24" s="1151"/>
      <c r="HN24" s="1151"/>
      <c r="HO24" s="1151"/>
      <c r="HP24" s="1161"/>
      <c r="HQ24" s="1174"/>
    </row>
    <row r="25" spans="1:225" s="23" customFormat="1" ht="12.6" customHeight="1" thickBot="1" x14ac:dyDescent="0.3">
      <c r="A25" s="1449"/>
      <c r="B25" s="1450"/>
      <c r="C25" s="1682"/>
      <c r="D25" s="1451"/>
      <c r="E25" s="1449"/>
      <c r="F25" s="1452"/>
      <c r="G25" s="1449"/>
      <c r="H25" s="714"/>
      <c r="I25" s="1453"/>
      <c r="J25" s="1454"/>
      <c r="K25" s="1455"/>
      <c r="L25" s="1456"/>
      <c r="M25" s="1457"/>
      <c r="N25" s="1458"/>
      <c r="O25" s="1487"/>
      <c r="P25" s="1460"/>
      <c r="Q25" s="1410" t="b">
        <v>0</v>
      </c>
      <c r="R25" s="470" t="b">
        <v>0</v>
      </c>
      <c r="S25" s="464" t="b">
        <f t="shared" si="1"/>
        <v>0</v>
      </c>
      <c r="T25" s="464" t="b">
        <f t="shared" si="2"/>
        <v>0</v>
      </c>
      <c r="U25" s="426">
        <f>COUNTA(U27:U300)</f>
        <v>13</v>
      </c>
      <c r="V25" s="2478" t="s">
        <v>797</v>
      </c>
      <c r="W25" s="426">
        <f>COUNTA(W27:W300)</f>
        <v>9</v>
      </c>
      <c r="X25" s="2476" t="s">
        <v>946</v>
      </c>
      <c r="Y25" s="2477"/>
      <c r="Z25" s="2477"/>
      <c r="AA25" s="2477"/>
      <c r="AB25" s="426"/>
      <c r="AC25" s="2503" t="s">
        <v>1137</v>
      </c>
      <c r="AD25" s="1883"/>
      <c r="AE25" s="426">
        <f>COUNTA(AE27:AE300)</f>
        <v>166</v>
      </c>
      <c r="AF25" s="426"/>
      <c r="HA25" s="1150"/>
      <c r="HB25" s="1151"/>
      <c r="HC25" s="1151"/>
      <c r="HD25" s="1158"/>
      <c r="HE25" s="1159"/>
      <c r="HF25" s="1151"/>
      <c r="HG25" s="1151"/>
      <c r="HH25" s="1151"/>
      <c r="HI25" s="1160"/>
      <c r="HJ25" s="1151"/>
      <c r="HK25" s="1151"/>
      <c r="HL25" s="1151"/>
      <c r="HM25" s="1151"/>
      <c r="HN25" s="1151"/>
      <c r="HO25" s="1151"/>
      <c r="HP25" s="1161"/>
      <c r="HQ25" s="1175"/>
    </row>
    <row r="26" spans="1:225" s="23" customFormat="1" ht="12.6" customHeight="1" thickTop="1" x14ac:dyDescent="0.25">
      <c r="A26" s="1449"/>
      <c r="B26" s="1450"/>
      <c r="C26" s="1682"/>
      <c r="D26" s="1451"/>
      <c r="E26" s="1449"/>
      <c r="F26" s="1452"/>
      <c r="G26" s="1449"/>
      <c r="H26" s="714"/>
      <c r="I26" s="1453"/>
      <c r="J26" s="1454"/>
      <c r="K26" s="1455"/>
      <c r="L26" s="1456"/>
      <c r="M26" s="1457"/>
      <c r="N26" s="1458"/>
      <c r="O26" s="1487"/>
      <c r="P26" s="1460"/>
      <c r="Q26" s="1410" t="b">
        <v>0</v>
      </c>
      <c r="R26" s="470" t="b">
        <v>0</v>
      </c>
      <c r="S26" s="464" t="b">
        <f t="shared" si="1"/>
        <v>0</v>
      </c>
      <c r="T26" s="464" t="b">
        <f t="shared" si="2"/>
        <v>0</v>
      </c>
      <c r="U26" s="426" t="s">
        <v>794</v>
      </c>
      <c r="V26" s="2479"/>
      <c r="W26" s="426" t="s">
        <v>660</v>
      </c>
      <c r="X26" s="426" t="s">
        <v>661</v>
      </c>
      <c r="Y26" s="426" t="s">
        <v>662</v>
      </c>
      <c r="Z26" s="426" t="s">
        <v>663</v>
      </c>
      <c r="AA26" s="426" t="s">
        <v>664</v>
      </c>
      <c r="AB26" s="426" t="s">
        <v>677</v>
      </c>
      <c r="AC26" s="426" t="s">
        <v>1138</v>
      </c>
      <c r="AD26" s="426" t="s">
        <v>1139</v>
      </c>
      <c r="AE26" s="426" t="s">
        <v>819</v>
      </c>
      <c r="AF26" s="426" t="s">
        <v>1135</v>
      </c>
      <c r="HA26" s="1150"/>
      <c r="HB26" s="1151"/>
      <c r="HC26" s="1151"/>
      <c r="HD26" s="1158"/>
      <c r="HE26" s="1159"/>
      <c r="HF26" s="1151"/>
      <c r="HG26" s="1151"/>
      <c r="HH26" s="1151"/>
      <c r="HI26" s="1160"/>
      <c r="HJ26" s="1151"/>
      <c r="HK26" s="1151"/>
      <c r="HL26" s="1151"/>
      <c r="HM26" s="1151"/>
      <c r="HN26" s="1151"/>
      <c r="HO26" s="1151"/>
      <c r="HP26" s="1161"/>
      <c r="HQ26" s="1175"/>
    </row>
    <row r="27" spans="1:225" ht="12.6" customHeight="1" x14ac:dyDescent="0.25">
      <c r="A27" s="1449"/>
      <c r="B27" s="1450"/>
      <c r="C27" s="1682"/>
      <c r="D27" s="1451"/>
      <c r="E27" s="1449"/>
      <c r="F27" s="1452"/>
      <c r="G27" s="1449"/>
      <c r="H27" s="714"/>
      <c r="I27" s="1453"/>
      <c r="J27" s="1454"/>
      <c r="K27" s="1455"/>
      <c r="L27" s="1456"/>
      <c r="M27" s="1457"/>
      <c r="N27" s="1458"/>
      <c r="O27" s="1487"/>
      <c r="P27" s="1460"/>
      <c r="Q27" s="1410"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50"/>
      <c r="HB27" s="1151"/>
      <c r="HC27" s="1151"/>
      <c r="HD27" s="1158"/>
      <c r="HE27" s="1159"/>
      <c r="HF27" s="1151"/>
      <c r="HG27" s="1151"/>
      <c r="HH27" s="1151"/>
      <c r="HI27" s="1160"/>
      <c r="HJ27" s="1151"/>
      <c r="HK27" s="1151"/>
      <c r="HL27" s="1151"/>
      <c r="HM27" s="1151"/>
      <c r="HN27" s="1151"/>
      <c r="HO27" s="1151"/>
      <c r="HP27" s="1161"/>
      <c r="HQ27" s="1174"/>
    </row>
    <row r="28" spans="1:225" ht="12.6" customHeight="1" x14ac:dyDescent="0.25">
      <c r="A28" s="1449"/>
      <c r="B28" s="1450"/>
      <c r="C28" s="1682"/>
      <c r="D28" s="1451"/>
      <c r="E28" s="1449"/>
      <c r="F28" s="1452"/>
      <c r="G28" s="1449"/>
      <c r="H28" s="714"/>
      <c r="I28" s="1453"/>
      <c r="J28" s="1454"/>
      <c r="K28" s="1455"/>
      <c r="L28" s="1456"/>
      <c r="M28" s="1457"/>
      <c r="N28" s="1458"/>
      <c r="O28" s="1487"/>
      <c r="P28" s="1460"/>
      <c r="Q28" s="1410"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87"/>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87"/>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87"/>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87"/>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87"/>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87"/>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87"/>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87"/>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87"/>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87"/>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87"/>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87"/>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87"/>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88"/>
      <c r="P42" s="1473"/>
      <c r="Q42" s="1410"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SUM(C14:C42)</f>
        <v>0</v>
      </c>
      <c r="E47" s="30" t="b">
        <f>SUMIF(E14:E42,"BA*",C14:C42)&gt;0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3" t="s">
        <v>1170</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2" ht="12.6" customHeight="1" x14ac:dyDescent="0.2">
      <c r="AE301" s="635" t="s">
        <v>938</v>
      </c>
      <c r="AF301" s="635"/>
    </row>
  </sheetData>
  <sheetProtection selectLockedCells="1"/>
  <dataConsolidate link="1"/>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1005" priority="5">
      <formula>AND(NOT($S$1),$C14=0,OR($R$1="",$R$1="M"))</formula>
    </cfRule>
  </conditionalFormatting>
  <conditionalFormatting sqref="J2:L4">
    <cfRule type="cellIs" dxfId="1004" priority="25" stopIfTrue="1" operator="equal">
      <formula>""</formula>
    </cfRule>
  </conditionalFormatting>
  <conditionalFormatting sqref="G7">
    <cfRule type="cellIs" dxfId="1003" priority="26" stopIfTrue="1" operator="equal">
      <formula>"NO PAINT"</formula>
    </cfRule>
  </conditionalFormatting>
  <conditionalFormatting sqref="I7:K7">
    <cfRule type="expression" dxfId="1002" priority="27" stopIfTrue="1">
      <formula>NOT(OR(COUNTIF(masterFinishList, $I$7) &gt; 0, COUNTIF($I$7, "Other:*") &gt; 0))</formula>
    </cfRule>
  </conditionalFormatting>
  <conditionalFormatting sqref="F14:F42">
    <cfRule type="expression" dxfId="1001" priority="21">
      <formula>OR(ISERROR(VLOOKUP(E14,$V$27:$V$42,1,FALSE)),ISERROR(VLOOKUP(F14,$AB$27:$AB$42,1,FALSE)))</formula>
    </cfRule>
  </conditionalFormatting>
  <conditionalFormatting sqref="D14:D42">
    <cfRule type="expression" dxfId="1000" priority="9">
      <formula>OR(ISERROR(VLOOKUP(TRIM(D14),$AE$27:$AE$300,1,FALSE)),AND(NOT(ISERROR(VLOOKUP(E14,$V$27:$V$300,1,FALSE))),NOT(ISERROR(VLOOKUP(TRIM(D14),$U$27:$U$300,1,FALSE)))))</formula>
    </cfRule>
  </conditionalFormatting>
  <conditionalFormatting sqref="E14:E42">
    <cfRule type="expression" dxfId="999" priority="13">
      <formula>OR(ISERROR(VLOOKUP(E14,$W$27:$W$42,1,FALSE)),AND(NOT(ISERROR(VLOOKUP(E14,$V$27:$V$300,1,FALSE))),NOT(ISERROR(VLOOKUP(D14,$U$27:$U$300,1,FALSE)))))</formula>
    </cfRule>
  </conditionalFormatting>
  <conditionalFormatting sqref="I7:L7">
    <cfRule type="cellIs" dxfId="998" priority="6" operator="equal">
      <formula>0</formula>
    </cfRule>
  </conditionalFormatting>
  <conditionalFormatting sqref="A14:P42">
    <cfRule type="expression" dxfId="997" priority="42">
      <formula>$Q14</formula>
    </cfRule>
  </conditionalFormatting>
  <conditionalFormatting sqref="G14:G42">
    <cfRule type="expression" dxfId="996" priority="4">
      <formula>NOT(VLOOKUP($E14,$W$27:$AA$42,2,FALSE))</formula>
    </cfRule>
  </conditionalFormatting>
  <conditionalFormatting sqref="H14">
    <cfRule type="expression" dxfId="995" priority="3">
      <formula>NOT(VLOOKUP($E14,$W$27:$AA$42,3,FALSE))</formula>
    </cfRule>
  </conditionalFormatting>
  <conditionalFormatting sqref="I14:I42">
    <cfRule type="expression" dxfId="994" priority="2">
      <formula>NOT(VLOOKUP($E14,$W$27:$AA$42,4,FALSE))</formula>
    </cfRule>
  </conditionalFormatting>
  <conditionalFormatting sqref="J14:J42">
    <cfRule type="expression" dxfId="99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topLeftCell="A8"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578" t="str">
        <f>IF(ISBLANK(AL1),"",VLOOKUP(AL1,'Job Info.'!X:AA,4,FALSE))</f>
        <v>Master</v>
      </c>
      <c r="O1" s="2578"/>
      <c r="P1" s="2578"/>
      <c r="Q1" s="1971"/>
      <c r="R1" s="1971"/>
      <c r="S1"/>
      <c r="T1"/>
      <c r="U1" s="47" t="s">
        <v>95</v>
      </c>
      <c r="V1"/>
      <c r="W1" s="38"/>
      <c r="X1" s="2545" t="str">
        <f ca="1">'Job Info.'!D12</f>
        <v>775-428-0600</v>
      </c>
      <c r="Y1" s="2545"/>
      <c r="Z1" s="2545"/>
      <c r="AA1" s="2545"/>
      <c r="AB1" s="2545"/>
      <c r="AC1" s="48"/>
      <c r="AD1" s="48"/>
      <c r="AE1" s="48"/>
      <c r="AF1" s="48"/>
      <c r="AG1" s="48"/>
      <c r="AH1" s="48"/>
      <c r="AI1" s="48"/>
      <c r="AJ1" s="48"/>
      <c r="AK1" s="81" t="s">
        <v>64</v>
      </c>
      <c r="AL1" s="49" t="str">
        <f>'Job Info.'!Q30</f>
        <v>M</v>
      </c>
      <c r="AM1" s="49" t="b">
        <f>'Job Info.'!Q32</f>
        <v>0</v>
      </c>
      <c r="AN1" s="49" t="s">
        <v>424</v>
      </c>
      <c r="AQ1" s="2593" t="s">
        <v>444</v>
      </c>
      <c r="AR1" s="2594"/>
      <c r="AS1" s="2594"/>
      <c r="AT1" s="2594"/>
      <c r="AU1" s="2594"/>
      <c r="AV1" s="2594"/>
      <c r="AW1" s="2594" t="s">
        <v>445</v>
      </c>
      <c r="AX1" s="2594"/>
      <c r="AY1" s="2594"/>
      <c r="AZ1" s="2594"/>
      <c r="BA1" s="2594"/>
      <c r="BB1" s="2595"/>
      <c r="BC1" s="80" t="s">
        <v>65</v>
      </c>
    </row>
    <row r="2" spans="1:55" ht="15" customHeight="1" thickTop="1" thickBot="1" x14ac:dyDescent="0.25">
      <c r="A2"/>
      <c r="B2"/>
      <c r="C2"/>
      <c r="D2"/>
      <c r="E2"/>
      <c r="F2" s="39"/>
      <c r="G2"/>
      <c r="H2"/>
      <c r="I2"/>
      <c r="J2"/>
      <c r="K2" s="38"/>
      <c r="L2"/>
      <c r="M2"/>
      <c r="N2" s="2567" t="str">
        <f>IF(ISBLANK(AL1),"",IF(VLOOKUP(AL1,'Job Info.'!$X:$Z,2,FALSE),"Released for Fabrication",""))</f>
        <v/>
      </c>
      <c r="O2" s="2568"/>
      <c r="P2" s="2568"/>
      <c r="Q2" s="2569"/>
      <c r="R2" s="2570"/>
      <c r="S2"/>
      <c r="T2"/>
      <c r="U2" s="47" t="s">
        <v>96</v>
      </c>
      <c r="V2"/>
      <c r="W2" s="38"/>
      <c r="X2" s="2545" t="str">
        <f ca="1">'Job Info.'!D13</f>
        <v>775-867-2140</v>
      </c>
      <c r="Y2" s="2545"/>
      <c r="Z2" s="2545"/>
      <c r="AA2" s="2545"/>
      <c r="AB2" s="2545"/>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71"/>
      <c r="O3" s="2572"/>
      <c r="P3" s="2572"/>
      <c r="Q3" s="1868"/>
      <c r="R3" s="2573"/>
      <c r="S3"/>
      <c r="T3"/>
      <c r="U3" s="47" t="s">
        <v>98</v>
      </c>
      <c r="V3"/>
      <c r="W3" s="38"/>
      <c r="X3" s="2545" t="str">
        <f ca="1">'Job Info.'!D14</f>
        <v>775-867-2169</v>
      </c>
      <c r="Y3" s="2545"/>
      <c r="Z3" s="2545"/>
      <c r="AA3" s="2545"/>
      <c r="AB3" s="2545"/>
      <c r="AC3" s="48"/>
      <c r="AD3" s="48"/>
      <c r="AE3" s="48"/>
      <c r="AF3" s="48"/>
      <c r="AJ3" s="48"/>
      <c r="AN3" s="49" t="s">
        <v>430</v>
      </c>
      <c r="AP3" s="55">
        <v>1</v>
      </c>
      <c r="AQ3" s="55"/>
      <c r="AR3" s="55"/>
      <c r="AS3" s="55">
        <v>39</v>
      </c>
      <c r="AT3" s="55"/>
      <c r="AU3" s="55"/>
      <c r="AV3" s="74"/>
      <c r="AW3" s="75"/>
      <c r="AX3" s="55"/>
      <c r="AY3" s="55"/>
      <c r="AZ3" s="55"/>
      <c r="BA3" s="55"/>
      <c r="BB3" s="55"/>
    </row>
    <row r="4" spans="1:55" ht="15" customHeight="1" thickBot="1" x14ac:dyDescent="0.3">
      <c r="A4"/>
      <c r="B4"/>
      <c r="C4"/>
      <c r="D4"/>
      <c r="E4"/>
      <c r="F4" s="39"/>
      <c r="G4"/>
      <c r="H4"/>
      <c r="I4"/>
      <c r="J4"/>
      <c r="K4" s="38"/>
      <c r="L4"/>
      <c r="M4"/>
      <c r="N4" s="2574" t="str">
        <f>IF(ISBLANK(AL1),"",IF(VLOOKUP(AL1,'Job Info.'!$X:$Z,2,FALSE),VLOOKUP(AL1,'Job Info.'!$X:$Z,3,FALSE),""))</f>
        <v/>
      </c>
      <c r="O4" s="2575"/>
      <c r="P4" s="2575"/>
      <c r="Q4" s="2576"/>
      <c r="R4" s="2577"/>
      <c r="S4"/>
      <c r="T4"/>
      <c r="U4" s="47" t="s">
        <v>97</v>
      </c>
      <c r="V4"/>
      <c r="W4" s="38"/>
      <c r="X4" s="2545" t="str">
        <f ca="1">'Job Info.'!D15</f>
        <v>775-867-2060</v>
      </c>
      <c r="Y4" s="2545"/>
      <c r="Z4" s="2545"/>
      <c r="AA4" s="2545"/>
      <c r="AB4" s="2545"/>
      <c r="AC4" s="48"/>
      <c r="AD4" s="48"/>
      <c r="AE4" s="48"/>
      <c r="AF4" s="48"/>
      <c r="AJ4" s="48"/>
      <c r="AN4" s="49" t="s">
        <v>435</v>
      </c>
      <c r="AP4" s="54">
        <v>2</v>
      </c>
      <c r="AQ4" s="54"/>
      <c r="AR4" s="54"/>
      <c r="AS4" s="54">
        <v>24</v>
      </c>
      <c r="AT4" s="54"/>
      <c r="AU4" s="54"/>
      <c r="AV4" s="76"/>
      <c r="AW4" s="77"/>
      <c r="AX4" s="54"/>
      <c r="AY4" s="54"/>
      <c r="AZ4" s="54"/>
      <c r="BA4" s="54"/>
      <c r="BB4" s="54"/>
    </row>
    <row r="5" spans="1:55" ht="12.95" customHeight="1" thickTop="1" x14ac:dyDescent="0.2">
      <c r="A5" s="1803" t="str">
        <f ca="1">'Job Info.'!D11</f>
        <v>8200 Woolery Way | Fallon, NV 89406 | www.newmill.com</v>
      </c>
      <c r="B5" s="1803"/>
      <c r="C5" s="1803"/>
      <c r="D5" s="1803"/>
      <c r="E5" s="1803"/>
      <c r="F5" s="1803"/>
      <c r="G5" s="1803"/>
      <c r="H5" s="1803"/>
      <c r="I5" s="1803"/>
      <c r="J5" s="1803"/>
      <c r="K5" s="1803"/>
      <c r="L5" s="1803"/>
      <c r="M5" s="1803"/>
      <c r="N5" s="1803"/>
      <c r="O5" s="1803"/>
      <c r="P5"/>
      <c r="Q5"/>
      <c r="R5" s="39"/>
      <c r="S5"/>
      <c r="T5"/>
      <c r="U5"/>
      <c r="V5"/>
      <c r="W5"/>
      <c r="X5" s="460" t="s">
        <v>421</v>
      </c>
      <c r="Y5" s="2559">
        <v>44910.429548611108</v>
      </c>
      <c r="Z5" s="2560"/>
      <c r="AA5" s="2560"/>
      <c r="AB5"/>
      <c r="AC5" s="48"/>
      <c r="AD5" s="48"/>
      <c r="AE5" s="48"/>
      <c r="AF5" s="48"/>
      <c r="AP5" s="54">
        <v>3</v>
      </c>
      <c r="AQ5" s="54"/>
      <c r="AR5" s="54"/>
      <c r="AS5" s="54">
        <v>40</v>
      </c>
      <c r="AT5" s="54"/>
      <c r="AU5" s="54"/>
      <c r="AV5" s="76"/>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61"/>
      <c r="Z6" s="2562"/>
      <c r="AA6" s="2562"/>
      <c r="AB6"/>
      <c r="AC6" s="48"/>
      <c r="AD6" s="48"/>
      <c r="AE6" s="48"/>
      <c r="AF6" s="48"/>
      <c r="AP6" s="54">
        <v>4</v>
      </c>
      <c r="AQ6" s="54"/>
      <c r="AR6" s="54"/>
      <c r="AS6" s="54">
        <v>40</v>
      </c>
      <c r="AT6" s="54"/>
      <c r="AU6" s="54"/>
      <c r="AV6" s="76"/>
      <c r="AW6" s="77"/>
      <c r="AX6" s="54"/>
      <c r="AY6" s="54"/>
      <c r="AZ6" s="54"/>
      <c r="BA6" s="54"/>
      <c r="BB6" s="54"/>
    </row>
    <row r="7" spans="1:55" ht="12.95" customHeight="1" x14ac:dyDescent="0.25">
      <c r="A7" s="556" t="s">
        <v>436</v>
      </c>
      <c r="B7"/>
      <c r="C7"/>
      <c r="D7"/>
      <c r="E7"/>
      <c r="F7" s="39"/>
      <c r="G7"/>
      <c r="H7"/>
      <c r="I7"/>
      <c r="J7"/>
      <c r="K7"/>
      <c r="L7" s="2579" t="s">
        <v>424</v>
      </c>
      <c r="M7" s="2580"/>
      <c r="N7" s="2580"/>
      <c r="O7" s="2580"/>
      <c r="P7" s="2580"/>
      <c r="Q7" s="2580"/>
      <c r="R7" s="2580"/>
      <c r="S7"/>
      <c r="T7"/>
      <c r="U7"/>
      <c r="V7"/>
      <c r="W7"/>
      <c r="X7" s="555" t="s">
        <v>425</v>
      </c>
      <c r="Y7" s="2563"/>
      <c r="Z7" s="2564"/>
      <c r="AA7" s="2564"/>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65"/>
      <c r="Z8" s="2566"/>
      <c r="AA8" s="2566"/>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878" t="s">
        <v>1</v>
      </c>
      <c r="B9" s="2583"/>
      <c r="C9" s="2583"/>
      <c r="D9" s="2581" t="str">
        <f>IF(ISBLANK('Job Info.'!D3),"",'Job Info.'!D3)</f>
        <v>SUNCAP CHEYENNE&amp;COMMERCE BLDG A&amp;B PP</v>
      </c>
      <c r="E9" s="2581"/>
      <c r="F9" s="2581"/>
      <c r="G9" s="2581"/>
      <c r="H9" s="2581"/>
      <c r="I9" s="2581"/>
      <c r="J9" s="2581"/>
      <c r="K9" s="2581"/>
      <c r="L9" s="2581"/>
      <c r="M9" s="2581"/>
      <c r="N9" s="2581"/>
      <c r="O9" s="2581"/>
      <c r="P9" s="2582"/>
      <c r="Q9" s="553"/>
      <c r="R9" s="458" t="s">
        <v>2</v>
      </c>
      <c r="S9" s="2587" t="str">
        <f>IF(ISBLANK('Job Info.'!D5),"",'Job Info.'!D5)</f>
        <v>9122-0050</v>
      </c>
      <c r="T9" s="2581"/>
      <c r="U9" s="2581"/>
      <c r="V9" s="2581"/>
      <c r="W9" s="2581"/>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878" t="s">
        <v>3</v>
      </c>
      <c r="B10" s="2583"/>
      <c r="C10" s="2583"/>
      <c r="D10" s="2581" t="str">
        <f>IF(ISBLANK('Job Info.'!D4),"",'Job Info.'!D4)</f>
        <v>LAS VEGAS, NV</v>
      </c>
      <c r="E10" s="2581"/>
      <c r="F10" s="2581"/>
      <c r="G10" s="2581"/>
      <c r="H10" s="2581"/>
      <c r="I10" s="2581"/>
      <c r="J10" s="2581"/>
      <c r="K10" s="2581"/>
      <c r="L10" s="2581"/>
      <c r="M10" s="2581"/>
      <c r="N10" s="2581"/>
      <c r="O10" s="2581"/>
      <c r="P10" s="2582"/>
      <c r="Q10" s="553"/>
      <c r="R10" s="458" t="s">
        <v>428</v>
      </c>
      <c r="S10" s="2588" t="str">
        <f>IF(ISBLANK('Job Info.'!D6),"",'Job Info.'!D6)</f>
        <v>SA</v>
      </c>
      <c r="T10" s="2581"/>
      <c r="U10" s="96"/>
      <c r="V10" s="554"/>
      <c r="W10" s="458" t="s">
        <v>429</v>
      </c>
      <c r="X10" s="2581" t="str">
        <f>IF(ISBLANK('Job Info.'!D7),"",'Job Info.'!D7)</f>
        <v>NR</v>
      </c>
      <c r="Y10" s="2581"/>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585" t="s">
        <v>446</v>
      </c>
      <c r="D12" s="2585"/>
      <c r="E12" s="2585" t="s">
        <v>440</v>
      </c>
      <c r="F12" s="2585"/>
      <c r="G12" s="22" t="s">
        <v>447</v>
      </c>
      <c r="H12" s="56"/>
      <c r="I12" s="56"/>
      <c r="J12" s="56"/>
      <c r="K12" s="56"/>
      <c r="L12" s="1971" t="s">
        <v>802</v>
      </c>
      <c r="M12" s="1971"/>
      <c r="N12" s="1971"/>
      <c r="O12" s="1971"/>
      <c r="P12" s="1971"/>
      <c r="Q12" s="1971"/>
      <c r="R12" s="1971"/>
      <c r="S12" s="1971"/>
      <c r="T12" s="1971"/>
      <c r="U12" s="1971"/>
      <c r="V12" s="1971"/>
      <c r="W12" s="1971"/>
      <c r="X12" s="1971"/>
      <c r="Y12" s="1971"/>
      <c r="Z12" s="1971"/>
      <c r="AA12" s="1971"/>
      <c r="AB12" s="56"/>
      <c r="AC12" s="48"/>
      <c r="AD12" s="48"/>
      <c r="AE12" s="48"/>
      <c r="AP12" s="54"/>
      <c r="AQ12" s="54"/>
      <c r="AR12" s="54"/>
      <c r="AS12" s="54"/>
      <c r="AT12" s="54"/>
      <c r="AU12" s="54"/>
      <c r="AV12" s="76"/>
      <c r="AW12" s="77"/>
      <c r="AX12" s="54"/>
      <c r="AY12" s="54"/>
      <c r="AZ12" s="54"/>
      <c r="BA12" s="54"/>
      <c r="BB12" s="54"/>
    </row>
    <row r="13" spans="1:55" ht="12.95" customHeight="1" x14ac:dyDescent="0.2">
      <c r="A13" s="2584" t="s">
        <v>73</v>
      </c>
      <c r="B13" s="2584"/>
      <c r="C13" s="2586">
        <v>541</v>
      </c>
      <c r="D13" s="2586"/>
      <c r="E13" s="2522">
        <f>AO20</f>
        <v>0</v>
      </c>
      <c r="F13" s="2522"/>
      <c r="G13" s="2591">
        <f>E13-C13</f>
        <v>-541</v>
      </c>
      <c r="H13" s="2592"/>
      <c r="I13" s="2592"/>
      <c r="J13" s="2592"/>
      <c r="K13" s="40"/>
      <c r="L13" s="2596" t="s">
        <v>1859</v>
      </c>
      <c r="M13" s="2596"/>
      <c r="N13" s="2596"/>
      <c r="O13" s="2596"/>
      <c r="P13" s="2596"/>
      <c r="Q13" s="2596"/>
      <c r="R13" s="2596"/>
      <c r="S13" s="2596"/>
      <c r="T13" s="2596"/>
      <c r="U13" s="2596"/>
      <c r="V13" s="2596"/>
      <c r="W13" s="2596"/>
      <c r="X13" s="2596"/>
      <c r="Y13" s="2596"/>
      <c r="Z13" s="2596"/>
      <c r="AA13" s="2596"/>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84" t="s">
        <v>437</v>
      </c>
      <c r="B14" s="2584"/>
      <c r="C14" s="2586">
        <v>726</v>
      </c>
      <c r="D14" s="2586"/>
      <c r="E14" s="2522">
        <f>AO21</f>
        <v>0</v>
      </c>
      <c r="F14" s="2522"/>
      <c r="G14" s="2591">
        <f>E14-C14</f>
        <v>-726</v>
      </c>
      <c r="H14" s="2592"/>
      <c r="I14" s="2592"/>
      <c r="J14" s="2592"/>
      <c r="K14" s="58"/>
      <c r="L14" s="2596"/>
      <c r="M14" s="2596"/>
      <c r="N14" s="2596"/>
      <c r="O14" s="2596"/>
      <c r="P14" s="2596"/>
      <c r="Q14" s="2596"/>
      <c r="R14" s="2596"/>
      <c r="S14" s="2596"/>
      <c r="T14" s="2596"/>
      <c r="U14" s="2596"/>
      <c r="V14" s="2596"/>
      <c r="W14" s="2596"/>
      <c r="X14" s="2596"/>
      <c r="Y14" s="2596"/>
      <c r="Z14" s="2596"/>
      <c r="AA14" s="2596"/>
      <c r="AB14" s="58"/>
      <c r="AC14" s="48"/>
      <c r="AD14" s="48"/>
      <c r="AE14" s="48"/>
      <c r="AN14" s="91" t="s">
        <v>458</v>
      </c>
      <c r="AO14" s="92">
        <v>0</v>
      </c>
      <c r="AP14" s="54"/>
      <c r="AQ14" s="54"/>
      <c r="AR14" s="54"/>
      <c r="AS14" s="54"/>
      <c r="AT14" s="54"/>
      <c r="AU14" s="54"/>
      <c r="AV14" s="76"/>
      <c r="AW14" s="77"/>
      <c r="AX14" s="54"/>
      <c r="AY14" s="54"/>
      <c r="AZ14" s="54"/>
      <c r="BA14" s="54"/>
      <c r="BB14" s="54"/>
    </row>
    <row r="15" spans="1:55" ht="12.95" customHeight="1" x14ac:dyDescent="0.25">
      <c r="A15" s="2584" t="s">
        <v>438</v>
      </c>
      <c r="B15" s="2584"/>
      <c r="C15" s="2586">
        <v>143</v>
      </c>
      <c r="D15" s="2586"/>
      <c r="E15" s="2522">
        <f>AO22</f>
        <v>143</v>
      </c>
      <c r="F15" s="2522"/>
      <c r="G15" s="2591">
        <f>E15-C15</f>
        <v>0</v>
      </c>
      <c r="H15" s="2592"/>
      <c r="I15" s="2592"/>
      <c r="J15" s="2592"/>
      <c r="K15" s="46"/>
      <c r="L15" s="2596"/>
      <c r="M15" s="2596"/>
      <c r="N15" s="2596"/>
      <c r="O15" s="2596"/>
      <c r="P15" s="2596"/>
      <c r="Q15" s="2596"/>
      <c r="R15" s="2596"/>
      <c r="S15" s="2596"/>
      <c r="T15" s="2596"/>
      <c r="U15" s="2596"/>
      <c r="V15" s="2596"/>
      <c r="W15" s="2596"/>
      <c r="X15" s="2596"/>
      <c r="Y15" s="2596"/>
      <c r="Z15" s="2596"/>
      <c r="AA15" s="2596"/>
      <c r="AB15" s="43"/>
      <c r="AC15" s="48"/>
      <c r="AD15" s="48"/>
      <c r="AE15" s="48"/>
      <c r="AN15" s="91" t="s">
        <v>459</v>
      </c>
      <c r="AO15" s="92">
        <v>143</v>
      </c>
      <c r="AP15" s="54"/>
      <c r="AQ15" s="54"/>
      <c r="AR15" s="54"/>
      <c r="AS15" s="54"/>
      <c r="AT15" s="54"/>
      <c r="AU15" s="54"/>
      <c r="AV15" s="76"/>
      <c r="AW15" s="77"/>
      <c r="AX15" s="54"/>
      <c r="AY15" s="54"/>
      <c r="AZ15" s="54"/>
      <c r="BA15" s="54"/>
      <c r="BB15" s="54"/>
    </row>
    <row r="16" spans="1:55" ht="12.95" customHeight="1" x14ac:dyDescent="0.25">
      <c r="A16" s="2589" t="s">
        <v>1007</v>
      </c>
      <c r="B16" s="2584"/>
      <c r="C16" s="2586"/>
      <c r="D16" s="2586"/>
      <c r="E16" s="2522">
        <f>AO23</f>
        <v>0</v>
      </c>
      <c r="F16" s="2522"/>
      <c r="G16" s="2591">
        <f>E16-C16</f>
        <v>0</v>
      </c>
      <c r="H16" s="2592"/>
      <c r="I16" s="2592"/>
      <c r="J16" s="2592"/>
      <c r="K16" s="46"/>
      <c r="L16" s="2596"/>
      <c r="M16" s="2596"/>
      <c r="N16" s="2596"/>
      <c r="O16" s="2596"/>
      <c r="P16" s="2596"/>
      <c r="Q16" s="2596"/>
      <c r="R16" s="2596"/>
      <c r="S16" s="2596"/>
      <c r="T16" s="2596"/>
      <c r="U16" s="2596"/>
      <c r="V16" s="2596"/>
      <c r="W16" s="2596"/>
      <c r="X16" s="2596"/>
      <c r="Y16" s="2596"/>
      <c r="Z16" s="2596"/>
      <c r="AA16" s="2596"/>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84" t="s">
        <v>439</v>
      </c>
      <c r="B17" s="2584"/>
      <c r="C17" s="2590"/>
      <c r="D17" s="2590"/>
      <c r="E17" s="2522">
        <f>AO24</f>
        <v>0</v>
      </c>
      <c r="F17" s="2522"/>
      <c r="G17" s="39"/>
      <c r="H17" s="57"/>
      <c r="I17" s="45"/>
      <c r="J17" s="45"/>
      <c r="K17" s="46"/>
      <c r="L17" s="2596"/>
      <c r="M17" s="2596"/>
      <c r="N17" s="2596"/>
      <c r="O17" s="2596"/>
      <c r="P17" s="2596"/>
      <c r="Q17" s="2596"/>
      <c r="R17" s="2596"/>
      <c r="S17" s="2596"/>
      <c r="T17" s="2596"/>
      <c r="U17" s="2596"/>
      <c r="V17" s="2596"/>
      <c r="W17" s="2596"/>
      <c r="X17" s="2596"/>
      <c r="Y17" s="2596"/>
      <c r="Z17" s="2596"/>
      <c r="AA17" s="2596"/>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555">
        <f>SUM(C13:D16)</f>
        <v>1410</v>
      </c>
      <c r="D18" s="2556"/>
      <c r="E18" s="78" t="s">
        <v>448</v>
      </c>
      <c r="F18" s="39"/>
      <c r="G18" s="44"/>
      <c r="H18" s="57"/>
      <c r="I18" s="45"/>
      <c r="J18" s="45"/>
      <c r="K18" s="46"/>
      <c r="L18" s="2596"/>
      <c r="M18" s="2596"/>
      <c r="N18" s="2596"/>
      <c r="O18" s="2596"/>
      <c r="P18" s="2596"/>
      <c r="Q18" s="2596"/>
      <c r="R18" s="2596"/>
      <c r="S18" s="2596"/>
      <c r="T18" s="2596"/>
      <c r="U18" s="2596"/>
      <c r="V18" s="2596"/>
      <c r="W18" s="2596"/>
      <c r="X18" s="2596"/>
      <c r="Y18" s="2596"/>
      <c r="Z18" s="2596"/>
      <c r="AA18" s="2596"/>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557" t="str">
        <f>IF(NOT(AO17),"No Bridging Anchors Listed On BOM","")</f>
        <v>No Bridging Anchors Listed On BOM</v>
      </c>
      <c r="D19" s="2558"/>
      <c r="E19" s="2558"/>
      <c r="F19" s="2558"/>
      <c r="G19" s="2558"/>
      <c r="H19" s="557"/>
      <c r="I19"/>
      <c r="J19"/>
      <c r="K19" s="46"/>
      <c r="L19" s="2597"/>
      <c r="M19" s="2597"/>
      <c r="N19" s="2597"/>
      <c r="O19" s="2597"/>
      <c r="P19" s="2597"/>
      <c r="Q19" s="2597"/>
      <c r="R19" s="2597"/>
      <c r="S19" s="2597"/>
      <c r="T19" s="2597"/>
      <c r="U19" s="2597"/>
      <c r="V19" s="2597"/>
      <c r="W19" s="2597"/>
      <c r="X19" s="2597"/>
      <c r="Y19" s="2597"/>
      <c r="Z19" s="2597"/>
      <c r="AA19" s="2597"/>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2">
        <f>SUM(AQ:AQ)</f>
        <v>0</v>
      </c>
      <c r="AP20" s="54"/>
      <c r="AQ20" s="54"/>
      <c r="AR20" s="54"/>
      <c r="AS20" s="54"/>
      <c r="AT20" s="54"/>
      <c r="AU20" s="54"/>
      <c r="AV20" s="76"/>
      <c r="AW20" s="77"/>
      <c r="AX20" s="54"/>
      <c r="AY20" s="54"/>
      <c r="AZ20" s="54"/>
      <c r="BA20" s="54"/>
      <c r="BB20" s="54"/>
    </row>
    <row r="21" spans="1:54" ht="12.95" customHeight="1" x14ac:dyDescent="0.25">
      <c r="A21"/>
      <c r="B21" s="2598" t="s">
        <v>442</v>
      </c>
      <c r="C21" s="2598"/>
      <c r="D21" s="2598"/>
      <c r="E21" s="2598"/>
      <c r="F21" s="2598"/>
      <c r="G21" s="2598"/>
      <c r="H21" s="2598"/>
      <c r="I21" s="2598"/>
      <c r="J21" s="2598"/>
      <c r="K21" s="2598"/>
      <c r="L21" s="2598"/>
      <c r="M21" s="2598"/>
      <c r="N21" s="2598"/>
      <c r="O21" s="2598"/>
      <c r="P21" s="2598"/>
      <c r="Q21" s="2598"/>
      <c r="R21" s="2598"/>
      <c r="S21" s="2598"/>
      <c r="T21" s="2598"/>
      <c r="U21" s="2598"/>
      <c r="V21" s="2598"/>
      <c r="W21" s="2598"/>
      <c r="X21" s="2598"/>
      <c r="Y21" s="2598"/>
      <c r="Z21" s="2598"/>
      <c r="AA21" s="2598"/>
      <c r="AB21" s="43"/>
      <c r="AC21" s="48"/>
      <c r="AD21" s="48"/>
      <c r="AN21" s="231" t="s">
        <v>1185</v>
      </c>
      <c r="AO21" s="1282">
        <f>SUM(AR:AR)</f>
        <v>0</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2">
        <f>SUM(AS:AS)</f>
        <v>143</v>
      </c>
      <c r="AP22" s="54"/>
      <c r="AQ22" s="54"/>
      <c r="AR22" s="54"/>
      <c r="AS22" s="54"/>
      <c r="AT22" s="54"/>
      <c r="AU22" s="54"/>
      <c r="AV22" s="76"/>
      <c r="AW22" s="77"/>
      <c r="AX22" s="54"/>
      <c r="AY22" s="54"/>
      <c r="AZ22" s="54"/>
      <c r="BA22" s="54"/>
      <c r="BB22" s="54"/>
    </row>
    <row r="23" spans="1:54" ht="12.95" customHeight="1" x14ac:dyDescent="0.2">
      <c r="A23"/>
      <c r="B23" s="41"/>
      <c r="C23" s="42"/>
      <c r="D23" s="2533" t="str">
        <f ca="1">IF(ISBLANK(OFFSET($AP$2,D22,0)),"Project Total",CONCATENATE("Seq. ",OFFSET($AP$2,D22,0)))</f>
        <v>Seq. 1</v>
      </c>
      <c r="E23" s="2534"/>
      <c r="F23" s="2534"/>
      <c r="G23" s="2535"/>
      <c r="H23" s="2533" t="str">
        <f ca="1">IF(ISBLANK(OFFSET($AP$2,H22,0)),"",CONCATENATE("Seq. ",OFFSET($AP$2,H22,0)))</f>
        <v>Seq. 2</v>
      </c>
      <c r="I23" s="2534"/>
      <c r="J23" s="2534"/>
      <c r="K23" s="2535"/>
      <c r="L23" s="2533" t="str">
        <f ca="1">IF(ISBLANK(OFFSET($AP$2,L22,0)),"",CONCATENATE("Seq. ",OFFSET($AP$2,L22,0)))</f>
        <v>Seq. 3</v>
      </c>
      <c r="M23" s="2534"/>
      <c r="N23" s="2534"/>
      <c r="O23" s="2535"/>
      <c r="P23" s="2533" t="str">
        <f ca="1">IF(ISBLANK(OFFSET($AP$2,P22,0)),"",CONCATENATE("Seq. ",OFFSET($AP$2,P22,0)))</f>
        <v>Seq. 4</v>
      </c>
      <c r="Q23" s="2534"/>
      <c r="R23" s="2534"/>
      <c r="S23" s="2535"/>
      <c r="T23" s="2533" t="str">
        <f ca="1">IF(ISBLANK(OFFSET($AP$2,T22,0)),"",CONCATENATE("Seq. ",OFFSET($AP$2,T22,0)))</f>
        <v/>
      </c>
      <c r="U23" s="2534"/>
      <c r="V23" s="2534"/>
      <c r="W23" s="2535"/>
      <c r="X23" s="2533" t="str">
        <f ca="1">IF(ISBLANK(OFFSET($AP$2,X22,0)),"",CONCATENATE("Seq. ",OFFSET($AP$2,X22,0)))</f>
        <v/>
      </c>
      <c r="Y23" s="2534"/>
      <c r="Z23" s="2534"/>
      <c r="AA23" s="2535"/>
      <c r="AB23" s="43"/>
      <c r="AC23" s="48"/>
      <c r="AD23" s="48"/>
      <c r="AE23" s="48"/>
      <c r="AF23" s="48"/>
      <c r="AG23" s="48"/>
      <c r="AH23" s="48"/>
      <c r="AI23" s="48"/>
      <c r="AJ23" s="48"/>
      <c r="AN23" s="231" t="s">
        <v>1187</v>
      </c>
      <c r="AO23" s="1282">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36" t="s">
        <v>440</v>
      </c>
      <c r="E24" s="2537"/>
      <c r="F24" s="2537" t="s">
        <v>441</v>
      </c>
      <c r="G24" s="2538"/>
      <c r="H24" s="2536" t="s">
        <v>440</v>
      </c>
      <c r="I24" s="2537"/>
      <c r="J24" s="2537" t="s">
        <v>441</v>
      </c>
      <c r="K24" s="2538"/>
      <c r="L24" s="2536" t="s">
        <v>440</v>
      </c>
      <c r="M24" s="2537"/>
      <c r="N24" s="2537" t="s">
        <v>441</v>
      </c>
      <c r="O24" s="2538"/>
      <c r="P24" s="2536" t="s">
        <v>440</v>
      </c>
      <c r="Q24" s="2537"/>
      <c r="R24" s="2537" t="s">
        <v>441</v>
      </c>
      <c r="S24" s="2538"/>
      <c r="T24" s="2536" t="s">
        <v>440</v>
      </c>
      <c r="U24" s="2537"/>
      <c r="V24" s="2537" t="s">
        <v>441</v>
      </c>
      <c r="W24" s="2538"/>
      <c r="X24" s="2536" t="s">
        <v>440</v>
      </c>
      <c r="Y24" s="2537"/>
      <c r="Z24" s="2537" t="s">
        <v>441</v>
      </c>
      <c r="AA24" s="2538"/>
      <c r="AB24" s="43"/>
      <c r="AC24" s="48"/>
      <c r="AD24" s="48"/>
      <c r="AE24" s="48"/>
      <c r="AF24" s="48"/>
      <c r="AG24" s="48"/>
      <c r="AH24" s="48"/>
      <c r="AI24" s="48"/>
      <c r="AJ24" s="48"/>
      <c r="AN24" s="231" t="s">
        <v>1188</v>
      </c>
      <c r="AO24" s="1282">
        <f>SUM(AV:AV)</f>
        <v>0</v>
      </c>
      <c r="AP24" s="54"/>
      <c r="AQ24" s="54"/>
      <c r="AR24" s="54"/>
      <c r="AS24" s="54"/>
      <c r="AT24" s="54"/>
      <c r="AU24" s="54"/>
      <c r="AV24" s="76"/>
      <c r="AW24" s="77"/>
      <c r="AX24" s="54"/>
      <c r="AY24" s="54"/>
      <c r="AZ24" s="54"/>
      <c r="BA24" s="54"/>
      <c r="BB24" s="54"/>
    </row>
    <row r="25" spans="1:54" ht="12.95" customHeight="1" x14ac:dyDescent="0.2">
      <c r="A25"/>
      <c r="B25" s="2539" t="s">
        <v>73</v>
      </c>
      <c r="C25" s="2540"/>
      <c r="D25" s="2521">
        <f ca="1">OFFSET($AQ$2,D22,0)+OFFSET($AU$2,D22,0)</f>
        <v>0</v>
      </c>
      <c r="E25" s="2522"/>
      <c r="F25" s="2523">
        <f ca="1">(OFFSET($AQ$2,D22,0)+OFFSET($AU$2,D22,0))-(OFFSET($AW$2,D22,0)+OFFSET($BA$2,D22,0))</f>
        <v>0</v>
      </c>
      <c r="G25" s="2524"/>
      <c r="H25" s="2521">
        <f ca="1">IF(ISBLANK(OFFSET($AP$2,H22,0)),"",OFFSET($AQ$2,H22,0)+OFFSET($AU$2,H22,0))</f>
        <v>0</v>
      </c>
      <c r="I25" s="2522"/>
      <c r="J25" s="2523">
        <f ca="1">IF(ISBLANK(OFFSET($AP$2,H22,0)),"",(OFFSET($AQ$2,H22,0)+OFFSET($AU$2,H22,0))-(OFFSET($AW$2,H22,0)+OFFSET($BA$2,H22,0)))</f>
        <v>0</v>
      </c>
      <c r="K25" s="2524"/>
      <c r="L25" s="2521">
        <f ca="1">IF(ISBLANK(OFFSET($AP$2,L22,0)),"",OFFSET($AQ$2,L22,0)+OFFSET($AU$2,L22,0))</f>
        <v>0</v>
      </c>
      <c r="M25" s="2522"/>
      <c r="N25" s="2523">
        <f ca="1">IF(ISBLANK(OFFSET($AP$2,L22,0)),"",(OFFSET($AQ$2,L22,0)+OFFSET($AU$2,L22,0))-(OFFSET($AW$2,L22,0)+OFFSET($BA$2,L22,0)))</f>
        <v>0</v>
      </c>
      <c r="O25" s="2524"/>
      <c r="P25" s="2521">
        <f ca="1">IF(ISBLANK(OFFSET($AP$2,P22,0)),"",OFFSET($AQ$2,P22,0)+OFFSET($AU$2,P22,0))</f>
        <v>0</v>
      </c>
      <c r="Q25" s="2522"/>
      <c r="R25" s="2523">
        <f ca="1">IF(ISBLANK(OFFSET($AP$2,P22,0)),"",(OFFSET($AQ$2,P22,0)+OFFSET($AU$2,P22,0))-(OFFSET($AW$2,P22,0)+OFFSET($BA$2,P22,0)))</f>
        <v>0</v>
      </c>
      <c r="S25" s="2524"/>
      <c r="T25" s="2521" t="str">
        <f ca="1">IF(ISBLANK(OFFSET($AP$2,T22,0)),"",OFFSET($AQ$2,T22,0)+OFFSET($AU$2,T22,0))</f>
        <v/>
      </c>
      <c r="U25" s="2522"/>
      <c r="V25" s="2523" t="str">
        <f ca="1">IF(ISBLANK(OFFSET($AP$2,T22,0)),"",(OFFSET($AQ$2,T22,0)+OFFSET($AU$2,T22,0))-(OFFSET($AW$2,T22,0)+OFFSET($BA$2,T22,0)))</f>
        <v/>
      </c>
      <c r="W25" s="2524"/>
      <c r="X25" s="2521" t="str">
        <f ca="1">IF(ISBLANK(OFFSET($AP$2,X22,0)),"",OFFSET($AQ$2,X22,0)+OFFSET($AU$2,X22,0))</f>
        <v/>
      </c>
      <c r="Y25" s="2522"/>
      <c r="Z25" s="2523" t="str">
        <f ca="1">IF(ISBLANK(OFFSET($AP$2,X22,0)),"",(OFFSET($AQ$2,X22,0)+OFFSET($AU$2,X22,0))-(OFFSET($AW$2,X22,0)+OFFSET($BA$2,X22,0)))</f>
        <v/>
      </c>
      <c r="AA25" s="2524"/>
      <c r="AB25" s="43"/>
      <c r="AC25" s="48"/>
      <c r="AD25" s="48"/>
      <c r="AE25" s="48"/>
      <c r="AF25" s="48"/>
      <c r="AG25" s="48"/>
      <c r="AH25" s="48"/>
      <c r="AI25" s="48"/>
      <c r="AJ25" s="48"/>
      <c r="AN25" s="231" t="s">
        <v>1189</v>
      </c>
      <c r="AO25" s="1282">
        <f>COUNTA(AP:AP)-1</f>
        <v>4</v>
      </c>
      <c r="AP25" s="54"/>
      <c r="AQ25" s="54"/>
      <c r="AR25" s="54"/>
      <c r="AS25" s="54"/>
      <c r="AT25" s="54"/>
      <c r="AU25" s="54"/>
      <c r="AV25" s="76"/>
      <c r="AW25" s="77"/>
      <c r="AX25" s="54"/>
      <c r="AY25" s="54"/>
      <c r="AZ25" s="54"/>
      <c r="BA25" s="54"/>
      <c r="BB25" s="54"/>
    </row>
    <row r="26" spans="1:54" ht="12.95" customHeight="1" x14ac:dyDescent="0.2">
      <c r="A26"/>
      <c r="B26" s="2525" t="s">
        <v>437</v>
      </c>
      <c r="C26" s="2526"/>
      <c r="D26" s="2521">
        <f ca="1">OFFSET($AR$2,D22,0)</f>
        <v>0</v>
      </c>
      <c r="E26" s="2522"/>
      <c r="F26" s="2523">
        <f ca="1">OFFSET($AR$2,D22,0)-OFFSET($AX$2,D22,0)</f>
        <v>0</v>
      </c>
      <c r="G26" s="2524"/>
      <c r="H26" s="2521">
        <f ca="1">IF(ISBLANK(OFFSET($AP$2,H22,0)),"",OFFSET($AR$2,H22,0))</f>
        <v>0</v>
      </c>
      <c r="I26" s="2522"/>
      <c r="J26" s="2523">
        <f ca="1">IF(ISBLANK(OFFSET($AP$2,H22,0)),"",OFFSET($AR$2,H22,0)-OFFSET($AX$2,H22,0))</f>
        <v>0</v>
      </c>
      <c r="K26" s="2524"/>
      <c r="L26" s="2521">
        <f ca="1">IF(ISBLANK(OFFSET($AP$2,L22,0)),"",OFFSET($AR$2,L22,0))</f>
        <v>0</v>
      </c>
      <c r="M26" s="2522"/>
      <c r="N26" s="2523">
        <f ca="1">IF(ISBLANK(OFFSET($AP$2,L22,0)),"",OFFSET($AR$2,L22,0)-OFFSET($AX$2,L22,0))</f>
        <v>0</v>
      </c>
      <c r="O26" s="2524"/>
      <c r="P26" s="2521">
        <f ca="1">IF(ISBLANK(OFFSET($AP$2,P22,0)),"",OFFSET($AR$2,P22,0))</f>
        <v>0</v>
      </c>
      <c r="Q26" s="2522"/>
      <c r="R26" s="2523">
        <f ca="1">IF(ISBLANK(OFFSET($AP$2,P22,0)),"",OFFSET($AR$2,P22,0)-OFFSET($AX$2,P22,0))</f>
        <v>0</v>
      </c>
      <c r="S26" s="2524"/>
      <c r="T26" s="2521" t="str">
        <f ca="1">IF(ISBLANK(OFFSET($AP$2,T22,0)),"",OFFSET($AR$2,T22,0))</f>
        <v/>
      </c>
      <c r="U26" s="2522"/>
      <c r="V26" s="2523" t="str">
        <f ca="1">IF(ISBLANK(OFFSET($AP$2,T22,0)),"",OFFSET($AR$2,T22,0)-OFFSET($AX$2,T22,0))</f>
        <v/>
      </c>
      <c r="W26" s="2524"/>
      <c r="X26" s="2521" t="str">
        <f ca="1">IF(ISBLANK(OFFSET($AP$2,X22,0)),"",OFFSET($AR$2,X22,0))</f>
        <v/>
      </c>
      <c r="Y26" s="2522"/>
      <c r="Z26" s="2523" t="str">
        <f ca="1">IF(ISBLANK(OFFSET($AP$2,X22,0)),"",OFFSET($AR$2,X22,0)-OFFSET($AX$2,X22,0))</f>
        <v/>
      </c>
      <c r="AA26" s="2524"/>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25" t="s">
        <v>438</v>
      </c>
      <c r="C27" s="2526"/>
      <c r="D27" s="2521">
        <f ca="1">OFFSET($AS$2,D22,0)</f>
        <v>39</v>
      </c>
      <c r="E27" s="2522"/>
      <c r="F27" s="2523">
        <f ca="1">OFFSET($AS$2,D22,0)-OFFSET($AY$2,D22,0)</f>
        <v>39</v>
      </c>
      <c r="G27" s="2524"/>
      <c r="H27" s="2521">
        <f ca="1">IF(ISBLANK(OFFSET($AP$2,H22,0)),"",OFFSET($AS$2,H22,0))</f>
        <v>24</v>
      </c>
      <c r="I27" s="2522"/>
      <c r="J27" s="2523">
        <f ca="1">IF(ISBLANK(OFFSET($AP$2,H22,0)),"",OFFSET($AS$2,H22,0)-OFFSET($AY$2,H22,0))</f>
        <v>24</v>
      </c>
      <c r="K27" s="2524"/>
      <c r="L27" s="2521">
        <f ca="1">IF(ISBLANK(OFFSET($AP$2,L22,0)),"",OFFSET($AS$2,L22,0))</f>
        <v>40</v>
      </c>
      <c r="M27" s="2522"/>
      <c r="N27" s="2523">
        <f ca="1">IF(ISBLANK(OFFSET($AP$2,L22,0)),"",OFFSET($AS$2,L22,0)-OFFSET($AY$2,L22,0))</f>
        <v>40</v>
      </c>
      <c r="O27" s="2524"/>
      <c r="P27" s="2521">
        <f ca="1">IF(ISBLANK(OFFSET($AP$2,P22,0)),"",OFFSET($AS$2,P22,0))</f>
        <v>40</v>
      </c>
      <c r="Q27" s="2522"/>
      <c r="R27" s="2523">
        <f ca="1">IF(ISBLANK(OFFSET($AP$2,P22,0)),"",OFFSET($AS$2,P22,0)-OFFSET($AY$2,P22,0))</f>
        <v>40</v>
      </c>
      <c r="S27" s="2524"/>
      <c r="T27" s="2521" t="str">
        <f ca="1">IF(ISBLANK(OFFSET($AP$2,T22,0)),"",OFFSET($AS$2,T22,0))</f>
        <v/>
      </c>
      <c r="U27" s="2522"/>
      <c r="V27" s="2523" t="str">
        <f ca="1">IF(ISBLANK(OFFSET($AP$2,T22,0)),"",OFFSET($AS$2,T22,0)-OFFSET($AY$2,T22,0))</f>
        <v/>
      </c>
      <c r="W27" s="2524"/>
      <c r="X27" s="2521" t="str">
        <f ca="1">IF(ISBLANK(OFFSET($AP$2,X22,0)),"",OFFSET($AS$2,X22,0))</f>
        <v/>
      </c>
      <c r="Y27" s="2522"/>
      <c r="Z27" s="2523" t="str">
        <f ca="1">IF(ISBLANK(OFFSET($AP$2,X22,0)),"",OFFSET($AS$2,X22,0)-OFFSET($AY$2,X22,0))</f>
        <v/>
      </c>
      <c r="AA27" s="2524"/>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25" t="s">
        <v>75</v>
      </c>
      <c r="C28" s="2526"/>
      <c r="D28" s="2521">
        <f ca="1">OFFSET($AT$2,D22,0)</f>
        <v>0</v>
      </c>
      <c r="E28" s="2522"/>
      <c r="F28" s="2523">
        <f ca="1">OFFSET($AT$2,D22,0)-OFFSET($AZ$2,D22,0)</f>
        <v>0</v>
      </c>
      <c r="G28" s="2524"/>
      <c r="H28" s="2521">
        <f ca="1">IF(ISBLANK(OFFSET($AP$2,H22,0)),"",OFFSET($AT$2,H22,0))</f>
        <v>0</v>
      </c>
      <c r="I28" s="2522"/>
      <c r="J28" s="2523">
        <f ca="1">IF(ISBLANK(OFFSET($AP$2,H22,0)),"",OFFSET($AT$2,H22,0)-OFFSET($AZ$2,H22,0))</f>
        <v>0</v>
      </c>
      <c r="K28" s="2524"/>
      <c r="L28" s="2521">
        <f ca="1">IF(ISBLANK(OFFSET($AP$2,L22,0)),"",OFFSET($AT$2,L22,0))</f>
        <v>0</v>
      </c>
      <c r="M28" s="2522"/>
      <c r="N28" s="2523">
        <f ca="1">IF(ISBLANK(OFFSET($AP$2,L22,0)),"",OFFSET($AT$2,L22,0)-OFFSET($AZ$2,L22,0))</f>
        <v>0</v>
      </c>
      <c r="O28" s="2524"/>
      <c r="P28" s="2521">
        <f ca="1">IF(ISBLANK(OFFSET($AP$2,P22,0)),"",OFFSET($AT$2,P22,0))</f>
        <v>0</v>
      </c>
      <c r="Q28" s="2522"/>
      <c r="R28" s="2523">
        <f ca="1">IF(ISBLANK(OFFSET($AP$2,P22,0)),"",OFFSET($AT$2,P22,0)-OFFSET($AZ$2,P22,0))</f>
        <v>0</v>
      </c>
      <c r="S28" s="2524"/>
      <c r="T28" s="2521" t="str">
        <f ca="1">IF(ISBLANK(OFFSET($AP$2,T22,0)),"",OFFSET($AT$2,T22,0))</f>
        <v/>
      </c>
      <c r="U28" s="2522"/>
      <c r="V28" s="2523" t="str">
        <f ca="1">IF(ISBLANK(OFFSET($AP$2,T22,0)),"",OFFSET($AT$2,T22,0)-OFFSET($AZ$2,T22,0))</f>
        <v/>
      </c>
      <c r="W28" s="2524"/>
      <c r="X28" s="2521" t="str">
        <f ca="1">IF(ISBLANK(OFFSET($AP$2,X22,0)),"",OFFSET($AT$2,X22,0))</f>
        <v/>
      </c>
      <c r="Y28" s="2522"/>
      <c r="Z28" s="2523" t="str">
        <f ca="1">IF(ISBLANK(OFFSET($AP$2,X22,0)),"",OFFSET($AT$2,X22,0)-OFFSET($AZ$2,X22,0))</f>
        <v/>
      </c>
      <c r="AA28" s="2524"/>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27" t="s">
        <v>439</v>
      </c>
      <c r="C29" s="2528"/>
      <c r="D29" s="2529">
        <f ca="1">OFFSET($AV$2,D22,0)</f>
        <v>0</v>
      </c>
      <c r="E29" s="2530"/>
      <c r="F29" s="2531">
        <f ca="1">OFFSET($AV$2,D22,0)-OFFSET($BB$2,D22,0)</f>
        <v>0</v>
      </c>
      <c r="G29" s="2532"/>
      <c r="H29" s="2529">
        <f ca="1">IF(ISBLANK(OFFSET($AP$2,H22,0)),"",OFFSET($AV$2,H22,0))</f>
        <v>0</v>
      </c>
      <c r="I29" s="2530"/>
      <c r="J29" s="2531">
        <f ca="1">IF(ISBLANK(OFFSET($AP$2,H22,0)),"",OFFSET($AV$2,H22,0)-OFFSET($BB$2,H22,0))</f>
        <v>0</v>
      </c>
      <c r="K29" s="2532"/>
      <c r="L29" s="2529">
        <f ca="1">IF(ISBLANK(OFFSET($AP$2,L22,0)),"",OFFSET($AV$2,L22,0))</f>
        <v>0</v>
      </c>
      <c r="M29" s="2530"/>
      <c r="N29" s="2531">
        <f ca="1">IF(ISBLANK(OFFSET($AP$2,L22,0)),"",OFFSET($AV$2,L22,0)-OFFSET($BB$2,L22,0))</f>
        <v>0</v>
      </c>
      <c r="O29" s="2532"/>
      <c r="P29" s="2529">
        <f ca="1">IF(ISBLANK(OFFSET($AP$2,P22,0)),"",OFFSET($AV$2,P22,0))</f>
        <v>0</v>
      </c>
      <c r="Q29" s="2530"/>
      <c r="R29" s="2531">
        <f ca="1">IF(ISBLANK(OFFSET($AP$2,P22,0)),"",OFFSET($AV$2,P22,0)-OFFSET($BB$2,P22,0))</f>
        <v>0</v>
      </c>
      <c r="S29" s="2532"/>
      <c r="T29" s="2529" t="str">
        <f ca="1">IF(ISBLANK(OFFSET($AP$2,T22,0)),"",OFFSET($AV$2,T22,0))</f>
        <v/>
      </c>
      <c r="U29" s="2530"/>
      <c r="V29" s="2531" t="str">
        <f ca="1">IF(ISBLANK(OFFSET($AP$2,T22,0)),"",OFFSET($AV$2,T22,0)-OFFSET($BB$2,T22,0))</f>
        <v/>
      </c>
      <c r="W29" s="2532"/>
      <c r="X29" s="2529" t="str">
        <f ca="1">IF(ISBLANK(OFFSET($AP$2,X22,0)),"",OFFSET($AV$2,X22,0))</f>
        <v/>
      </c>
      <c r="Y29" s="2530"/>
      <c r="Z29" s="2531" t="str">
        <f ca="1">IF(ISBLANK(OFFSET($AP$2,X22,0)),"",OFFSET($AV$2,X22,0)-OFFSET($BB$2,X22,0))</f>
        <v/>
      </c>
      <c r="AA29" s="2532"/>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33" t="str">
        <f ca="1">IF(ISBLANK(OFFSET($AP$2,D30,0)),"",CONCATENATE("Seq. ",OFFSET($AP$2,D30,0)))</f>
        <v/>
      </c>
      <c r="E31" s="2534"/>
      <c r="F31" s="2534"/>
      <c r="G31" s="2535"/>
      <c r="H31" s="2533" t="str">
        <f ca="1">IF(ISBLANK(OFFSET($AP$2,H30,0)),"",CONCATENATE("Seq. ",OFFSET($AP$2,H30,0)))</f>
        <v/>
      </c>
      <c r="I31" s="2534"/>
      <c r="J31" s="2534"/>
      <c r="K31" s="2535"/>
      <c r="L31" s="2533" t="str">
        <f ca="1">IF(ISBLANK(OFFSET($AP$2,L30,0)),"",CONCATENATE("Seq. ",OFFSET($AP$2,L30,0)))</f>
        <v/>
      </c>
      <c r="M31" s="2534"/>
      <c r="N31" s="2534"/>
      <c r="O31" s="2535"/>
      <c r="P31" s="2533" t="str">
        <f ca="1">IF(ISBLANK(OFFSET($AP$2,P30,0)),"",CONCATENATE("Seq. ",OFFSET($AP$2,P30,0)))</f>
        <v/>
      </c>
      <c r="Q31" s="2534"/>
      <c r="R31" s="2534"/>
      <c r="S31" s="2535"/>
      <c r="T31" s="2533" t="str">
        <f ca="1">IF(ISBLANK(OFFSET($AP$2,T30,0)),"",CONCATENATE("Seq. ",OFFSET($AP$2,T30,0)))</f>
        <v/>
      </c>
      <c r="U31" s="2534"/>
      <c r="V31" s="2534"/>
      <c r="W31" s="2535"/>
      <c r="X31" s="2533" t="str">
        <f ca="1">IF(ISBLANK(OFFSET($AP$2,X30,0)),"",CONCATENATE("Seq. ",OFFSET($AP$2,X30,0)))</f>
        <v/>
      </c>
      <c r="Y31" s="2534"/>
      <c r="Z31" s="2534"/>
      <c r="AA31" s="2535"/>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36" t="s">
        <v>440</v>
      </c>
      <c r="E32" s="2537"/>
      <c r="F32" s="2537" t="s">
        <v>441</v>
      </c>
      <c r="G32" s="2538"/>
      <c r="H32" s="2536" t="s">
        <v>440</v>
      </c>
      <c r="I32" s="2537"/>
      <c r="J32" s="2537" t="s">
        <v>441</v>
      </c>
      <c r="K32" s="2538"/>
      <c r="L32" s="2536" t="s">
        <v>440</v>
      </c>
      <c r="M32" s="2537"/>
      <c r="N32" s="2537" t="s">
        <v>441</v>
      </c>
      <c r="O32" s="2538"/>
      <c r="P32" s="2536" t="s">
        <v>440</v>
      </c>
      <c r="Q32" s="2537"/>
      <c r="R32" s="2537" t="s">
        <v>441</v>
      </c>
      <c r="S32" s="2538"/>
      <c r="T32" s="2536" t="s">
        <v>440</v>
      </c>
      <c r="U32" s="2537"/>
      <c r="V32" s="2537" t="s">
        <v>441</v>
      </c>
      <c r="W32" s="2538"/>
      <c r="X32" s="2536" t="s">
        <v>440</v>
      </c>
      <c r="Y32" s="2537"/>
      <c r="Z32" s="2537" t="s">
        <v>441</v>
      </c>
      <c r="AA32" s="2538"/>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39" t="s">
        <v>73</v>
      </c>
      <c r="C33" s="2540"/>
      <c r="D33" s="2521" t="str">
        <f ca="1">IF(ISBLANK(OFFSET($AP$2,D30,0)),"",OFFSET($AQ$2,D30,0)+OFFSET($AU$2,D30,0))</f>
        <v/>
      </c>
      <c r="E33" s="2522"/>
      <c r="F33" s="2523" t="str">
        <f ca="1">IF(ISBLANK(OFFSET($AP$2,D30,0)),"",(OFFSET($AQ$2,D30,0)+OFFSET($AU$2,D30,0))-(OFFSET($AW$2,D30,0)+OFFSET($BA$2,D30,0)))</f>
        <v/>
      </c>
      <c r="G33" s="2524"/>
      <c r="H33" s="2521" t="str">
        <f ca="1">IF(ISBLANK(OFFSET($AP$2,H30,0)),"",OFFSET($AQ$2,H30,0)+OFFSET($AU$2,H30,0))</f>
        <v/>
      </c>
      <c r="I33" s="2522"/>
      <c r="J33" s="2523" t="str">
        <f ca="1">IF(ISBLANK(OFFSET($AP$2,H30,0)),"",(OFFSET($AQ$2,H30,0)+OFFSET($AU$2,H30,0))-(OFFSET($AW$2,H30,0)+OFFSET($BA$2,H30,0)))</f>
        <v/>
      </c>
      <c r="K33" s="2524"/>
      <c r="L33" s="2521" t="str">
        <f ca="1">IF(ISBLANK(OFFSET($AP$2,L30,0)),"",OFFSET($AQ$2,L30,0)+OFFSET($AU$2,L30,0))</f>
        <v/>
      </c>
      <c r="M33" s="2522"/>
      <c r="N33" s="2523" t="str">
        <f ca="1">IF(ISBLANK(OFFSET($AP$2,L30,0)),"",(OFFSET($AQ$2,L30,0)+OFFSET($AU$2,L30,0))-(OFFSET($AW$2,L30,0)+OFFSET($BA$2,L30,0)))</f>
        <v/>
      </c>
      <c r="O33" s="2524"/>
      <c r="P33" s="2521" t="str">
        <f ca="1">IF(ISBLANK(OFFSET($AP$2,P30,0)),"",OFFSET($AQ$2,P30,0)+OFFSET($AU$2,P30,0))</f>
        <v/>
      </c>
      <c r="Q33" s="2522"/>
      <c r="R33" s="2523" t="str">
        <f ca="1">IF(ISBLANK(OFFSET($AP$2,P30,0)),"",(OFFSET($AQ$2,P30,0)+OFFSET($AU$2,P30,0))-(OFFSET($AW$2,P30,0)+OFFSET($BA$2,P30,0)))</f>
        <v/>
      </c>
      <c r="S33" s="2524"/>
      <c r="T33" s="2521" t="str">
        <f ca="1">IF(ISBLANK(OFFSET($AP$2,T30,0)),"",OFFSET($AQ$2,T30,0)+OFFSET($AU$2,T30,0))</f>
        <v/>
      </c>
      <c r="U33" s="2522"/>
      <c r="V33" s="2523" t="str">
        <f ca="1">IF(ISBLANK(OFFSET($AP$2,T30,0)),"",(OFFSET($AQ$2,T30,0)+OFFSET($AU$2,T30,0))-(OFFSET($AW$2,T30,0)+OFFSET($BA$2,T30,0)))</f>
        <v/>
      </c>
      <c r="W33" s="2524"/>
      <c r="X33" s="2521" t="str">
        <f ca="1">IF(ISBLANK(OFFSET($AP$2,X30,0)),"",OFFSET($AQ$2,X30,0)+OFFSET($AU$2,X30,0))</f>
        <v/>
      </c>
      <c r="Y33" s="2522"/>
      <c r="Z33" s="2523" t="str">
        <f ca="1">IF(ISBLANK(OFFSET($AP$2,X30,0)),"",(OFFSET($AQ$2,X30,0)+OFFSET($AU$2,X30,0))-(OFFSET($AW$2,X30,0)+OFFSET($BA$2,X30,0)))</f>
        <v/>
      </c>
      <c r="AA33" s="2524"/>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25" t="s">
        <v>437</v>
      </c>
      <c r="C34" s="2526"/>
      <c r="D34" s="2521" t="str">
        <f ca="1">IF(ISBLANK(OFFSET($AP$2,D30,0)),"",OFFSET($AR$2,D30,0))</f>
        <v/>
      </c>
      <c r="E34" s="2522"/>
      <c r="F34" s="2523" t="str">
        <f ca="1">IF(ISBLANK(OFFSET($AP$2,D30,0)),"",OFFSET($AR$2,D30,0)-OFFSET($AX$2,D30,0))</f>
        <v/>
      </c>
      <c r="G34" s="2524"/>
      <c r="H34" s="2521" t="str">
        <f ca="1">IF(ISBLANK(OFFSET($AP$2,H30,0)),"",OFFSET($AR$2,H30,0))</f>
        <v/>
      </c>
      <c r="I34" s="2522"/>
      <c r="J34" s="2523" t="str">
        <f ca="1">IF(ISBLANK(OFFSET($AP$2,H30,0)),"",OFFSET($AR$2,H30,0)-OFFSET($AX$2,H30,0))</f>
        <v/>
      </c>
      <c r="K34" s="2524"/>
      <c r="L34" s="2521" t="str">
        <f ca="1">IF(ISBLANK(OFFSET($AP$2,L30,0)),"",OFFSET($AR$2,L30,0))</f>
        <v/>
      </c>
      <c r="M34" s="2522"/>
      <c r="N34" s="2523" t="str">
        <f ca="1">IF(ISBLANK(OFFSET($AP$2,L30,0)),"",OFFSET($AR$2,L30,0)-OFFSET($AX$2,L30,0))</f>
        <v/>
      </c>
      <c r="O34" s="2524"/>
      <c r="P34" s="2521" t="str">
        <f ca="1">IF(ISBLANK(OFFSET($AP$2,P30,0)),"",OFFSET($AR$2,P30,0))</f>
        <v/>
      </c>
      <c r="Q34" s="2522"/>
      <c r="R34" s="2523" t="str">
        <f ca="1">IF(ISBLANK(OFFSET($AP$2,P30,0)),"",OFFSET($AR$2,P30,0)-OFFSET($AX$2,P30,0))</f>
        <v/>
      </c>
      <c r="S34" s="2524"/>
      <c r="T34" s="2521" t="str">
        <f ca="1">IF(ISBLANK(OFFSET($AP$2,T30,0)),"",OFFSET($AR$2,T30,0))</f>
        <v/>
      </c>
      <c r="U34" s="2522"/>
      <c r="V34" s="2523" t="str">
        <f ca="1">IF(ISBLANK(OFFSET($AP$2,T30,0)),"",OFFSET($AR$2,T30,0)-OFFSET($AX$2,T30,0))</f>
        <v/>
      </c>
      <c r="W34" s="2524"/>
      <c r="X34" s="2521" t="str">
        <f ca="1">IF(ISBLANK(OFFSET($AP$2,X30,0)),"",OFFSET($AR$2,X30,0))</f>
        <v/>
      </c>
      <c r="Y34" s="2522"/>
      <c r="Z34" s="2523" t="str">
        <f ca="1">IF(ISBLANK(OFFSET($AP$2,X30,0)),"",OFFSET($AR$2,X30,0)-OFFSET($AX$2,X30,0))</f>
        <v/>
      </c>
      <c r="AA34" s="2524"/>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25" t="s">
        <v>438</v>
      </c>
      <c r="C35" s="2526"/>
      <c r="D35" s="2521" t="str">
        <f ca="1">IF(ISBLANK(OFFSET($AP$2,D30,0)),"",OFFSET($AS$2,D30,0))</f>
        <v/>
      </c>
      <c r="E35" s="2522"/>
      <c r="F35" s="2523" t="str">
        <f ca="1">IF(ISBLANK(OFFSET($AP$2,D30,0)),"",OFFSET($AS$2,D30,0)-OFFSET($AY$2,D30,0))</f>
        <v/>
      </c>
      <c r="G35" s="2524"/>
      <c r="H35" s="2521" t="str">
        <f ca="1">IF(ISBLANK(OFFSET($AP$2,H30,0)),"",OFFSET($AS$2,H30,0))</f>
        <v/>
      </c>
      <c r="I35" s="2522"/>
      <c r="J35" s="2523" t="str">
        <f ca="1">IF(ISBLANK(OFFSET($AP$2,H30,0)),"",OFFSET($AS$2,H30,0)-OFFSET($AY$2,H30,0))</f>
        <v/>
      </c>
      <c r="K35" s="2524"/>
      <c r="L35" s="2521" t="str">
        <f ca="1">IF(ISBLANK(OFFSET($AP$2,L30,0)),"",OFFSET($AS$2,L30,0))</f>
        <v/>
      </c>
      <c r="M35" s="2522"/>
      <c r="N35" s="2523" t="str">
        <f ca="1">IF(ISBLANK(OFFSET($AP$2,L30,0)),"",OFFSET($AS$2,L30,0)-OFFSET($AY$2,L30,0))</f>
        <v/>
      </c>
      <c r="O35" s="2524"/>
      <c r="P35" s="2521" t="str">
        <f ca="1">IF(ISBLANK(OFFSET($AP$2,P30,0)),"",OFFSET($AS$2,P30,0))</f>
        <v/>
      </c>
      <c r="Q35" s="2522"/>
      <c r="R35" s="2523" t="str">
        <f ca="1">IF(ISBLANK(OFFSET($AP$2,P30,0)),"",OFFSET($AS$2,P30,0)-OFFSET($AY$2,P30,0))</f>
        <v/>
      </c>
      <c r="S35" s="2524"/>
      <c r="T35" s="2521" t="str">
        <f ca="1">IF(ISBLANK(OFFSET($AP$2,T30,0)),"",OFFSET($AS$2,T30,0))</f>
        <v/>
      </c>
      <c r="U35" s="2522"/>
      <c r="V35" s="2523" t="str">
        <f ca="1">IF(ISBLANK(OFFSET($AP$2,T30,0)),"",OFFSET($AS$2,T30,0)-OFFSET($AY$2,T30,0))</f>
        <v/>
      </c>
      <c r="W35" s="2524"/>
      <c r="X35" s="2521" t="str">
        <f ca="1">IF(ISBLANK(OFFSET($AP$2,X30,0)),"",OFFSET($AS$2,X30,0))</f>
        <v/>
      </c>
      <c r="Y35" s="2522"/>
      <c r="Z35" s="2523" t="str">
        <f ca="1">IF(ISBLANK(OFFSET($AP$2,X30,0)),"",OFFSET($AS$2,X30,0)-OFFSET($AY$2,X30,0))</f>
        <v/>
      </c>
      <c r="AA35" s="2524"/>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25" t="s">
        <v>75</v>
      </c>
      <c r="C36" s="2526"/>
      <c r="D36" s="2521" t="str">
        <f ca="1">IF(ISBLANK(OFFSET($AP$2,D30,0)),"",OFFSET($AT$2,D30,0))</f>
        <v/>
      </c>
      <c r="E36" s="2522"/>
      <c r="F36" s="2523" t="str">
        <f ca="1">IF(ISBLANK(OFFSET($AP$2,D30,0)),"",OFFSET($AT$2,D30,0)-OFFSET($AZ$2,D30,0))</f>
        <v/>
      </c>
      <c r="G36" s="2524"/>
      <c r="H36" s="2521" t="str">
        <f ca="1">IF(ISBLANK(OFFSET($AP$2,H30,0)),"",OFFSET($AT$2,H30,0))</f>
        <v/>
      </c>
      <c r="I36" s="2522"/>
      <c r="J36" s="2523" t="str">
        <f ca="1">IF(ISBLANK(OFFSET($AP$2,H30,0)),"",OFFSET($AT$2,H30,0)-OFFSET($AZ$2,H30,0))</f>
        <v/>
      </c>
      <c r="K36" s="2524"/>
      <c r="L36" s="2521" t="str">
        <f ca="1">IF(ISBLANK(OFFSET($AP$2,L30,0)),"",OFFSET($AT$2,L30,0))</f>
        <v/>
      </c>
      <c r="M36" s="2522"/>
      <c r="N36" s="2523" t="str">
        <f ca="1">IF(ISBLANK(OFFSET($AP$2,L30,0)),"",OFFSET($AT$2,L30,0)-OFFSET($AZ$2,L30,0))</f>
        <v/>
      </c>
      <c r="O36" s="2524"/>
      <c r="P36" s="2521" t="str">
        <f ca="1">IF(ISBLANK(OFFSET($AP$2,P30,0)),"",OFFSET($AT$2,P30,0))</f>
        <v/>
      </c>
      <c r="Q36" s="2522"/>
      <c r="R36" s="2523" t="str">
        <f ca="1">IF(ISBLANK(OFFSET($AP$2,P30,0)),"",OFFSET($AT$2,P30,0)-OFFSET($AZ$2,P30,0))</f>
        <v/>
      </c>
      <c r="S36" s="2524"/>
      <c r="T36" s="2521" t="str">
        <f ca="1">IF(ISBLANK(OFFSET($AP$2,T30,0)),"",OFFSET($AT$2,T30,0))</f>
        <v/>
      </c>
      <c r="U36" s="2522"/>
      <c r="V36" s="2523" t="str">
        <f ca="1">IF(ISBLANK(OFFSET($AP$2,T30,0)),"",OFFSET($AT$2,T30,0)-OFFSET($AZ$2,T30,0))</f>
        <v/>
      </c>
      <c r="W36" s="2524"/>
      <c r="X36" s="2521" t="str">
        <f ca="1">IF(ISBLANK(OFFSET($AP$2,X30,0)),"",OFFSET($AT$2,X30,0))</f>
        <v/>
      </c>
      <c r="Y36" s="2522"/>
      <c r="Z36" s="2523" t="str">
        <f ca="1">IF(ISBLANK(OFFSET($AP$2,X30,0)),"",OFFSET($AT$2,X30,0)-OFFSET($AZ$2,X30,0))</f>
        <v/>
      </c>
      <c r="AA36" s="2524"/>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27" t="s">
        <v>439</v>
      </c>
      <c r="C37" s="2528"/>
      <c r="D37" s="2529" t="str">
        <f ca="1">IF(ISBLANK(OFFSET($AP$2,D30,0)),"",OFFSET($AV$2,D30,0))</f>
        <v/>
      </c>
      <c r="E37" s="2530"/>
      <c r="F37" s="2531" t="str">
        <f ca="1">IF(ISBLANK(OFFSET($AP$2,D30,0)),"",OFFSET($AV$2,D30,0)-OFFSET($BB$2,D30,0))</f>
        <v/>
      </c>
      <c r="G37" s="2532"/>
      <c r="H37" s="2529" t="str">
        <f ca="1">IF(ISBLANK(OFFSET($AP$2,H30,0)),"",OFFSET($AV$2,H30,0))</f>
        <v/>
      </c>
      <c r="I37" s="2530"/>
      <c r="J37" s="2531" t="str">
        <f ca="1">IF(ISBLANK(OFFSET($AP$2,H30,0)),"",OFFSET($AV$2,H30,0)-OFFSET($BB$2,H30,0))</f>
        <v/>
      </c>
      <c r="K37" s="2532"/>
      <c r="L37" s="2529" t="str">
        <f ca="1">IF(ISBLANK(OFFSET($AP$2,L30,0)),"",OFFSET($AV$2,L30,0))</f>
        <v/>
      </c>
      <c r="M37" s="2530"/>
      <c r="N37" s="2531" t="str">
        <f ca="1">IF(ISBLANK(OFFSET($AP$2,L30,0)),"",OFFSET($AV$2,L30,0)-OFFSET($BB$2,L30,0))</f>
        <v/>
      </c>
      <c r="O37" s="2532"/>
      <c r="P37" s="2529" t="str">
        <f ca="1">IF(ISBLANK(OFFSET($AP$2,P30,0)),"",OFFSET($AV$2,P30,0))</f>
        <v/>
      </c>
      <c r="Q37" s="2530"/>
      <c r="R37" s="2531" t="str">
        <f ca="1">IF(ISBLANK(OFFSET($AP$2,P30,0)),"",OFFSET($AV$2,P30,0)-OFFSET($BB$2,P30,0))</f>
        <v/>
      </c>
      <c r="S37" s="2532"/>
      <c r="T37" s="2529" t="str">
        <f ca="1">IF(ISBLANK(OFFSET($AP$2,T30,0)),"",OFFSET($AV$2,T30,0))</f>
        <v/>
      </c>
      <c r="U37" s="2530"/>
      <c r="V37" s="2531" t="str">
        <f ca="1">IF(ISBLANK(OFFSET($AP$2,T30,0)),"",OFFSET($AV$2,T30,0)-OFFSET($BB$2,T30,0))</f>
        <v/>
      </c>
      <c r="W37" s="2532"/>
      <c r="X37" s="2529" t="str">
        <f ca="1">IF(ISBLANK(OFFSET($AP$2,X30,0)),"",OFFSET($AV$2,X30,0))</f>
        <v/>
      </c>
      <c r="Y37" s="2530"/>
      <c r="Z37" s="2531" t="str">
        <f ca="1">IF(ISBLANK(OFFSET($AP$2,X30,0)),"",OFFSET($AV$2,X30,0)-OFFSET($BB$2,X30,0))</f>
        <v/>
      </c>
      <c r="AA37" s="2532"/>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33" t="str">
        <f ca="1">IF(ISBLANK(OFFSET($AP$2,D38,0)),"",CONCATENATE("Seq. ",OFFSET($AP$2,D38,0)))</f>
        <v/>
      </c>
      <c r="E39" s="2534"/>
      <c r="F39" s="2534"/>
      <c r="G39" s="2535"/>
      <c r="H39" s="2533" t="str">
        <f ca="1">IF(ISBLANK(OFFSET($AP$2,H38,0)),"",CONCATENATE("Seq. ",OFFSET($AP$2,H38,0)))</f>
        <v/>
      </c>
      <c r="I39" s="2534"/>
      <c r="J39" s="2534"/>
      <c r="K39" s="2535"/>
      <c r="L39" s="2533" t="str">
        <f ca="1">IF(ISBLANK(OFFSET($AP$2,L38,0)),"",CONCATENATE("Seq. ",OFFSET($AP$2,L38,0)))</f>
        <v/>
      </c>
      <c r="M39" s="2534"/>
      <c r="N39" s="2534"/>
      <c r="O39" s="2535"/>
      <c r="P39" s="2533" t="str">
        <f ca="1">IF(ISBLANK(OFFSET($AP$2,P38,0)),"",CONCATENATE("Seq. ",OFFSET($AP$2,P38,0)))</f>
        <v/>
      </c>
      <c r="Q39" s="2534"/>
      <c r="R39" s="2534"/>
      <c r="S39" s="2535"/>
      <c r="T39" s="2533" t="str">
        <f ca="1">IF(ISBLANK(OFFSET($AP$2,T38,0)),"",CONCATENATE("Seq. ",OFFSET($AP$2,T38,0)))</f>
        <v/>
      </c>
      <c r="U39" s="2534"/>
      <c r="V39" s="2534"/>
      <c r="W39" s="2535"/>
      <c r="X39" s="2533" t="str">
        <f ca="1">IF(ISBLANK(OFFSET($AP$2,X38,0)),"",CONCATENATE("Seq. ",OFFSET($AP$2,X38,0)))</f>
        <v/>
      </c>
      <c r="Y39" s="2534"/>
      <c r="Z39" s="2534"/>
      <c r="AA39" s="2535"/>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36" t="s">
        <v>440</v>
      </c>
      <c r="E40" s="2537"/>
      <c r="F40" s="2537" t="s">
        <v>441</v>
      </c>
      <c r="G40" s="2538"/>
      <c r="H40" s="2536" t="s">
        <v>440</v>
      </c>
      <c r="I40" s="2537"/>
      <c r="J40" s="2537" t="s">
        <v>441</v>
      </c>
      <c r="K40" s="2538"/>
      <c r="L40" s="2536" t="s">
        <v>440</v>
      </c>
      <c r="M40" s="2537"/>
      <c r="N40" s="2537" t="s">
        <v>441</v>
      </c>
      <c r="O40" s="2538"/>
      <c r="P40" s="2536" t="s">
        <v>440</v>
      </c>
      <c r="Q40" s="2537"/>
      <c r="R40" s="2537" t="s">
        <v>441</v>
      </c>
      <c r="S40" s="2538"/>
      <c r="T40" s="2536" t="s">
        <v>440</v>
      </c>
      <c r="U40" s="2537"/>
      <c r="V40" s="2537" t="s">
        <v>441</v>
      </c>
      <c r="W40" s="2538"/>
      <c r="X40" s="2536" t="s">
        <v>440</v>
      </c>
      <c r="Y40" s="2537"/>
      <c r="Z40" s="2537" t="s">
        <v>441</v>
      </c>
      <c r="AA40" s="2538"/>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39" t="s">
        <v>73</v>
      </c>
      <c r="C41" s="2540"/>
      <c r="D41" s="2521" t="str">
        <f ca="1">IF(ISBLANK(OFFSET($AP$2,D38,0)),"",OFFSET($AQ$2,D38,0)+OFFSET($AU$2,D38,0))</f>
        <v/>
      </c>
      <c r="E41" s="2522"/>
      <c r="F41" s="2523" t="str">
        <f ca="1">IF(ISBLANK(OFFSET($AP$2,D38,0)),"",(OFFSET($AQ$2,D38,0)+OFFSET($AU$2,D38,0))-(OFFSET($AW$2,D38,0)+OFFSET($BA$2,D38,0)))</f>
        <v/>
      </c>
      <c r="G41" s="2524"/>
      <c r="H41" s="2521" t="str">
        <f ca="1">IF(ISBLANK(OFFSET($AP$2,H38,0)),"",OFFSET($AQ$2,H38,0)+OFFSET($AU$2,H38,0))</f>
        <v/>
      </c>
      <c r="I41" s="2522"/>
      <c r="J41" s="2523" t="str">
        <f ca="1">IF(ISBLANK(OFFSET($AP$2,H38,0)),"",(OFFSET($AQ$2,H38,0)+OFFSET($AU$2,H38,0))-(OFFSET($AW$2,H38,0)+OFFSET($BA$2,H38,0)))</f>
        <v/>
      </c>
      <c r="K41" s="2524"/>
      <c r="L41" s="2521" t="str">
        <f ca="1">IF(ISBLANK(OFFSET($AP$2,L38,0)),"",OFFSET($AQ$2,L38,0)+OFFSET($AU$2,L38,0))</f>
        <v/>
      </c>
      <c r="M41" s="2522"/>
      <c r="N41" s="2523" t="str">
        <f ca="1">IF(ISBLANK(OFFSET($AP$2,L38,0)),"",(OFFSET($AQ$2,L38,0)+OFFSET($AU$2,L38,0))-(OFFSET($AW$2,L38,0)+OFFSET($BA$2,L38,0)))</f>
        <v/>
      </c>
      <c r="O41" s="2524"/>
      <c r="P41" s="2521" t="str">
        <f ca="1">IF(ISBLANK(OFFSET($AP$2,P38,0)),"",OFFSET($AQ$2,P38,0)+OFFSET($AU$2,P38,0))</f>
        <v/>
      </c>
      <c r="Q41" s="2522"/>
      <c r="R41" s="2523" t="str">
        <f ca="1">IF(ISBLANK(OFFSET($AP$2,P38,0)),"",(OFFSET($AQ$2,P38,0)+OFFSET($AU$2,P38,0))-(OFFSET($AW$2,P38,0)+OFFSET($BA$2,P38,0)))</f>
        <v/>
      </c>
      <c r="S41" s="2524"/>
      <c r="T41" s="2521" t="str">
        <f ca="1">IF(ISBLANK(OFFSET($AP$2,T38,0)),"",OFFSET($AQ$2,T38,0)+OFFSET($AU$2,T38,0))</f>
        <v/>
      </c>
      <c r="U41" s="2522"/>
      <c r="V41" s="2523" t="str">
        <f ca="1">IF(ISBLANK(OFFSET($AP$2,T38,0)),"",(OFFSET($AQ$2,T38,0)+OFFSET($AU$2,T38,0))-(OFFSET($AW$2,T38,0)+OFFSET($BA$2,T38,0)))</f>
        <v/>
      </c>
      <c r="W41" s="2524"/>
      <c r="X41" s="2521" t="str">
        <f ca="1">IF(ISBLANK(OFFSET($AP$2,X38,0)),"",OFFSET($AQ$2,X38,0)+OFFSET($AU$2,X38,0))</f>
        <v/>
      </c>
      <c r="Y41" s="2522"/>
      <c r="Z41" s="2523" t="str">
        <f ca="1">IF(ISBLANK(OFFSET($AP$2,X38,0)),"",(OFFSET($AQ$2,X38,0)+OFFSET($AU$2,X38,0))-(OFFSET($AW$2,X38,0)+OFFSET($BA$2,X38,0)))</f>
        <v/>
      </c>
      <c r="AA41" s="2524"/>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25" t="s">
        <v>437</v>
      </c>
      <c r="C42" s="2526"/>
      <c r="D42" s="2521" t="str">
        <f ca="1">IF(ISBLANK(OFFSET($AP$2,D38,0)),"",OFFSET($AR$2,D38,0))</f>
        <v/>
      </c>
      <c r="E42" s="2522"/>
      <c r="F42" s="2523" t="str">
        <f ca="1">IF(ISBLANK(OFFSET($AP$2,D38,0)),"",OFFSET($AR$2,D38,0)-OFFSET($AX$2,D38,0))</f>
        <v/>
      </c>
      <c r="G42" s="2524"/>
      <c r="H42" s="2521" t="str">
        <f ca="1">IF(ISBLANK(OFFSET($AP$2,H38,0)),"",OFFSET($AR$2,H38,0))</f>
        <v/>
      </c>
      <c r="I42" s="2522"/>
      <c r="J42" s="2523" t="str">
        <f ca="1">IF(ISBLANK(OFFSET($AP$2,H38,0)),"",OFFSET($AR$2,H38,0)-OFFSET($AX$2,H38,0))</f>
        <v/>
      </c>
      <c r="K42" s="2524"/>
      <c r="L42" s="2521" t="str">
        <f ca="1">IF(ISBLANK(OFFSET($AP$2,L38,0)),"",OFFSET($AR$2,L38,0))</f>
        <v/>
      </c>
      <c r="M42" s="2522"/>
      <c r="N42" s="2523" t="str">
        <f ca="1">IF(ISBLANK(OFFSET($AP$2,L38,0)),"",OFFSET($AR$2,L38,0)-OFFSET($AX$2,L38,0))</f>
        <v/>
      </c>
      <c r="O42" s="2524"/>
      <c r="P42" s="2521" t="str">
        <f ca="1">IF(ISBLANK(OFFSET($AP$2,P38,0)),"",OFFSET($AR$2,P38,0))</f>
        <v/>
      </c>
      <c r="Q42" s="2522"/>
      <c r="R42" s="2523" t="str">
        <f ca="1">IF(ISBLANK(OFFSET($AP$2,P38,0)),"",OFFSET($AR$2,P38,0)-OFFSET($AX$2,P38,0))</f>
        <v/>
      </c>
      <c r="S42" s="2524"/>
      <c r="T42" s="2521" t="str">
        <f ca="1">IF(ISBLANK(OFFSET($AP$2,T38,0)),"",OFFSET($AR$2,T38,0))</f>
        <v/>
      </c>
      <c r="U42" s="2522"/>
      <c r="V42" s="2523" t="str">
        <f ca="1">IF(ISBLANK(OFFSET($AP$2,T38,0)),"",OFFSET($AR$2,T38,0)-OFFSET($AX$2,T38,0))</f>
        <v/>
      </c>
      <c r="W42" s="2524"/>
      <c r="X42" s="2521" t="str">
        <f ca="1">IF(ISBLANK(OFFSET($AP$2,X38,0)),"",OFFSET($AR$2,X38,0))</f>
        <v/>
      </c>
      <c r="Y42" s="2522"/>
      <c r="Z42" s="2523" t="str">
        <f ca="1">IF(ISBLANK(OFFSET($AP$2,X38,0)),"",OFFSET($AR$2,X38,0)-OFFSET($AX$2,X38,0))</f>
        <v/>
      </c>
      <c r="AA42" s="2524"/>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25" t="s">
        <v>438</v>
      </c>
      <c r="C43" s="2526"/>
      <c r="D43" s="2521" t="str">
        <f ca="1">IF(ISBLANK(OFFSET($AP$2,D38,0)),"",OFFSET($AS$2,D38,0))</f>
        <v/>
      </c>
      <c r="E43" s="2522"/>
      <c r="F43" s="2523" t="str">
        <f ca="1">IF(ISBLANK(OFFSET($AP$2,D38,0)),"",OFFSET($AS$2,D38,0)-OFFSET($AY$2,D38,0))</f>
        <v/>
      </c>
      <c r="G43" s="2524"/>
      <c r="H43" s="2521" t="str">
        <f ca="1">IF(ISBLANK(OFFSET($AP$2,H38,0)),"",OFFSET($AS$2,H38,0))</f>
        <v/>
      </c>
      <c r="I43" s="2522"/>
      <c r="J43" s="2523" t="str">
        <f ca="1">IF(ISBLANK(OFFSET($AP$2,H38,0)),"",OFFSET($AS$2,H38,0)-OFFSET($AY$2,H38,0))</f>
        <v/>
      </c>
      <c r="K43" s="2524"/>
      <c r="L43" s="2521" t="str">
        <f ca="1">IF(ISBLANK(OFFSET($AP$2,L38,0)),"",OFFSET($AS$2,L38,0))</f>
        <v/>
      </c>
      <c r="M43" s="2522"/>
      <c r="N43" s="2523" t="str">
        <f ca="1">IF(ISBLANK(OFFSET($AP$2,L38,0)),"",OFFSET($AS$2,L38,0)-OFFSET($AY$2,L38,0))</f>
        <v/>
      </c>
      <c r="O43" s="2524"/>
      <c r="P43" s="2521" t="str">
        <f ca="1">IF(ISBLANK(OFFSET($AP$2,P38,0)),"",OFFSET($AS$2,P38,0))</f>
        <v/>
      </c>
      <c r="Q43" s="2522"/>
      <c r="R43" s="2523" t="str">
        <f ca="1">IF(ISBLANK(OFFSET($AP$2,P38,0)),"",OFFSET($AS$2,P38,0)-OFFSET($AY$2,P38,0))</f>
        <v/>
      </c>
      <c r="S43" s="2524"/>
      <c r="T43" s="2521" t="str">
        <f ca="1">IF(ISBLANK(OFFSET($AP$2,T38,0)),"",OFFSET($AS$2,T38,0))</f>
        <v/>
      </c>
      <c r="U43" s="2522"/>
      <c r="V43" s="2523" t="str">
        <f ca="1">IF(ISBLANK(OFFSET($AP$2,T38,0)),"",OFFSET($AS$2,T38,0)-OFFSET($AY$2,T38,0))</f>
        <v/>
      </c>
      <c r="W43" s="2524"/>
      <c r="X43" s="2521" t="str">
        <f ca="1">IF(ISBLANK(OFFSET($AP$2,X38,0)),"",OFFSET($AS$2,X38,0))</f>
        <v/>
      </c>
      <c r="Y43" s="2522"/>
      <c r="Z43" s="2523" t="str">
        <f ca="1">IF(ISBLANK(OFFSET($AP$2,X38,0)),"",OFFSET($AS$2,X38,0)-OFFSET($AY$2,X38,0))</f>
        <v/>
      </c>
      <c r="AA43" s="2524"/>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25" t="s">
        <v>75</v>
      </c>
      <c r="C44" s="2526"/>
      <c r="D44" s="2521" t="str">
        <f ca="1">IF(ISBLANK(OFFSET($AP$2,D38,0)),"",OFFSET($AT$2,D38,0))</f>
        <v/>
      </c>
      <c r="E44" s="2522"/>
      <c r="F44" s="2523" t="str">
        <f ca="1">IF(ISBLANK(OFFSET($AP$2,D38,0)),"",OFFSET($AT$2,D38,0)-OFFSET($AZ$2,D38,0))</f>
        <v/>
      </c>
      <c r="G44" s="2524"/>
      <c r="H44" s="2521" t="str">
        <f ca="1">IF(ISBLANK(OFFSET($AP$2,H38,0)),"",OFFSET($AT$2,H38,0))</f>
        <v/>
      </c>
      <c r="I44" s="2522"/>
      <c r="J44" s="2523" t="str">
        <f ca="1">IF(ISBLANK(OFFSET($AP$2,H38,0)),"",OFFSET($AT$2,H38,0)-OFFSET($AZ$2,H38,0))</f>
        <v/>
      </c>
      <c r="K44" s="2524"/>
      <c r="L44" s="2521" t="str">
        <f ca="1">IF(ISBLANK(OFFSET($AP$2,L38,0)),"",OFFSET($AT$2,L38,0))</f>
        <v/>
      </c>
      <c r="M44" s="2522"/>
      <c r="N44" s="2523" t="str">
        <f ca="1">IF(ISBLANK(OFFSET($AP$2,L38,0)),"",OFFSET($AT$2,L38,0)-OFFSET($AZ$2,L38,0))</f>
        <v/>
      </c>
      <c r="O44" s="2524"/>
      <c r="P44" s="2521" t="str">
        <f ca="1">IF(ISBLANK(OFFSET($AP$2,P38,0)),"",OFFSET($AT$2,P38,0))</f>
        <v/>
      </c>
      <c r="Q44" s="2522"/>
      <c r="R44" s="2523" t="str">
        <f ca="1">IF(ISBLANK(OFFSET($AP$2,P38,0)),"",OFFSET($AT$2,P38,0)-OFFSET($AZ$2,P38,0))</f>
        <v/>
      </c>
      <c r="S44" s="2524"/>
      <c r="T44" s="2521" t="str">
        <f ca="1">IF(ISBLANK(OFFSET($AP$2,T38,0)),"",OFFSET($AT$2,T38,0))</f>
        <v/>
      </c>
      <c r="U44" s="2522"/>
      <c r="V44" s="2523" t="str">
        <f ca="1">IF(ISBLANK(OFFSET($AP$2,T38,0)),"",OFFSET($AT$2,T38,0)-OFFSET($AZ$2,T38,0))</f>
        <v/>
      </c>
      <c r="W44" s="2524"/>
      <c r="X44" s="2521" t="str">
        <f ca="1">IF(ISBLANK(OFFSET($AP$2,X38,0)),"",OFFSET($AT$2,X38,0))</f>
        <v/>
      </c>
      <c r="Y44" s="2522"/>
      <c r="Z44" s="2523" t="str">
        <f ca="1">IF(ISBLANK(OFFSET($AP$2,X38,0)),"",OFFSET($AT$2,X38,0)-OFFSET($AZ$2,X38,0))</f>
        <v/>
      </c>
      <c r="AA44" s="2524"/>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27" t="s">
        <v>439</v>
      </c>
      <c r="C45" s="2528"/>
      <c r="D45" s="2529" t="str">
        <f ca="1">IF(ISBLANK(OFFSET($AP$2,D38,0)),"",OFFSET($AV$2,D38,0))</f>
        <v/>
      </c>
      <c r="E45" s="2530"/>
      <c r="F45" s="2531" t="str">
        <f ca="1">IF(ISBLANK(OFFSET($AP$2,D38,0)),"",OFFSET($AV$2,D38,0)-OFFSET($BB$2,D38,0))</f>
        <v/>
      </c>
      <c r="G45" s="2532"/>
      <c r="H45" s="2529" t="str">
        <f ca="1">IF(ISBLANK(OFFSET($AP$2,H38,0)),"",OFFSET($AV$2,H38,0))</f>
        <v/>
      </c>
      <c r="I45" s="2530"/>
      <c r="J45" s="2531" t="str">
        <f ca="1">IF(ISBLANK(OFFSET($AP$2,H38,0)),"",OFFSET($AV$2,H38,0)-OFFSET($BB$2,H38,0))</f>
        <v/>
      </c>
      <c r="K45" s="2532"/>
      <c r="L45" s="2529" t="str">
        <f ca="1">IF(ISBLANK(OFFSET($AP$2,L38,0)),"",OFFSET($AV$2,L38,0))</f>
        <v/>
      </c>
      <c r="M45" s="2530"/>
      <c r="N45" s="2531" t="str">
        <f ca="1">IF(ISBLANK(OFFSET($AP$2,L38,0)),"",OFFSET($AV$2,L38,0)-OFFSET($BB$2,L38,0))</f>
        <v/>
      </c>
      <c r="O45" s="2532"/>
      <c r="P45" s="2529" t="str">
        <f ca="1">IF(ISBLANK(OFFSET($AP$2,P38,0)),"",OFFSET($AV$2,P38,0))</f>
        <v/>
      </c>
      <c r="Q45" s="2530"/>
      <c r="R45" s="2531" t="str">
        <f ca="1">IF(ISBLANK(OFFSET($AP$2,P38,0)),"",OFFSET($AV$2,P38,0)-OFFSET($BB$2,P38,0))</f>
        <v/>
      </c>
      <c r="S45" s="2532"/>
      <c r="T45" s="2529" t="str">
        <f ca="1">IF(ISBLANK(OFFSET($AP$2,T38,0)),"",OFFSET($AV$2,T38,0))</f>
        <v/>
      </c>
      <c r="U45" s="2530"/>
      <c r="V45" s="2531" t="str">
        <f ca="1">IF(ISBLANK(OFFSET($AP$2,T38,0)),"",OFFSET($AV$2,T38,0)-OFFSET($BB$2,T38,0))</f>
        <v/>
      </c>
      <c r="W45" s="2532"/>
      <c r="X45" s="2529" t="str">
        <f ca="1">IF(ISBLANK(OFFSET($AP$2,X38,0)),"",OFFSET($AV$2,X38,0))</f>
        <v/>
      </c>
      <c r="Y45" s="2530"/>
      <c r="Z45" s="2531" t="str">
        <f ca="1">IF(ISBLANK(OFFSET($AP$2,X38,0)),"",OFFSET($AV$2,X38,0)-OFFSET($BB$2,X38,0))</f>
        <v/>
      </c>
      <c r="AA45" s="2532"/>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33" t="str">
        <f ca="1">IF(ISBLANK(OFFSET($AP$2,D46,0)),"",CONCATENATE("Seq. ",OFFSET($AP$2,D46,0)))</f>
        <v/>
      </c>
      <c r="E47" s="2534"/>
      <c r="F47" s="2534"/>
      <c r="G47" s="2535"/>
      <c r="H47" s="2533" t="str">
        <f ca="1">IF(ISBLANK(OFFSET($AP$2,H46,0)),"",CONCATENATE("Seq. ",OFFSET($AP$2,H46,0)))</f>
        <v/>
      </c>
      <c r="I47" s="2534"/>
      <c r="J47" s="2534"/>
      <c r="K47" s="2535"/>
      <c r="L47" s="2533" t="str">
        <f ca="1">IF(ISBLANK(OFFSET($AP$2,L46,0)),"",CONCATENATE("Seq. ",OFFSET($AP$2,L46,0)))</f>
        <v/>
      </c>
      <c r="M47" s="2534"/>
      <c r="N47" s="2534"/>
      <c r="O47" s="2535"/>
      <c r="P47" s="2533" t="str">
        <f ca="1">IF(ISBLANK(OFFSET($AP$2,P46,0)),"",CONCATENATE("Seq. ",OFFSET($AP$2,P46,0)))</f>
        <v/>
      </c>
      <c r="Q47" s="2534"/>
      <c r="R47" s="2534"/>
      <c r="S47" s="2535"/>
      <c r="T47" s="2533" t="str">
        <f ca="1">IF(ISBLANK(OFFSET($AP$2,T46,0)),"",CONCATENATE("Seq. ",OFFSET($AP$2,T46,0)))</f>
        <v/>
      </c>
      <c r="U47" s="2534"/>
      <c r="V47" s="2534"/>
      <c r="W47" s="2535"/>
      <c r="X47" s="2533" t="str">
        <f ca="1">IF(ISBLANK(OFFSET($AP$2,X46,0)),"",CONCATENATE("Seq. ",OFFSET($AP$2,X46,0)))</f>
        <v/>
      </c>
      <c r="Y47" s="2534"/>
      <c r="Z47" s="2534"/>
      <c r="AA47" s="2535"/>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36" t="s">
        <v>440</v>
      </c>
      <c r="E48" s="2537"/>
      <c r="F48" s="2537" t="s">
        <v>441</v>
      </c>
      <c r="G48" s="2538"/>
      <c r="H48" s="2536" t="s">
        <v>440</v>
      </c>
      <c r="I48" s="2537"/>
      <c r="J48" s="2537" t="s">
        <v>441</v>
      </c>
      <c r="K48" s="2538"/>
      <c r="L48" s="2536" t="s">
        <v>440</v>
      </c>
      <c r="M48" s="2537"/>
      <c r="N48" s="2537" t="s">
        <v>441</v>
      </c>
      <c r="O48" s="2538"/>
      <c r="P48" s="2536" t="s">
        <v>440</v>
      </c>
      <c r="Q48" s="2537"/>
      <c r="R48" s="2537" t="s">
        <v>441</v>
      </c>
      <c r="S48" s="2538"/>
      <c r="T48" s="2536" t="s">
        <v>440</v>
      </c>
      <c r="U48" s="2537"/>
      <c r="V48" s="2537" t="s">
        <v>441</v>
      </c>
      <c r="W48" s="2538"/>
      <c r="X48" s="2536" t="s">
        <v>440</v>
      </c>
      <c r="Y48" s="2537"/>
      <c r="Z48" s="2537" t="s">
        <v>441</v>
      </c>
      <c r="AA48" s="2538"/>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39" t="s">
        <v>73</v>
      </c>
      <c r="C49" s="2540"/>
      <c r="D49" s="2521" t="str">
        <f ca="1">IF(ISBLANK(OFFSET($AP$2,D46,0)),"",OFFSET($AQ$2,D46,0)+OFFSET($AU$2,D46,0))</f>
        <v/>
      </c>
      <c r="E49" s="2522"/>
      <c r="F49" s="2523" t="str">
        <f ca="1">IF(ISBLANK(OFFSET($AP$2,D46,0)),"",(OFFSET($AQ$2,D46,0)+OFFSET($AU$2,D46,0))-(OFFSET($AW$2,D46,0)+OFFSET($BA$2,D46,0)))</f>
        <v/>
      </c>
      <c r="G49" s="2524"/>
      <c r="H49" s="2521" t="str">
        <f ca="1">IF(ISBLANK(OFFSET($AP$2,H46,0)),"",OFFSET($AQ$2,H46,0)+OFFSET($AU$2,H46,0))</f>
        <v/>
      </c>
      <c r="I49" s="2522"/>
      <c r="J49" s="2523" t="str">
        <f ca="1">IF(ISBLANK(OFFSET($AP$2,H46,0)),"",(OFFSET($AQ$2,H46,0)+OFFSET($AU$2,H46,0))-(OFFSET($AW$2,H46,0)+OFFSET($BA$2,H46,0)))</f>
        <v/>
      </c>
      <c r="K49" s="2524"/>
      <c r="L49" s="2521" t="str">
        <f ca="1">IF(ISBLANK(OFFSET($AP$2,L46,0)),"",OFFSET($AQ$2,L46,0)+OFFSET($AU$2,L46,0))</f>
        <v/>
      </c>
      <c r="M49" s="2522"/>
      <c r="N49" s="2523" t="str">
        <f ca="1">IF(ISBLANK(OFFSET($AP$2,L46,0)),"",(OFFSET($AQ$2,L46,0)+OFFSET($AU$2,L46,0))-(OFFSET($AW$2,L46,0)+OFFSET($BA$2,L46,0)))</f>
        <v/>
      </c>
      <c r="O49" s="2524"/>
      <c r="P49" s="2521" t="str">
        <f ca="1">IF(ISBLANK(OFFSET($AP$2,P46,0)),"",OFFSET($AQ$2,P46,0)+OFFSET($AU$2,P46,0))</f>
        <v/>
      </c>
      <c r="Q49" s="2522"/>
      <c r="R49" s="2523" t="str">
        <f ca="1">IF(ISBLANK(OFFSET($AP$2,P46,0)),"",(OFFSET($AQ$2,P46,0)+OFFSET($AU$2,P46,0))-(OFFSET($AW$2,P46,0)+OFFSET($BA$2,P46,0)))</f>
        <v/>
      </c>
      <c r="S49" s="2524"/>
      <c r="T49" s="2521" t="str">
        <f ca="1">IF(ISBLANK(OFFSET($AP$2,T46,0)),"",OFFSET($AQ$2,T46,0)+OFFSET($AU$2,T46,0))</f>
        <v/>
      </c>
      <c r="U49" s="2522"/>
      <c r="V49" s="2523" t="str">
        <f ca="1">IF(ISBLANK(OFFSET($AP$2,T46,0)),"",(OFFSET($AQ$2,T46,0)+OFFSET($AU$2,T46,0))-(OFFSET($AW$2,T46,0)+OFFSET($BA$2,T46,0)))</f>
        <v/>
      </c>
      <c r="W49" s="2524"/>
      <c r="X49" s="2521" t="str">
        <f ca="1">IF(ISBLANK(OFFSET($AP$2,X46,0)),"",OFFSET($AQ$2,X46,0)+OFFSET($AU$2,X46,0))</f>
        <v/>
      </c>
      <c r="Y49" s="2522"/>
      <c r="Z49" s="2523" t="str">
        <f ca="1">IF(ISBLANK(OFFSET($AP$2,X46,0)),"",(OFFSET($AQ$2,X46,0)+OFFSET($AU$2,X46,0))-(OFFSET($AW$2,X46,0)+OFFSET($BA$2,X46,0)))</f>
        <v/>
      </c>
      <c r="AA49" s="2524"/>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25" t="s">
        <v>437</v>
      </c>
      <c r="C50" s="2526"/>
      <c r="D50" s="2521" t="str">
        <f ca="1">IF(ISBLANK(OFFSET($AP$2,D46,0)),"",OFFSET($AR$2,D46,0))</f>
        <v/>
      </c>
      <c r="E50" s="2522"/>
      <c r="F50" s="2523" t="str">
        <f ca="1">IF(ISBLANK(OFFSET($AP$2,D46,0)),"",OFFSET($AR$2,D46,0)-OFFSET($AX$2,D46,0))</f>
        <v/>
      </c>
      <c r="G50" s="2524"/>
      <c r="H50" s="2521" t="str">
        <f ca="1">IF(ISBLANK(OFFSET($AP$2,H46,0)),"",OFFSET($AR$2,H46,0))</f>
        <v/>
      </c>
      <c r="I50" s="2522"/>
      <c r="J50" s="2523" t="str">
        <f ca="1">IF(ISBLANK(OFFSET($AP$2,H46,0)),"",OFFSET($AR$2,H46,0)-OFFSET($AX$2,H46,0))</f>
        <v/>
      </c>
      <c r="K50" s="2524"/>
      <c r="L50" s="2521" t="str">
        <f ca="1">IF(ISBLANK(OFFSET($AP$2,L46,0)),"",OFFSET($AR$2,L46,0))</f>
        <v/>
      </c>
      <c r="M50" s="2522"/>
      <c r="N50" s="2523" t="str">
        <f ca="1">IF(ISBLANK(OFFSET($AP$2,L46,0)),"",OFFSET($AR$2,L46,0)-OFFSET($AX$2,L46,0))</f>
        <v/>
      </c>
      <c r="O50" s="2524"/>
      <c r="P50" s="2521" t="str">
        <f ca="1">IF(ISBLANK(OFFSET($AP$2,P46,0)),"",OFFSET($AR$2,P46,0))</f>
        <v/>
      </c>
      <c r="Q50" s="2522"/>
      <c r="R50" s="2523" t="str">
        <f ca="1">IF(ISBLANK(OFFSET($AP$2,P46,0)),"",OFFSET($AR$2,P46,0)-OFFSET($AX$2,P46,0))</f>
        <v/>
      </c>
      <c r="S50" s="2524"/>
      <c r="T50" s="2521" t="str">
        <f ca="1">IF(ISBLANK(OFFSET($AP$2,T46,0)),"",OFFSET($AR$2,T46,0))</f>
        <v/>
      </c>
      <c r="U50" s="2522"/>
      <c r="V50" s="2523" t="str">
        <f ca="1">IF(ISBLANK(OFFSET($AP$2,T46,0)),"",OFFSET($AR$2,T46,0)-OFFSET($AX$2,T46,0))</f>
        <v/>
      </c>
      <c r="W50" s="2524"/>
      <c r="X50" s="2521" t="str">
        <f ca="1">IF(ISBLANK(OFFSET($AP$2,X46,0)),"",OFFSET($AR$2,X46,0))</f>
        <v/>
      </c>
      <c r="Y50" s="2522"/>
      <c r="Z50" s="2523" t="str">
        <f ca="1">IF(ISBLANK(OFFSET($AP$2,X46,0)),"",OFFSET($AR$2,X46,0)-OFFSET($AX$2,X46,0))</f>
        <v/>
      </c>
      <c r="AA50" s="2524"/>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25" t="s">
        <v>438</v>
      </c>
      <c r="C51" s="2526"/>
      <c r="D51" s="2521" t="str">
        <f ca="1">IF(ISBLANK(OFFSET($AP$2,D46,0)),"",OFFSET($AS$2,D46,0))</f>
        <v/>
      </c>
      <c r="E51" s="2522"/>
      <c r="F51" s="2523" t="str">
        <f ca="1">IF(ISBLANK(OFFSET($AP$2,D46,0)),"",OFFSET($AS$2,D46,0)-OFFSET($AY$2,D46,0))</f>
        <v/>
      </c>
      <c r="G51" s="2524"/>
      <c r="H51" s="2521" t="str">
        <f ca="1">IF(ISBLANK(OFFSET($AP$2,H46,0)),"",OFFSET($AS$2,H46,0))</f>
        <v/>
      </c>
      <c r="I51" s="2522"/>
      <c r="J51" s="2523" t="str">
        <f ca="1">IF(ISBLANK(OFFSET($AP$2,H46,0)),"",OFFSET($AS$2,H46,0)-OFFSET($AY$2,H46,0))</f>
        <v/>
      </c>
      <c r="K51" s="2524"/>
      <c r="L51" s="2521" t="str">
        <f ca="1">IF(ISBLANK(OFFSET($AP$2,L46,0)),"",OFFSET($AS$2,L46,0))</f>
        <v/>
      </c>
      <c r="M51" s="2522"/>
      <c r="N51" s="2523" t="str">
        <f ca="1">IF(ISBLANK(OFFSET($AP$2,L46,0)),"",OFFSET($AS$2,L46,0)-OFFSET($AY$2,L46,0))</f>
        <v/>
      </c>
      <c r="O51" s="2524"/>
      <c r="P51" s="2521" t="str">
        <f ca="1">IF(ISBLANK(OFFSET($AP$2,P46,0)),"",OFFSET($AS$2,P46,0))</f>
        <v/>
      </c>
      <c r="Q51" s="2522"/>
      <c r="R51" s="2523" t="str">
        <f ca="1">IF(ISBLANK(OFFSET($AP$2,P46,0)),"",OFFSET($AS$2,P46,0)-OFFSET($AY$2,P46,0))</f>
        <v/>
      </c>
      <c r="S51" s="2524"/>
      <c r="T51" s="2521" t="str">
        <f ca="1">IF(ISBLANK(OFFSET($AP$2,T46,0)),"",OFFSET($AS$2,T46,0))</f>
        <v/>
      </c>
      <c r="U51" s="2522"/>
      <c r="V51" s="2523" t="str">
        <f ca="1">IF(ISBLANK(OFFSET($AP$2,T46,0)),"",OFFSET($AS$2,T46,0)-OFFSET($AY$2,T46,0))</f>
        <v/>
      </c>
      <c r="W51" s="2524"/>
      <c r="X51" s="2521" t="str">
        <f ca="1">IF(ISBLANK(OFFSET($AP$2,X46,0)),"",OFFSET($AS$2,X46,0))</f>
        <v/>
      </c>
      <c r="Y51" s="2522"/>
      <c r="Z51" s="2523" t="str">
        <f ca="1">IF(ISBLANK(OFFSET($AP$2,X46,0)),"",OFFSET($AS$2,X46,0)-OFFSET($AY$2,X46,0))</f>
        <v/>
      </c>
      <c r="AA51" s="2524"/>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25" t="s">
        <v>75</v>
      </c>
      <c r="C52" s="2526"/>
      <c r="D52" s="2521" t="str">
        <f ca="1">IF(ISBLANK(OFFSET($AP$2,D46,0)),"",OFFSET($AT$2,D46,0))</f>
        <v/>
      </c>
      <c r="E52" s="2522"/>
      <c r="F52" s="2523" t="str">
        <f ca="1">IF(ISBLANK(OFFSET($AP$2,D46,0)),"",OFFSET($AT$2,D46,0)-OFFSET($AZ$2,D46,0))</f>
        <v/>
      </c>
      <c r="G52" s="2524"/>
      <c r="H52" s="2521" t="str">
        <f ca="1">IF(ISBLANK(OFFSET($AP$2,H46,0)),"",OFFSET($AT$2,H46,0))</f>
        <v/>
      </c>
      <c r="I52" s="2522"/>
      <c r="J52" s="2523" t="str">
        <f ca="1">IF(ISBLANK(OFFSET($AP$2,H46,0)),"",OFFSET($AT$2,H46,0)-OFFSET($AZ$2,H46,0))</f>
        <v/>
      </c>
      <c r="K52" s="2524"/>
      <c r="L52" s="2521" t="str">
        <f ca="1">IF(ISBLANK(OFFSET($AP$2,L46,0)),"",OFFSET($AT$2,L46,0))</f>
        <v/>
      </c>
      <c r="M52" s="2522"/>
      <c r="N52" s="2523" t="str">
        <f ca="1">IF(ISBLANK(OFFSET($AP$2,L46,0)),"",OFFSET($AT$2,L46,0)-OFFSET($AZ$2,L46,0))</f>
        <v/>
      </c>
      <c r="O52" s="2524"/>
      <c r="P52" s="2521" t="str">
        <f ca="1">IF(ISBLANK(OFFSET($AP$2,P46,0)),"",OFFSET($AT$2,P46,0))</f>
        <v/>
      </c>
      <c r="Q52" s="2522"/>
      <c r="R52" s="2523" t="str">
        <f ca="1">IF(ISBLANK(OFFSET($AP$2,P46,0)),"",OFFSET($AT$2,P46,0)-OFFSET($AZ$2,P46,0))</f>
        <v/>
      </c>
      <c r="S52" s="2524"/>
      <c r="T52" s="2521" t="str">
        <f ca="1">IF(ISBLANK(OFFSET($AP$2,T46,0)),"",OFFSET($AT$2,T46,0))</f>
        <v/>
      </c>
      <c r="U52" s="2522"/>
      <c r="V52" s="2523" t="str">
        <f ca="1">IF(ISBLANK(OFFSET($AP$2,T46,0)),"",OFFSET($AT$2,T46,0)-OFFSET($AZ$2,T46,0))</f>
        <v/>
      </c>
      <c r="W52" s="2524"/>
      <c r="X52" s="2521" t="str">
        <f ca="1">IF(ISBLANK(OFFSET($AP$2,X46,0)),"",OFFSET($AT$2,X46,0))</f>
        <v/>
      </c>
      <c r="Y52" s="2522"/>
      <c r="Z52" s="2523" t="str">
        <f ca="1">IF(ISBLANK(OFFSET($AP$2,X46,0)),"",OFFSET($AT$2,X46,0)-OFFSET($AZ$2,X46,0))</f>
        <v/>
      </c>
      <c r="AA52" s="2524"/>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27" t="s">
        <v>439</v>
      </c>
      <c r="C53" s="2528"/>
      <c r="D53" s="2529" t="str">
        <f ca="1">IF(ISBLANK(OFFSET($AP$2,D46,0)),"",OFFSET($AV$2,D46,0))</f>
        <v/>
      </c>
      <c r="E53" s="2530"/>
      <c r="F53" s="2531" t="str">
        <f ca="1">IF(ISBLANK(OFFSET($AP$2,D46,0)),"",OFFSET($AV$2,D46,0)-OFFSET($BB$2,D46,0))</f>
        <v/>
      </c>
      <c r="G53" s="2532"/>
      <c r="H53" s="2529" t="str">
        <f ca="1">IF(ISBLANK(OFFSET($AP$2,H46,0)),"",OFFSET($AV$2,H46,0))</f>
        <v/>
      </c>
      <c r="I53" s="2530"/>
      <c r="J53" s="2531" t="str">
        <f ca="1">IF(ISBLANK(OFFSET($AP$2,H46,0)),"",OFFSET($AV$2,H46,0)-OFFSET($BB$2,H46,0))</f>
        <v/>
      </c>
      <c r="K53" s="2532"/>
      <c r="L53" s="2529" t="str">
        <f ca="1">IF(ISBLANK(OFFSET($AP$2,L46,0)),"",OFFSET($AV$2,L46,0))</f>
        <v/>
      </c>
      <c r="M53" s="2530"/>
      <c r="N53" s="2531" t="str">
        <f ca="1">IF(ISBLANK(OFFSET($AP$2,L46,0)),"",OFFSET($AV$2,L46,0)-OFFSET($BB$2,L46,0))</f>
        <v/>
      </c>
      <c r="O53" s="2532"/>
      <c r="P53" s="2529" t="str">
        <f ca="1">IF(ISBLANK(OFFSET($AP$2,P46,0)),"",OFFSET($AV$2,P46,0))</f>
        <v/>
      </c>
      <c r="Q53" s="2530"/>
      <c r="R53" s="2531" t="str">
        <f ca="1">IF(ISBLANK(OFFSET($AP$2,P46,0)),"",OFFSET($AV$2,P46,0)-OFFSET($BB$2,P46,0))</f>
        <v/>
      </c>
      <c r="S53" s="2532"/>
      <c r="T53" s="2529" t="str">
        <f ca="1">IF(ISBLANK(OFFSET($AP$2,T46,0)),"",OFFSET($AV$2,T46,0))</f>
        <v/>
      </c>
      <c r="U53" s="2530"/>
      <c r="V53" s="2531" t="str">
        <f ca="1">IF(ISBLANK(OFFSET($AP$2,T46,0)),"",OFFSET($AV$2,T46,0)-OFFSET($BB$2,T46,0))</f>
        <v/>
      </c>
      <c r="W53" s="2532"/>
      <c r="X53" s="2529" t="str">
        <f ca="1">IF(ISBLANK(OFFSET($AP$2,X46,0)),"",OFFSET($AV$2,X46,0))</f>
        <v/>
      </c>
      <c r="Y53" s="2530"/>
      <c r="Z53" s="2531" t="str">
        <f ca="1">IF(ISBLANK(OFFSET($AP$2,X46,0)),"",OFFSET($AV$2,X46,0)-OFFSET($BB$2,X46,0))</f>
        <v/>
      </c>
      <c r="AA53" s="2532"/>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45" t="str">
        <f ca="1">X1</f>
        <v>775-428-0600</v>
      </c>
      <c r="Y55" s="2545"/>
      <c r="Z55" s="2545"/>
      <c r="AA55" s="2545"/>
      <c r="AB55" s="2545"/>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45" t="str">
        <f ca="1">X2</f>
        <v>775-867-2140</v>
      </c>
      <c r="Y56" s="2545"/>
      <c r="Z56" s="2545"/>
      <c r="AA56" s="2545"/>
      <c r="AB56" s="2545"/>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45" t="str">
        <f ca="1">X3</f>
        <v>775-867-2169</v>
      </c>
      <c r="Y57" s="2545"/>
      <c r="Z57" s="2545"/>
      <c r="AA57" s="2545"/>
      <c r="AB57" s="2545"/>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45" t="str">
        <f ca="1">X4</f>
        <v>775-867-2060</v>
      </c>
      <c r="Y58" s="2545"/>
      <c r="Z58" s="2545"/>
      <c r="AA58" s="2545"/>
      <c r="AB58" s="2545"/>
      <c r="AP58" s="54"/>
      <c r="AQ58" s="54"/>
      <c r="AR58" s="54"/>
      <c r="AS58" s="54"/>
      <c r="AT58" s="54"/>
      <c r="AU58" s="54"/>
      <c r="AV58" s="76"/>
      <c r="AW58" s="77"/>
      <c r="AX58" s="54"/>
      <c r="AY58" s="54"/>
      <c r="AZ58" s="54"/>
      <c r="BA58" s="54"/>
      <c r="BB58" s="54"/>
    </row>
    <row r="59" spans="1:54" ht="12.95" hidden="1" customHeight="1" x14ac:dyDescent="0.2">
      <c r="A59" s="1803" t="str">
        <f ca="1">A5</f>
        <v>8200 Woolery Way | Fallon, NV 89406 | www.newmill.com</v>
      </c>
      <c r="B59" s="1803"/>
      <c r="C59" s="1803"/>
      <c r="D59" s="1803"/>
      <c r="E59" s="1803"/>
      <c r="F59" s="1803"/>
      <c r="G59" s="1803"/>
      <c r="H59" s="1803"/>
      <c r="I59" s="1803"/>
      <c r="J59" s="1803"/>
      <c r="K59" s="1803"/>
      <c r="L59" s="1803"/>
      <c r="M59" s="1803"/>
      <c r="N59" s="1803"/>
      <c r="O59" s="1803"/>
      <c r="P59"/>
      <c r="Q59"/>
      <c r="R59" s="39"/>
      <c r="S59"/>
      <c r="T59"/>
      <c r="U59"/>
      <c r="V59"/>
      <c r="W59"/>
      <c r="X59" s="50" t="s">
        <v>421</v>
      </c>
      <c r="Y59" s="2550">
        <f>Y5</f>
        <v>44910.429548611108</v>
      </c>
      <c r="Z59" s="2551"/>
      <c r="AA59" s="2551"/>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52"/>
      <c r="Z60" s="2553"/>
      <c r="AA60" s="2553"/>
      <c r="AB60"/>
      <c r="AP60" s="54"/>
      <c r="AQ60" s="54"/>
      <c r="AR60" s="54"/>
      <c r="AS60" s="54"/>
      <c r="AT60" s="54"/>
      <c r="AU60" s="54"/>
      <c r="AV60" s="76"/>
      <c r="AW60" s="77"/>
      <c r="AX60" s="54"/>
      <c r="AY60" s="54"/>
      <c r="AZ60" s="54"/>
      <c r="BA60" s="54"/>
      <c r="BB60" s="54"/>
    </row>
    <row r="61" spans="1:54" ht="12.95" hidden="1" customHeight="1" x14ac:dyDescent="0.2">
      <c r="A61" s="1200" t="s">
        <v>1173</v>
      </c>
      <c r="B61" s="1201" t="s">
        <v>443</v>
      </c>
      <c r="C61"/>
      <c r="D61"/>
      <c r="E61"/>
      <c r="F61" s="39"/>
      <c r="G61"/>
      <c r="H61"/>
      <c r="I61"/>
      <c r="J61"/>
      <c r="K61"/>
      <c r="L61"/>
      <c r="M61"/>
      <c r="N61"/>
      <c r="O61" s="94"/>
      <c r="P61"/>
      <c r="Q61"/>
      <c r="R61"/>
      <c r="S61"/>
      <c r="T61"/>
      <c r="U61"/>
      <c r="V61"/>
      <c r="W61"/>
      <c r="X61" s="68"/>
      <c r="Y61" s="2554"/>
      <c r="Z61" s="2214"/>
      <c r="AA61" s="221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47"/>
      <c r="Z62" s="2548"/>
      <c r="AA62" s="2548"/>
      <c r="AB62"/>
      <c r="AP62" s="54"/>
      <c r="AQ62" s="54"/>
      <c r="AR62" s="54"/>
      <c r="AS62" s="54"/>
      <c r="AT62" s="54"/>
      <c r="AU62" s="54"/>
      <c r="AV62" s="76"/>
      <c r="AW62" s="77"/>
      <c r="AX62" s="54"/>
      <c r="AY62" s="54"/>
      <c r="AZ62" s="54"/>
      <c r="BA62" s="54"/>
      <c r="BB62" s="54"/>
    </row>
    <row r="63" spans="1:54" ht="12.95" hidden="1" customHeight="1" x14ac:dyDescent="0.2">
      <c r="A63" s="2541" t="s">
        <v>1</v>
      </c>
      <c r="B63" s="2253"/>
      <c r="C63" s="2253"/>
      <c r="D63" s="2542" t="str">
        <f>D9</f>
        <v>SUNCAP CHEYENNE&amp;COMMERCE BLDG A&amp;B PP</v>
      </c>
      <c r="E63" s="2542"/>
      <c r="F63" s="2542"/>
      <c r="G63" s="2542"/>
      <c r="H63" s="2542"/>
      <c r="I63" s="2542"/>
      <c r="J63" s="2542"/>
      <c r="K63" s="2542"/>
      <c r="L63" s="2542"/>
      <c r="M63" s="2542"/>
      <c r="N63" s="2542"/>
      <c r="O63" s="2542"/>
      <c r="P63" s="2543"/>
      <c r="Q63" s="96"/>
      <c r="R63" s="20" t="s">
        <v>2</v>
      </c>
      <c r="S63" s="2549" t="str">
        <f>S9</f>
        <v>9122-0050</v>
      </c>
      <c r="T63" s="2253"/>
      <c r="U63" s="2253"/>
      <c r="V63" s="2253"/>
      <c r="W63" s="2253"/>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41" t="s">
        <v>3</v>
      </c>
      <c r="B64" s="2253"/>
      <c r="C64" s="2253"/>
      <c r="D64" s="2542" t="str">
        <f>D10</f>
        <v>LAS VEGAS, NV</v>
      </c>
      <c r="E64" s="2542"/>
      <c r="F64" s="2542"/>
      <c r="G64" s="2542"/>
      <c r="H64" s="2542"/>
      <c r="I64" s="2542"/>
      <c r="J64" s="2542"/>
      <c r="K64" s="2542"/>
      <c r="L64" s="2542"/>
      <c r="M64" s="2542"/>
      <c r="N64" s="2542"/>
      <c r="O64" s="2542"/>
      <c r="P64" s="2543"/>
      <c r="Q64" s="96"/>
      <c r="R64" s="20" t="s">
        <v>428</v>
      </c>
      <c r="S64" s="2544" t="str">
        <f>S10</f>
        <v>SA</v>
      </c>
      <c r="T64" s="2253"/>
      <c r="U64" s="96"/>
      <c r="V64" s="98"/>
      <c r="W64" s="20" t="s">
        <v>429</v>
      </c>
      <c r="X64" s="2546" t="str">
        <f>X10</f>
        <v>NR</v>
      </c>
      <c r="Y64" s="2546"/>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33" t="str">
        <f ca="1">IF(ISBLANK(OFFSET($AP$2,D65,0)),"",CONCATENATE("Seq. ",OFFSET($AP$2,D65,0)))</f>
        <v/>
      </c>
      <c r="E66" s="2534"/>
      <c r="F66" s="2534"/>
      <c r="G66" s="2535"/>
      <c r="H66" s="2533" t="str">
        <f ca="1">IF(ISBLANK(OFFSET($AP$2,H65,0)),"",CONCATENATE("Seq. ",OFFSET($AP$2,H65,0)))</f>
        <v/>
      </c>
      <c r="I66" s="2534"/>
      <c r="J66" s="2534"/>
      <c r="K66" s="2535"/>
      <c r="L66" s="2533" t="str">
        <f ca="1">IF(ISBLANK(OFFSET($AP$2,L65,0)),"",CONCATENATE("Seq. ",OFFSET($AP$2,L65,0)))</f>
        <v/>
      </c>
      <c r="M66" s="2534"/>
      <c r="N66" s="2534"/>
      <c r="O66" s="2535"/>
      <c r="P66" s="2533" t="str">
        <f ca="1">IF(ISBLANK(OFFSET($AP$2,P65,0)),"",CONCATENATE("Seq. ",OFFSET($AP$2,P65,0)))</f>
        <v/>
      </c>
      <c r="Q66" s="2534"/>
      <c r="R66" s="2534"/>
      <c r="S66" s="2535"/>
      <c r="T66" s="2533" t="str">
        <f ca="1">IF(ISBLANK(OFFSET($AP$2,T65,0)),"",CONCATENATE("Seq. ",OFFSET($AP$2,T65,0)))</f>
        <v/>
      </c>
      <c r="U66" s="2534"/>
      <c r="V66" s="2534"/>
      <c r="W66" s="2535"/>
      <c r="X66" s="2533" t="str">
        <f ca="1">IF(ISBLANK(OFFSET($AP$2,X65,0)),"",CONCATENATE("Seq. ",OFFSET($AP$2,X65,0)))</f>
        <v/>
      </c>
      <c r="Y66" s="2534"/>
      <c r="Z66" s="2534"/>
      <c r="AA66" s="2535"/>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36" t="s">
        <v>440</v>
      </c>
      <c r="E67" s="2537"/>
      <c r="F67" s="2537" t="s">
        <v>441</v>
      </c>
      <c r="G67" s="2538"/>
      <c r="H67" s="2536" t="s">
        <v>440</v>
      </c>
      <c r="I67" s="2537"/>
      <c r="J67" s="2537" t="s">
        <v>441</v>
      </c>
      <c r="K67" s="2538"/>
      <c r="L67" s="2536" t="s">
        <v>440</v>
      </c>
      <c r="M67" s="2537"/>
      <c r="N67" s="2537" t="s">
        <v>441</v>
      </c>
      <c r="O67" s="2538"/>
      <c r="P67" s="2536" t="s">
        <v>440</v>
      </c>
      <c r="Q67" s="2537"/>
      <c r="R67" s="2537" t="s">
        <v>441</v>
      </c>
      <c r="S67" s="2538"/>
      <c r="T67" s="2536" t="s">
        <v>440</v>
      </c>
      <c r="U67" s="2537"/>
      <c r="V67" s="2537" t="s">
        <v>441</v>
      </c>
      <c r="W67" s="2538"/>
      <c r="X67" s="2536" t="s">
        <v>440</v>
      </c>
      <c r="Y67" s="2537"/>
      <c r="Z67" s="2537" t="s">
        <v>441</v>
      </c>
      <c r="AA67" s="2538"/>
      <c r="AB67" s="57"/>
      <c r="AP67" s="54"/>
      <c r="AQ67" s="54"/>
      <c r="AR67" s="54"/>
      <c r="AS67" s="54"/>
      <c r="AT67" s="54"/>
      <c r="AU67" s="54"/>
      <c r="AV67" s="76"/>
      <c r="AW67" s="77"/>
      <c r="AX67" s="54"/>
      <c r="AY67" s="54"/>
      <c r="AZ67" s="54"/>
      <c r="BA67" s="54"/>
      <c r="BB67" s="54"/>
    </row>
    <row r="68" spans="1:54" ht="12.95" hidden="1" customHeight="1" x14ac:dyDescent="0.2">
      <c r="A68" s="57"/>
      <c r="B68" s="2539" t="s">
        <v>73</v>
      </c>
      <c r="C68" s="2540"/>
      <c r="D68" s="2521" t="str">
        <f ca="1">IF(ISBLANK(OFFSET($AP$2,D65,0)),"",OFFSET($AQ$2,D65,0)+OFFSET($AU$2,D65,0))</f>
        <v/>
      </c>
      <c r="E68" s="2522"/>
      <c r="F68" s="2523" t="str">
        <f ca="1">IF(ISBLANK(OFFSET($AP$2,D65,0)),"",(OFFSET($AQ$2,D65,0)+OFFSET($AU$2,D65,0))-(OFFSET($AW$2,D65,0)+OFFSET($BA$2,D65,0)))</f>
        <v/>
      </c>
      <c r="G68" s="2524"/>
      <c r="H68" s="2521" t="str">
        <f ca="1">IF(ISBLANK(OFFSET($AP$2,H65,0)),"",OFFSET($AQ$2,H65,0)+OFFSET($AU$2,H65,0))</f>
        <v/>
      </c>
      <c r="I68" s="2522"/>
      <c r="J68" s="2523" t="str">
        <f ca="1">IF(ISBLANK(OFFSET($AP$2,H65,0)),"",(OFFSET($AQ$2,H65,0)+OFFSET($AU$2,H65,0))-(OFFSET($AW$2,H65,0)+OFFSET($BA$2,H65,0)))</f>
        <v/>
      </c>
      <c r="K68" s="2524"/>
      <c r="L68" s="2521" t="str">
        <f ca="1">IF(ISBLANK(OFFSET($AP$2,L65,0)),"",OFFSET($AQ$2,L65,0)+OFFSET($AU$2,L65,0))</f>
        <v/>
      </c>
      <c r="M68" s="2522"/>
      <c r="N68" s="2523" t="str">
        <f ca="1">IF(ISBLANK(OFFSET($AP$2,L65,0)),"",(OFFSET($AQ$2,L65,0)+OFFSET($AU$2,L65,0))-(OFFSET($AW$2,L65,0)+OFFSET($BA$2,L65,0)))</f>
        <v/>
      </c>
      <c r="O68" s="2524"/>
      <c r="P68" s="2521" t="str">
        <f ca="1">IF(ISBLANK(OFFSET($AP$2,P65,0)),"",OFFSET($AQ$2,P65,0)+OFFSET($AU$2,P65,0))</f>
        <v/>
      </c>
      <c r="Q68" s="2522"/>
      <c r="R68" s="2523" t="str">
        <f ca="1">IF(ISBLANK(OFFSET($AP$2,P65,0)),"",(OFFSET($AQ$2,P65,0)+OFFSET($AU$2,P65,0))-(OFFSET($AW$2,P65,0)+OFFSET($BA$2,P65,0)))</f>
        <v/>
      </c>
      <c r="S68" s="2524"/>
      <c r="T68" s="2521" t="str">
        <f ca="1">IF(ISBLANK(OFFSET($AP$2,T65,0)),"",OFFSET($AQ$2,T65,0)+OFFSET($AU$2,T65,0))</f>
        <v/>
      </c>
      <c r="U68" s="2522"/>
      <c r="V68" s="2523" t="str">
        <f ca="1">IF(ISBLANK(OFFSET($AP$2,T65,0)),"",(OFFSET($AQ$2,T65,0)+OFFSET($AU$2,T65,0))-(OFFSET($AW$2,T65,0)+OFFSET($BA$2,T65,0)))</f>
        <v/>
      </c>
      <c r="W68" s="2524"/>
      <c r="X68" s="2521" t="str">
        <f ca="1">IF(ISBLANK(OFFSET($AP$2,X65,0)),"",OFFSET($AQ$2,X65,0)+OFFSET($AU$2,X65,0))</f>
        <v/>
      </c>
      <c r="Y68" s="2522"/>
      <c r="Z68" s="2523" t="str">
        <f ca="1">IF(ISBLANK(OFFSET($AP$2,X65,0)),"",(OFFSET($AQ$2,X65,0)+OFFSET($AU$2,X65,0))-(OFFSET($AW$2,X65,0)+OFFSET($BA$2,X65,0)))</f>
        <v/>
      </c>
      <c r="AA68" s="2524"/>
      <c r="AB68" s="57"/>
      <c r="AP68" s="54"/>
      <c r="AQ68" s="54"/>
      <c r="AR68" s="54"/>
      <c r="AS68" s="54"/>
      <c r="AT68" s="54"/>
      <c r="AU68" s="54"/>
      <c r="AV68" s="76"/>
      <c r="AW68" s="77"/>
      <c r="AX68" s="54"/>
      <c r="AY68" s="54"/>
      <c r="AZ68" s="54"/>
      <c r="BA68" s="54"/>
      <c r="BB68" s="54"/>
    </row>
    <row r="69" spans="1:54" ht="12.95" hidden="1" customHeight="1" x14ac:dyDescent="0.2">
      <c r="A69" s="57"/>
      <c r="B69" s="2525" t="s">
        <v>437</v>
      </c>
      <c r="C69" s="2526"/>
      <c r="D69" s="2521" t="str">
        <f ca="1">IF(ISBLANK(OFFSET($AP$2,D65,0)),"",OFFSET($AR$2,D65,0))</f>
        <v/>
      </c>
      <c r="E69" s="2522"/>
      <c r="F69" s="2523" t="str">
        <f ca="1">IF(ISBLANK(OFFSET($AP$2,D65,0)),"",OFFSET($AR$2,D65,0)-OFFSET($AX$2,D65,0))</f>
        <v/>
      </c>
      <c r="G69" s="2524"/>
      <c r="H69" s="2521" t="str">
        <f ca="1">IF(ISBLANK(OFFSET($AP$2,H65,0)),"",OFFSET($AR$2,H65,0))</f>
        <v/>
      </c>
      <c r="I69" s="2522"/>
      <c r="J69" s="2523" t="str">
        <f ca="1">IF(ISBLANK(OFFSET($AP$2,H65,0)),"",OFFSET($AR$2,H65,0)-OFFSET($AX$2,H65,0))</f>
        <v/>
      </c>
      <c r="K69" s="2524"/>
      <c r="L69" s="2521" t="str">
        <f ca="1">IF(ISBLANK(OFFSET($AP$2,L65,0)),"",OFFSET($AR$2,L65,0))</f>
        <v/>
      </c>
      <c r="M69" s="2522"/>
      <c r="N69" s="2523" t="str">
        <f ca="1">IF(ISBLANK(OFFSET($AP$2,L65,0)),"",OFFSET($AR$2,L65,0)-OFFSET($AX$2,L65,0))</f>
        <v/>
      </c>
      <c r="O69" s="2524"/>
      <c r="P69" s="2521" t="str">
        <f ca="1">IF(ISBLANK(OFFSET($AP$2,P65,0)),"",OFFSET($AR$2,P65,0))</f>
        <v/>
      </c>
      <c r="Q69" s="2522"/>
      <c r="R69" s="2523" t="str">
        <f ca="1">IF(ISBLANK(OFFSET($AP$2,P65,0)),"",OFFSET($AR$2,P65,0)-OFFSET($AX$2,P65,0))</f>
        <v/>
      </c>
      <c r="S69" s="2524"/>
      <c r="T69" s="2521" t="str">
        <f ca="1">IF(ISBLANK(OFFSET($AP$2,T65,0)),"",OFFSET($AR$2,T65,0))</f>
        <v/>
      </c>
      <c r="U69" s="2522"/>
      <c r="V69" s="2523" t="str">
        <f ca="1">IF(ISBLANK(OFFSET($AP$2,T65,0)),"",OFFSET($AR$2,T65,0)-OFFSET($AX$2,T65,0))</f>
        <v/>
      </c>
      <c r="W69" s="2524"/>
      <c r="X69" s="2521" t="str">
        <f ca="1">IF(ISBLANK(OFFSET($AP$2,X65,0)),"",OFFSET($AR$2,X65,0))</f>
        <v/>
      </c>
      <c r="Y69" s="2522"/>
      <c r="Z69" s="2523" t="str">
        <f ca="1">IF(ISBLANK(OFFSET($AP$2,X65,0)),"",OFFSET($AR$2,X65,0)-OFFSET($AX$2,X65,0))</f>
        <v/>
      </c>
      <c r="AA69" s="2524"/>
      <c r="AB69" s="57"/>
      <c r="AP69" s="54"/>
      <c r="AQ69" s="54"/>
      <c r="AR69" s="54"/>
      <c r="AS69" s="54"/>
      <c r="AT69" s="54"/>
      <c r="AU69" s="54"/>
      <c r="AV69" s="76"/>
      <c r="AW69" s="77"/>
      <c r="AX69" s="54"/>
      <c r="AY69" s="54"/>
      <c r="AZ69" s="54"/>
      <c r="BA69" s="54"/>
      <c r="BB69" s="54"/>
    </row>
    <row r="70" spans="1:54" ht="12.95" hidden="1" customHeight="1" x14ac:dyDescent="0.2">
      <c r="A70" s="57"/>
      <c r="B70" s="2525" t="s">
        <v>438</v>
      </c>
      <c r="C70" s="2526"/>
      <c r="D70" s="2521" t="str">
        <f ca="1">IF(ISBLANK(OFFSET($AP$2,D65,0)),"",OFFSET($AS$2,D65,0))</f>
        <v/>
      </c>
      <c r="E70" s="2522"/>
      <c r="F70" s="2523" t="str">
        <f ca="1">IF(ISBLANK(OFFSET($AP$2,D65,0)),"",OFFSET($AS$2,D65,0)-OFFSET($AY$2,D65,0))</f>
        <v/>
      </c>
      <c r="G70" s="2524"/>
      <c r="H70" s="2521" t="str">
        <f ca="1">IF(ISBLANK(OFFSET($AP$2,H65,0)),"",OFFSET($AS$2,H65,0))</f>
        <v/>
      </c>
      <c r="I70" s="2522"/>
      <c r="J70" s="2523" t="str">
        <f ca="1">IF(ISBLANK(OFFSET($AP$2,H65,0)),"",OFFSET($AS$2,H65,0)-OFFSET($AY$2,H65,0))</f>
        <v/>
      </c>
      <c r="K70" s="2524"/>
      <c r="L70" s="2521" t="str">
        <f ca="1">IF(ISBLANK(OFFSET($AP$2,L65,0)),"",OFFSET($AS$2,L65,0))</f>
        <v/>
      </c>
      <c r="M70" s="2522"/>
      <c r="N70" s="2523" t="str">
        <f ca="1">IF(ISBLANK(OFFSET($AP$2,L65,0)),"",OFFSET($AS$2,L65,0)-OFFSET($AY$2,L65,0))</f>
        <v/>
      </c>
      <c r="O70" s="2524"/>
      <c r="P70" s="2521" t="str">
        <f ca="1">IF(ISBLANK(OFFSET($AP$2,P65,0)),"",OFFSET($AS$2,P65,0))</f>
        <v/>
      </c>
      <c r="Q70" s="2522"/>
      <c r="R70" s="2523" t="str">
        <f ca="1">IF(ISBLANK(OFFSET($AP$2,P65,0)),"",OFFSET($AS$2,P65,0)-OFFSET($AY$2,P65,0))</f>
        <v/>
      </c>
      <c r="S70" s="2524"/>
      <c r="T70" s="2521" t="str">
        <f ca="1">IF(ISBLANK(OFFSET($AP$2,T65,0)),"",OFFSET($AS$2,T65,0))</f>
        <v/>
      </c>
      <c r="U70" s="2522"/>
      <c r="V70" s="2523" t="str">
        <f ca="1">IF(ISBLANK(OFFSET($AP$2,T65,0)),"",OFFSET($AS$2,T65,0)-OFFSET($AY$2,T65,0))</f>
        <v/>
      </c>
      <c r="W70" s="2524"/>
      <c r="X70" s="2521" t="str">
        <f ca="1">IF(ISBLANK(OFFSET($AP$2,X65,0)),"",OFFSET($AS$2,X65,0))</f>
        <v/>
      </c>
      <c r="Y70" s="2522"/>
      <c r="Z70" s="2523" t="str">
        <f ca="1">IF(ISBLANK(OFFSET($AP$2,X65,0)),"",OFFSET($AS$2,X65,0)-OFFSET($AY$2,X65,0))</f>
        <v/>
      </c>
      <c r="AA70" s="2524"/>
      <c r="AB70" s="57"/>
      <c r="AP70" s="54"/>
      <c r="AQ70" s="54"/>
      <c r="AR70" s="54"/>
      <c r="AS70" s="54"/>
      <c r="AT70" s="54"/>
      <c r="AU70" s="54"/>
      <c r="AV70" s="76"/>
      <c r="AW70" s="77"/>
      <c r="AX70" s="54"/>
      <c r="AY70" s="54"/>
      <c r="AZ70" s="54"/>
      <c r="BA70" s="54"/>
      <c r="BB70" s="54"/>
    </row>
    <row r="71" spans="1:54" ht="12.95" hidden="1" customHeight="1" x14ac:dyDescent="0.2">
      <c r="A71" s="57"/>
      <c r="B71" s="2525" t="s">
        <v>75</v>
      </c>
      <c r="C71" s="2526"/>
      <c r="D71" s="2521" t="str">
        <f ca="1">IF(ISBLANK(OFFSET($AP$2,D65,0)),"",OFFSET($AT$2,D65,0))</f>
        <v/>
      </c>
      <c r="E71" s="2522"/>
      <c r="F71" s="2523" t="str">
        <f ca="1">IF(ISBLANK(OFFSET($AP$2,D65,0)),"",OFFSET($AT$2,D65,0)-OFFSET($AZ$2,D65,0))</f>
        <v/>
      </c>
      <c r="G71" s="2524"/>
      <c r="H71" s="2521" t="str">
        <f ca="1">IF(ISBLANK(OFFSET($AP$2,H65,0)),"",OFFSET($AT$2,H65,0))</f>
        <v/>
      </c>
      <c r="I71" s="2522"/>
      <c r="J71" s="2523" t="str">
        <f ca="1">IF(ISBLANK(OFFSET($AP$2,H65,0)),"",OFFSET($AT$2,H65,0)-OFFSET($AZ$2,H65,0))</f>
        <v/>
      </c>
      <c r="K71" s="2524"/>
      <c r="L71" s="2521" t="str">
        <f ca="1">IF(ISBLANK(OFFSET($AP$2,L65,0)),"",OFFSET($AT$2,L65,0))</f>
        <v/>
      </c>
      <c r="M71" s="2522"/>
      <c r="N71" s="2523" t="str">
        <f ca="1">IF(ISBLANK(OFFSET($AP$2,L65,0)),"",OFFSET($AT$2,L65,0)-OFFSET($AZ$2,L65,0))</f>
        <v/>
      </c>
      <c r="O71" s="2524"/>
      <c r="P71" s="2521" t="str">
        <f ca="1">IF(ISBLANK(OFFSET($AP$2,P65,0)),"",OFFSET($AT$2,P65,0))</f>
        <v/>
      </c>
      <c r="Q71" s="2522"/>
      <c r="R71" s="2523" t="str">
        <f ca="1">IF(ISBLANK(OFFSET($AP$2,P65,0)),"",OFFSET($AT$2,P65,0)-OFFSET($AZ$2,P65,0))</f>
        <v/>
      </c>
      <c r="S71" s="2524"/>
      <c r="T71" s="2521" t="str">
        <f ca="1">IF(ISBLANK(OFFSET($AP$2,T65,0)),"",OFFSET($AT$2,T65,0))</f>
        <v/>
      </c>
      <c r="U71" s="2522"/>
      <c r="V71" s="2523" t="str">
        <f ca="1">IF(ISBLANK(OFFSET($AP$2,T65,0)),"",OFFSET($AT$2,T65,0)-OFFSET($AZ$2,T65,0))</f>
        <v/>
      </c>
      <c r="W71" s="2524"/>
      <c r="X71" s="2521" t="str">
        <f ca="1">IF(ISBLANK(OFFSET($AP$2,X65,0)),"",OFFSET($AT$2,X65,0))</f>
        <v/>
      </c>
      <c r="Y71" s="2522"/>
      <c r="Z71" s="2523" t="str">
        <f ca="1">IF(ISBLANK(OFFSET($AP$2,X65,0)),"",OFFSET($AT$2,X65,0)-OFFSET($AZ$2,X65,0))</f>
        <v/>
      </c>
      <c r="AA71" s="2524"/>
      <c r="AB71" s="57"/>
      <c r="AP71" s="54"/>
      <c r="AQ71" s="54"/>
      <c r="AR71" s="54"/>
      <c r="AS71" s="54"/>
      <c r="AT71" s="54"/>
      <c r="AU71" s="54"/>
      <c r="AV71" s="76"/>
      <c r="AW71" s="77"/>
      <c r="AX71" s="54"/>
      <c r="AY71" s="54"/>
      <c r="AZ71" s="54"/>
      <c r="BA71" s="54"/>
      <c r="BB71" s="54"/>
    </row>
    <row r="72" spans="1:54" ht="12.95" hidden="1" customHeight="1" thickBot="1" x14ac:dyDescent="0.25">
      <c r="A72" s="57"/>
      <c r="B72" s="2527" t="s">
        <v>439</v>
      </c>
      <c r="C72" s="2528"/>
      <c r="D72" s="2529" t="str">
        <f ca="1">IF(ISBLANK(OFFSET($AP$2,D65,0)),"",OFFSET($AV$2,D65,0))</f>
        <v/>
      </c>
      <c r="E72" s="2530"/>
      <c r="F72" s="2531" t="str">
        <f ca="1">IF(ISBLANK(OFFSET($AP$2,D65,0)),"",OFFSET($AV$2,D65,0)-OFFSET($BB$2,D65,0))</f>
        <v/>
      </c>
      <c r="G72" s="2532"/>
      <c r="H72" s="2529" t="str">
        <f ca="1">IF(ISBLANK(OFFSET($AP$2,H65,0)),"",OFFSET($AV$2,H65,0))</f>
        <v/>
      </c>
      <c r="I72" s="2530"/>
      <c r="J72" s="2531" t="str">
        <f ca="1">IF(ISBLANK(OFFSET($AP$2,H65,0)),"",OFFSET($AV$2,H65,0)-OFFSET($BB$2,H65,0))</f>
        <v/>
      </c>
      <c r="K72" s="2532"/>
      <c r="L72" s="2529" t="str">
        <f ca="1">IF(ISBLANK(OFFSET($AP$2,L65,0)),"",OFFSET($AV$2,L65,0))</f>
        <v/>
      </c>
      <c r="M72" s="2530"/>
      <c r="N72" s="2531" t="str">
        <f ca="1">IF(ISBLANK(OFFSET($AP$2,L65,0)),"",OFFSET($AV$2,L65,0)-OFFSET($BB$2,L65,0))</f>
        <v/>
      </c>
      <c r="O72" s="2532"/>
      <c r="P72" s="2529" t="str">
        <f ca="1">IF(ISBLANK(OFFSET($AP$2,P65,0)),"",OFFSET($AV$2,P65,0))</f>
        <v/>
      </c>
      <c r="Q72" s="2530"/>
      <c r="R72" s="2531" t="str">
        <f ca="1">IF(ISBLANK(OFFSET($AP$2,P65,0)),"",OFFSET($AV$2,P65,0)-OFFSET($BB$2,P65,0))</f>
        <v/>
      </c>
      <c r="S72" s="2532"/>
      <c r="T72" s="2529" t="str">
        <f ca="1">IF(ISBLANK(OFFSET($AP$2,T65,0)),"",OFFSET($AV$2,T65,0))</f>
        <v/>
      </c>
      <c r="U72" s="2530"/>
      <c r="V72" s="2531" t="str">
        <f ca="1">IF(ISBLANK(OFFSET($AP$2,T65,0)),"",OFFSET($AV$2,T65,0)-OFFSET($BB$2,T65,0))</f>
        <v/>
      </c>
      <c r="W72" s="2532"/>
      <c r="X72" s="2529" t="str">
        <f ca="1">IF(ISBLANK(OFFSET($AP$2,X65,0)),"",OFFSET($AV$2,X65,0))</f>
        <v/>
      </c>
      <c r="Y72" s="2530"/>
      <c r="Z72" s="2531" t="str">
        <f ca="1">IF(ISBLANK(OFFSET($AP$2,X65,0)),"",OFFSET($AV$2,X65,0)-OFFSET($BB$2,X65,0))</f>
        <v/>
      </c>
      <c r="AA72" s="2532"/>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33" t="str">
        <f ca="1">IF(ISBLANK(OFFSET($AP$2,D73,0)),"",CONCATENATE("Seq. ",OFFSET($AP$2,D73,0)))</f>
        <v/>
      </c>
      <c r="E74" s="2534"/>
      <c r="F74" s="2534"/>
      <c r="G74" s="2535"/>
      <c r="H74" s="2533" t="str">
        <f ca="1">IF(ISBLANK(OFFSET($AP$2,H73,0)),"",CONCATENATE("Seq. ",OFFSET($AP$2,H73,0)))</f>
        <v/>
      </c>
      <c r="I74" s="2534"/>
      <c r="J74" s="2534"/>
      <c r="K74" s="2535"/>
      <c r="L74" s="2533" t="str">
        <f ca="1">IF(ISBLANK(OFFSET($AP$2,L73,0)),"",CONCATENATE("Seq. ",OFFSET($AP$2,L73,0)))</f>
        <v/>
      </c>
      <c r="M74" s="2534"/>
      <c r="N74" s="2534"/>
      <c r="O74" s="2535"/>
      <c r="P74" s="2533" t="str">
        <f ca="1">IF(ISBLANK(OFFSET($AP$2,P73,0)),"",CONCATENATE("Seq. ",OFFSET($AP$2,P73,0)))</f>
        <v/>
      </c>
      <c r="Q74" s="2534"/>
      <c r="R74" s="2534"/>
      <c r="S74" s="2535"/>
      <c r="T74" s="2533" t="str">
        <f ca="1">IF(ISBLANK(OFFSET($AP$2,T73,0)),"",CONCATENATE("Seq. ",OFFSET($AP$2,T73,0)))</f>
        <v/>
      </c>
      <c r="U74" s="2534"/>
      <c r="V74" s="2534"/>
      <c r="W74" s="2535"/>
      <c r="X74" s="2533" t="str">
        <f ca="1">IF(ISBLANK(OFFSET($AP$2,X73,0)),"",CONCATENATE("Seq. ",OFFSET($AP$2,X73,0)))</f>
        <v/>
      </c>
      <c r="Y74" s="2534"/>
      <c r="Z74" s="2534"/>
      <c r="AA74" s="2535"/>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36" t="s">
        <v>440</v>
      </c>
      <c r="E75" s="2537"/>
      <c r="F75" s="2537" t="s">
        <v>441</v>
      </c>
      <c r="G75" s="2538"/>
      <c r="H75" s="2536" t="s">
        <v>440</v>
      </c>
      <c r="I75" s="2537"/>
      <c r="J75" s="2537" t="s">
        <v>441</v>
      </c>
      <c r="K75" s="2538"/>
      <c r="L75" s="2536" t="s">
        <v>440</v>
      </c>
      <c r="M75" s="2537"/>
      <c r="N75" s="2537" t="s">
        <v>441</v>
      </c>
      <c r="O75" s="2538"/>
      <c r="P75" s="2536" t="s">
        <v>440</v>
      </c>
      <c r="Q75" s="2537"/>
      <c r="R75" s="2537" t="s">
        <v>441</v>
      </c>
      <c r="S75" s="2538"/>
      <c r="T75" s="2536" t="s">
        <v>440</v>
      </c>
      <c r="U75" s="2537"/>
      <c r="V75" s="2537" t="s">
        <v>441</v>
      </c>
      <c r="W75" s="2538"/>
      <c r="X75" s="2536" t="s">
        <v>440</v>
      </c>
      <c r="Y75" s="2537"/>
      <c r="Z75" s="2537" t="s">
        <v>441</v>
      </c>
      <c r="AA75" s="2538"/>
      <c r="AB75" s="57"/>
      <c r="AP75" s="54"/>
      <c r="AQ75" s="54"/>
      <c r="AR75" s="54"/>
      <c r="AS75" s="54"/>
      <c r="AT75" s="54"/>
      <c r="AU75" s="54"/>
      <c r="AV75" s="76"/>
      <c r="AW75" s="77"/>
      <c r="AX75" s="54"/>
      <c r="AY75" s="54"/>
      <c r="AZ75" s="54"/>
      <c r="BA75" s="54"/>
      <c r="BB75" s="54"/>
    </row>
    <row r="76" spans="1:54" ht="12.95" hidden="1" customHeight="1" x14ac:dyDescent="0.2">
      <c r="A76" s="57"/>
      <c r="B76" s="2539" t="s">
        <v>73</v>
      </c>
      <c r="C76" s="2540"/>
      <c r="D76" s="2521" t="str">
        <f ca="1">IF(ISBLANK(OFFSET($AP$2,D73,0)),"",OFFSET($AQ$2,D73,0)+OFFSET($AU$2,D73,0))</f>
        <v/>
      </c>
      <c r="E76" s="2522"/>
      <c r="F76" s="2523" t="str">
        <f ca="1">IF(ISBLANK(OFFSET($AP$2,D73,0)),"",(OFFSET($AQ$2,D73,0)+OFFSET($AU$2,D73,0))-(OFFSET($AW$2,D73,0)+OFFSET($BA$2,D73,0)))</f>
        <v/>
      </c>
      <c r="G76" s="2524"/>
      <c r="H76" s="2521" t="str">
        <f ca="1">IF(ISBLANK(OFFSET($AP$2,H73,0)),"",OFFSET($AQ$2,H73,0)+OFFSET($AU$2,H73,0))</f>
        <v/>
      </c>
      <c r="I76" s="2522"/>
      <c r="J76" s="2523" t="str">
        <f ca="1">IF(ISBLANK(OFFSET($AP$2,H73,0)),"",(OFFSET($AQ$2,H73,0)+OFFSET($AU$2,H73,0))-(OFFSET($AW$2,H73,0)+OFFSET($BA$2,H73,0)))</f>
        <v/>
      </c>
      <c r="K76" s="2524"/>
      <c r="L76" s="2521" t="str">
        <f ca="1">IF(ISBLANK(OFFSET($AP$2,L73,0)),"",OFFSET($AQ$2,L73,0)+OFFSET($AU$2,L73,0))</f>
        <v/>
      </c>
      <c r="M76" s="2522"/>
      <c r="N76" s="2523" t="str">
        <f ca="1">IF(ISBLANK(OFFSET($AP$2,L73,0)),"",(OFFSET($AQ$2,L73,0)+OFFSET($AU$2,L73,0))-(OFFSET($AW$2,L73,0)+OFFSET($BA$2,L73,0)))</f>
        <v/>
      </c>
      <c r="O76" s="2524"/>
      <c r="P76" s="2521" t="str">
        <f ca="1">IF(ISBLANK(OFFSET($AP$2,P73,0)),"",OFFSET($AQ$2,P73,0)+OFFSET($AU$2,P73,0))</f>
        <v/>
      </c>
      <c r="Q76" s="2522"/>
      <c r="R76" s="2523" t="str">
        <f ca="1">IF(ISBLANK(OFFSET($AP$2,P73,0)),"",(OFFSET($AQ$2,P73,0)+OFFSET($AU$2,P73,0))-(OFFSET($AW$2,P73,0)+OFFSET($BA$2,P73,0)))</f>
        <v/>
      </c>
      <c r="S76" s="2524"/>
      <c r="T76" s="2521" t="str">
        <f ca="1">IF(ISBLANK(OFFSET($AP$2,T73,0)),"",OFFSET($AQ$2,T73,0)+OFFSET($AU$2,T73,0))</f>
        <v/>
      </c>
      <c r="U76" s="2522"/>
      <c r="V76" s="2523" t="str">
        <f ca="1">IF(ISBLANK(OFFSET($AP$2,T73,0)),"",(OFFSET($AQ$2,T73,0)+OFFSET($AU$2,T73,0))-(OFFSET($AW$2,T73,0)+OFFSET($BA$2,T73,0)))</f>
        <v/>
      </c>
      <c r="W76" s="2524"/>
      <c r="X76" s="2521" t="str">
        <f ca="1">IF(ISBLANK(OFFSET($AP$2,X73,0)),"",OFFSET($AQ$2,X73,0)+OFFSET($AU$2,X73,0))</f>
        <v/>
      </c>
      <c r="Y76" s="2522"/>
      <c r="Z76" s="2523" t="str">
        <f ca="1">IF(ISBLANK(OFFSET($AP$2,X73,0)),"",(OFFSET($AQ$2,X73,0)+OFFSET($AU$2,X73,0))-(OFFSET($AW$2,X73,0)+OFFSET($BA$2,X73,0)))</f>
        <v/>
      </c>
      <c r="AA76" s="2524"/>
      <c r="AB76" s="57"/>
      <c r="AP76" s="54"/>
      <c r="AQ76" s="54"/>
      <c r="AR76" s="54"/>
      <c r="AS76" s="54"/>
      <c r="AT76" s="54"/>
      <c r="AU76" s="54"/>
      <c r="AV76" s="76"/>
      <c r="AW76" s="77"/>
      <c r="AX76" s="54"/>
      <c r="AY76" s="54"/>
      <c r="AZ76" s="54"/>
      <c r="BA76" s="54"/>
      <c r="BB76" s="54"/>
    </row>
    <row r="77" spans="1:54" ht="12.95" hidden="1" customHeight="1" x14ac:dyDescent="0.2">
      <c r="A77" s="57"/>
      <c r="B77" s="2525" t="s">
        <v>437</v>
      </c>
      <c r="C77" s="2526"/>
      <c r="D77" s="2521" t="str">
        <f ca="1">IF(ISBLANK(OFFSET($AP$2,D73,0)),"",OFFSET($AR$2,D73,0))</f>
        <v/>
      </c>
      <c r="E77" s="2522"/>
      <c r="F77" s="2523" t="str">
        <f ca="1">IF(ISBLANK(OFFSET($AP$2,D73,0)),"",OFFSET($AR$2,D73,0)-OFFSET($AX$2,D73,0))</f>
        <v/>
      </c>
      <c r="G77" s="2524"/>
      <c r="H77" s="2521" t="str">
        <f ca="1">IF(ISBLANK(OFFSET($AP$2,H73,0)),"",OFFSET($AR$2,H73,0))</f>
        <v/>
      </c>
      <c r="I77" s="2522"/>
      <c r="J77" s="2523" t="str">
        <f ca="1">IF(ISBLANK(OFFSET($AP$2,H73,0)),"",OFFSET($AR$2,H73,0)-OFFSET($AX$2,H73,0))</f>
        <v/>
      </c>
      <c r="K77" s="2524"/>
      <c r="L77" s="2521" t="str">
        <f ca="1">IF(ISBLANK(OFFSET($AP$2,L73,0)),"",OFFSET($AR$2,L73,0))</f>
        <v/>
      </c>
      <c r="M77" s="2522"/>
      <c r="N77" s="2523" t="str">
        <f ca="1">IF(ISBLANK(OFFSET($AP$2,L73,0)),"",OFFSET($AR$2,L73,0)-OFFSET($AX$2,L73,0))</f>
        <v/>
      </c>
      <c r="O77" s="2524"/>
      <c r="P77" s="2521" t="str">
        <f ca="1">IF(ISBLANK(OFFSET($AP$2,P73,0)),"",OFFSET($AR$2,P73,0))</f>
        <v/>
      </c>
      <c r="Q77" s="2522"/>
      <c r="R77" s="2523" t="str">
        <f ca="1">IF(ISBLANK(OFFSET($AP$2,P73,0)),"",OFFSET($AR$2,P73,0)-OFFSET($AX$2,P73,0))</f>
        <v/>
      </c>
      <c r="S77" s="2524"/>
      <c r="T77" s="2521" t="str">
        <f ca="1">IF(ISBLANK(OFFSET($AP$2,T73,0)),"",OFFSET($AR$2,T73,0))</f>
        <v/>
      </c>
      <c r="U77" s="2522"/>
      <c r="V77" s="2523" t="str">
        <f ca="1">IF(ISBLANK(OFFSET($AP$2,T73,0)),"",OFFSET($AR$2,T73,0)-OFFSET($AX$2,T73,0))</f>
        <v/>
      </c>
      <c r="W77" s="2524"/>
      <c r="X77" s="2521" t="str">
        <f ca="1">IF(ISBLANK(OFFSET($AP$2,X73,0)),"",OFFSET($AR$2,X73,0))</f>
        <v/>
      </c>
      <c r="Y77" s="2522"/>
      <c r="Z77" s="2523" t="str">
        <f ca="1">IF(ISBLANK(OFFSET($AP$2,X73,0)),"",OFFSET($AR$2,X73,0)-OFFSET($AX$2,X73,0))</f>
        <v/>
      </c>
      <c r="AA77" s="2524"/>
      <c r="AB77" s="57"/>
      <c r="AP77" s="54"/>
      <c r="AQ77" s="54"/>
      <c r="AR77" s="54"/>
      <c r="AS77" s="54"/>
      <c r="AT77" s="54"/>
      <c r="AU77" s="54"/>
      <c r="AV77" s="76"/>
      <c r="AW77" s="77"/>
      <c r="AX77" s="54"/>
      <c r="AY77" s="54"/>
      <c r="AZ77" s="54"/>
      <c r="BA77" s="54"/>
      <c r="BB77" s="54"/>
    </row>
    <row r="78" spans="1:54" ht="12.95" hidden="1" customHeight="1" x14ac:dyDescent="0.2">
      <c r="A78" s="57"/>
      <c r="B78" s="2525" t="s">
        <v>438</v>
      </c>
      <c r="C78" s="2526"/>
      <c r="D78" s="2521" t="str">
        <f ca="1">IF(ISBLANK(OFFSET($AP$2,D73,0)),"",OFFSET($AS$2,D73,0))</f>
        <v/>
      </c>
      <c r="E78" s="2522"/>
      <c r="F78" s="2523" t="str">
        <f ca="1">IF(ISBLANK(OFFSET($AP$2,D73,0)),"",OFFSET($AS$2,D73,0)-OFFSET($AY$2,D73,0))</f>
        <v/>
      </c>
      <c r="G78" s="2524"/>
      <c r="H78" s="2521" t="str">
        <f ca="1">IF(ISBLANK(OFFSET($AP$2,H73,0)),"",OFFSET($AS$2,H73,0))</f>
        <v/>
      </c>
      <c r="I78" s="2522"/>
      <c r="J78" s="2523" t="str">
        <f ca="1">IF(ISBLANK(OFFSET($AP$2,H73,0)),"",OFFSET($AS$2,H73,0)-OFFSET($AY$2,H73,0))</f>
        <v/>
      </c>
      <c r="K78" s="2524"/>
      <c r="L78" s="2521" t="str">
        <f ca="1">IF(ISBLANK(OFFSET($AP$2,L73,0)),"",OFFSET($AS$2,L73,0))</f>
        <v/>
      </c>
      <c r="M78" s="2522"/>
      <c r="N78" s="2523" t="str">
        <f ca="1">IF(ISBLANK(OFFSET($AP$2,L73,0)),"",OFFSET($AS$2,L73,0)-OFFSET($AY$2,L73,0))</f>
        <v/>
      </c>
      <c r="O78" s="2524"/>
      <c r="P78" s="2521" t="str">
        <f ca="1">IF(ISBLANK(OFFSET($AP$2,P73,0)),"",OFFSET($AS$2,P73,0))</f>
        <v/>
      </c>
      <c r="Q78" s="2522"/>
      <c r="R78" s="2523" t="str">
        <f ca="1">IF(ISBLANK(OFFSET($AP$2,P73,0)),"",OFFSET($AS$2,P73,0)-OFFSET($AY$2,P73,0))</f>
        <v/>
      </c>
      <c r="S78" s="2524"/>
      <c r="T78" s="2521" t="str">
        <f ca="1">IF(ISBLANK(OFFSET($AP$2,T73,0)),"",OFFSET($AS$2,T73,0))</f>
        <v/>
      </c>
      <c r="U78" s="2522"/>
      <c r="V78" s="2523" t="str">
        <f ca="1">IF(ISBLANK(OFFSET($AP$2,T73,0)),"",OFFSET($AS$2,T73,0)-OFFSET($AY$2,T73,0))</f>
        <v/>
      </c>
      <c r="W78" s="2524"/>
      <c r="X78" s="2521" t="str">
        <f ca="1">IF(ISBLANK(OFFSET($AP$2,X73,0)),"",OFFSET($AS$2,X73,0))</f>
        <v/>
      </c>
      <c r="Y78" s="2522"/>
      <c r="Z78" s="2523" t="str">
        <f ca="1">IF(ISBLANK(OFFSET($AP$2,X73,0)),"",OFFSET($AS$2,X73,0)-OFFSET($AY$2,X73,0))</f>
        <v/>
      </c>
      <c r="AA78" s="2524"/>
      <c r="AB78" s="57"/>
      <c r="AP78" s="54"/>
      <c r="AQ78" s="54"/>
      <c r="AR78" s="54"/>
      <c r="AS78" s="54"/>
      <c r="AT78" s="54"/>
      <c r="AU78" s="54"/>
      <c r="AV78" s="76"/>
      <c r="AW78" s="77"/>
      <c r="AX78" s="54"/>
      <c r="AY78" s="54"/>
      <c r="AZ78" s="54"/>
      <c r="BA78" s="54"/>
      <c r="BB78" s="54"/>
    </row>
    <row r="79" spans="1:54" ht="12.95" hidden="1" customHeight="1" x14ac:dyDescent="0.2">
      <c r="A79" s="57"/>
      <c r="B79" s="2525" t="s">
        <v>75</v>
      </c>
      <c r="C79" s="2526"/>
      <c r="D79" s="2521" t="str">
        <f ca="1">IF(ISBLANK(OFFSET($AP$2,D73,0)),"",OFFSET($AT$2,D73,0))</f>
        <v/>
      </c>
      <c r="E79" s="2522"/>
      <c r="F79" s="2523" t="str">
        <f ca="1">IF(ISBLANK(OFFSET($AP$2,D73,0)),"",OFFSET($AT$2,D73,0)-OFFSET($AZ$2,D73,0))</f>
        <v/>
      </c>
      <c r="G79" s="2524"/>
      <c r="H79" s="2521" t="str">
        <f ca="1">IF(ISBLANK(OFFSET($AP$2,H73,0)),"",OFFSET($AT$2,H73,0))</f>
        <v/>
      </c>
      <c r="I79" s="2522"/>
      <c r="J79" s="2523" t="str">
        <f ca="1">IF(ISBLANK(OFFSET($AP$2,H73,0)),"",OFFSET($AT$2,H73,0)-OFFSET($AZ$2,H73,0))</f>
        <v/>
      </c>
      <c r="K79" s="2524"/>
      <c r="L79" s="2521" t="str">
        <f ca="1">IF(ISBLANK(OFFSET($AP$2,L73,0)),"",OFFSET($AT$2,L73,0))</f>
        <v/>
      </c>
      <c r="M79" s="2522"/>
      <c r="N79" s="2523" t="str">
        <f ca="1">IF(ISBLANK(OFFSET($AP$2,L73,0)),"",OFFSET($AT$2,L73,0)-OFFSET($AZ$2,L73,0))</f>
        <v/>
      </c>
      <c r="O79" s="2524"/>
      <c r="P79" s="2521" t="str">
        <f ca="1">IF(ISBLANK(OFFSET($AP$2,P73,0)),"",OFFSET($AT$2,P73,0))</f>
        <v/>
      </c>
      <c r="Q79" s="2522"/>
      <c r="R79" s="2523" t="str">
        <f ca="1">IF(ISBLANK(OFFSET($AP$2,P73,0)),"",OFFSET($AT$2,P73,0)-OFFSET($AZ$2,P73,0))</f>
        <v/>
      </c>
      <c r="S79" s="2524"/>
      <c r="T79" s="2521" t="str">
        <f ca="1">IF(ISBLANK(OFFSET($AP$2,T73,0)),"",OFFSET($AT$2,T73,0))</f>
        <v/>
      </c>
      <c r="U79" s="2522"/>
      <c r="V79" s="2523" t="str">
        <f ca="1">IF(ISBLANK(OFFSET($AP$2,T73,0)),"",OFFSET($AT$2,T73,0)-OFFSET($AZ$2,T73,0))</f>
        <v/>
      </c>
      <c r="W79" s="2524"/>
      <c r="X79" s="2521" t="str">
        <f ca="1">IF(ISBLANK(OFFSET($AP$2,X73,0)),"",OFFSET($AT$2,X73,0))</f>
        <v/>
      </c>
      <c r="Y79" s="2522"/>
      <c r="Z79" s="2523" t="str">
        <f ca="1">IF(ISBLANK(OFFSET($AP$2,X73,0)),"",OFFSET($AT$2,X73,0)-OFFSET($AZ$2,X73,0))</f>
        <v/>
      </c>
      <c r="AA79" s="2524"/>
      <c r="AB79" s="57"/>
      <c r="AP79" s="54"/>
      <c r="AQ79" s="54"/>
      <c r="AR79" s="54"/>
      <c r="AS79" s="54"/>
      <c r="AT79" s="54"/>
      <c r="AU79" s="54"/>
      <c r="AV79" s="76"/>
      <c r="AW79" s="77"/>
      <c r="AX79" s="54"/>
      <c r="AY79" s="54"/>
      <c r="AZ79" s="54"/>
      <c r="BA79" s="54"/>
      <c r="BB79" s="54"/>
    </row>
    <row r="80" spans="1:54" ht="12.95" hidden="1" customHeight="1" thickBot="1" x14ac:dyDescent="0.25">
      <c r="A80" s="57"/>
      <c r="B80" s="2527" t="s">
        <v>439</v>
      </c>
      <c r="C80" s="2528"/>
      <c r="D80" s="2529" t="str">
        <f ca="1">IF(ISBLANK(OFFSET($AP$2,D73,0)),"",OFFSET($AV$2,D73,0))</f>
        <v/>
      </c>
      <c r="E80" s="2530"/>
      <c r="F80" s="2531" t="str">
        <f ca="1">IF(ISBLANK(OFFSET($AP$2,D73,0)),"",OFFSET($AV$2,D73,0)-OFFSET($BB$2,D73,0))</f>
        <v/>
      </c>
      <c r="G80" s="2532"/>
      <c r="H80" s="2529" t="str">
        <f ca="1">IF(ISBLANK(OFFSET($AP$2,H73,0)),"",OFFSET($AV$2,H73,0))</f>
        <v/>
      </c>
      <c r="I80" s="2530"/>
      <c r="J80" s="2531" t="str">
        <f ca="1">IF(ISBLANK(OFFSET($AP$2,H73,0)),"",OFFSET($AV$2,H73,0)-OFFSET($BB$2,H73,0))</f>
        <v/>
      </c>
      <c r="K80" s="2532"/>
      <c r="L80" s="2529" t="str">
        <f ca="1">IF(ISBLANK(OFFSET($AP$2,L73,0)),"",OFFSET($AV$2,L73,0))</f>
        <v/>
      </c>
      <c r="M80" s="2530"/>
      <c r="N80" s="2531" t="str">
        <f ca="1">IF(ISBLANK(OFFSET($AP$2,L73,0)),"",OFFSET($AV$2,L73,0)-OFFSET($BB$2,L73,0))</f>
        <v/>
      </c>
      <c r="O80" s="2532"/>
      <c r="P80" s="2529" t="str">
        <f ca="1">IF(ISBLANK(OFFSET($AP$2,P73,0)),"",OFFSET($AV$2,P73,0))</f>
        <v/>
      </c>
      <c r="Q80" s="2530"/>
      <c r="R80" s="2531" t="str">
        <f ca="1">IF(ISBLANK(OFFSET($AP$2,P73,0)),"",OFFSET($AV$2,P73,0)-OFFSET($BB$2,P73,0))</f>
        <v/>
      </c>
      <c r="S80" s="2532"/>
      <c r="T80" s="2529" t="str">
        <f ca="1">IF(ISBLANK(OFFSET($AP$2,T73,0)),"",OFFSET($AV$2,T73,0))</f>
        <v/>
      </c>
      <c r="U80" s="2530"/>
      <c r="V80" s="2531" t="str">
        <f ca="1">IF(ISBLANK(OFFSET($AP$2,T73,0)),"",OFFSET($AV$2,T73,0)-OFFSET($BB$2,T73,0))</f>
        <v/>
      </c>
      <c r="W80" s="2532"/>
      <c r="X80" s="2529" t="str">
        <f ca="1">IF(ISBLANK(OFFSET($AP$2,X73,0)),"",OFFSET($AV$2,X73,0))</f>
        <v/>
      </c>
      <c r="Y80" s="2530"/>
      <c r="Z80" s="2531" t="str">
        <f ca="1">IF(ISBLANK(OFFSET($AP$2,X73,0)),"",OFFSET($AV$2,X73,0)-OFFSET($BB$2,X73,0))</f>
        <v/>
      </c>
      <c r="AA80" s="2532"/>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33" t="str">
        <f ca="1">IF(ISBLANK(OFFSET($AP$2,D81,0)),"",CONCATENATE("Seq. ",OFFSET($AP$2,D81,0)))</f>
        <v/>
      </c>
      <c r="E82" s="2534"/>
      <c r="F82" s="2534"/>
      <c r="G82" s="2535"/>
      <c r="H82" s="2533" t="str">
        <f ca="1">IF(ISBLANK(OFFSET($AP$2,H81,0)),"",CONCATENATE("Seq. ",OFFSET($AP$2,H81,0)))</f>
        <v/>
      </c>
      <c r="I82" s="2534"/>
      <c r="J82" s="2534"/>
      <c r="K82" s="2535"/>
      <c r="L82" s="2533" t="str">
        <f ca="1">IF(ISBLANK(OFFSET($AP$2,L81,0)),"",CONCATENATE("Seq. ",OFFSET($AP$2,L81,0)))</f>
        <v/>
      </c>
      <c r="M82" s="2534"/>
      <c r="N82" s="2534"/>
      <c r="O82" s="2535"/>
      <c r="P82" s="2533" t="str">
        <f ca="1">IF(ISBLANK(OFFSET($AP$2,P81,0)),"",CONCATENATE("Seq. ",OFFSET($AP$2,P81,0)))</f>
        <v/>
      </c>
      <c r="Q82" s="2534"/>
      <c r="R82" s="2534"/>
      <c r="S82" s="2535"/>
      <c r="T82" s="2533" t="str">
        <f ca="1">IF(ISBLANK(OFFSET($AP$2,T81,0)),"",CONCATENATE("Seq. ",OFFSET($AP$2,T81,0)))</f>
        <v/>
      </c>
      <c r="U82" s="2534"/>
      <c r="V82" s="2534"/>
      <c r="W82" s="2535"/>
      <c r="X82" s="2533" t="str">
        <f ca="1">IF(ISBLANK(OFFSET($AP$2,X81,0)),"",CONCATENATE("Seq. ",OFFSET($AP$2,X81,0)))</f>
        <v/>
      </c>
      <c r="Y82" s="2534"/>
      <c r="Z82" s="2534"/>
      <c r="AA82" s="2535"/>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36" t="s">
        <v>440</v>
      </c>
      <c r="E83" s="2537"/>
      <c r="F83" s="2537" t="s">
        <v>441</v>
      </c>
      <c r="G83" s="2538"/>
      <c r="H83" s="2536" t="s">
        <v>440</v>
      </c>
      <c r="I83" s="2537"/>
      <c r="J83" s="2537" t="s">
        <v>441</v>
      </c>
      <c r="K83" s="2538"/>
      <c r="L83" s="2536" t="s">
        <v>440</v>
      </c>
      <c r="M83" s="2537"/>
      <c r="N83" s="2537" t="s">
        <v>441</v>
      </c>
      <c r="O83" s="2538"/>
      <c r="P83" s="2536" t="s">
        <v>440</v>
      </c>
      <c r="Q83" s="2537"/>
      <c r="R83" s="2537" t="s">
        <v>441</v>
      </c>
      <c r="S83" s="2538"/>
      <c r="T83" s="2536" t="s">
        <v>440</v>
      </c>
      <c r="U83" s="2537"/>
      <c r="V83" s="2537" t="s">
        <v>441</v>
      </c>
      <c r="W83" s="2538"/>
      <c r="X83" s="2536" t="s">
        <v>440</v>
      </c>
      <c r="Y83" s="2537"/>
      <c r="Z83" s="2537" t="s">
        <v>441</v>
      </c>
      <c r="AA83" s="2538"/>
      <c r="AB83" s="57"/>
      <c r="AP83" s="54"/>
      <c r="AQ83" s="54"/>
      <c r="AR83" s="54"/>
      <c r="AS83" s="54"/>
      <c r="AT83" s="54"/>
      <c r="AU83" s="54"/>
      <c r="AV83" s="76"/>
      <c r="AW83" s="77"/>
      <c r="AX83" s="54"/>
      <c r="AY83" s="54"/>
      <c r="AZ83" s="54"/>
      <c r="BA83" s="54"/>
      <c r="BB83" s="54"/>
    </row>
    <row r="84" spans="1:54" ht="12.95" hidden="1" customHeight="1" x14ac:dyDescent="0.2">
      <c r="A84" s="57"/>
      <c r="B84" s="2539" t="s">
        <v>73</v>
      </c>
      <c r="C84" s="2540"/>
      <c r="D84" s="2521" t="str">
        <f ca="1">IF(ISBLANK(OFFSET($AP$2,D81,0)),"",OFFSET($AQ$2,D81,0)+OFFSET($AU$2,D81,0))</f>
        <v/>
      </c>
      <c r="E84" s="2522"/>
      <c r="F84" s="2523" t="str">
        <f ca="1">IF(ISBLANK(OFFSET($AP$2,D81,0)),"",(OFFSET($AQ$2,D81,0)+OFFSET($AU$2,D81,0))-(OFFSET($AW$2,D81,0)+OFFSET($BA$2,D81,0)))</f>
        <v/>
      </c>
      <c r="G84" s="2524"/>
      <c r="H84" s="2521" t="str">
        <f ca="1">IF(ISBLANK(OFFSET($AP$2,H81,0)),"",OFFSET($AQ$2,H81,0)+OFFSET($AU$2,H81,0))</f>
        <v/>
      </c>
      <c r="I84" s="2522"/>
      <c r="J84" s="2523" t="str">
        <f ca="1">IF(ISBLANK(OFFSET($AP$2,H81,0)),"",(OFFSET($AQ$2,H81,0)+OFFSET($AU$2,H81,0))-(OFFSET($AW$2,H81,0)+OFFSET($BA$2,H81,0)))</f>
        <v/>
      </c>
      <c r="K84" s="2524"/>
      <c r="L84" s="2521" t="str">
        <f ca="1">IF(ISBLANK(OFFSET($AP$2,L81,0)),"",OFFSET($AQ$2,L81,0)+OFFSET($AU$2,L81,0))</f>
        <v/>
      </c>
      <c r="M84" s="2522"/>
      <c r="N84" s="2523" t="str">
        <f ca="1">IF(ISBLANK(OFFSET($AP$2,L81,0)),"",(OFFSET($AQ$2,L81,0)+OFFSET($AU$2,L81,0))-(OFFSET($AW$2,L81,0)+OFFSET($BA$2,L81,0)))</f>
        <v/>
      </c>
      <c r="O84" s="2524"/>
      <c r="P84" s="2521" t="str">
        <f ca="1">IF(ISBLANK(OFFSET($AP$2,P81,0)),"",OFFSET($AQ$2,P81,0)+OFFSET($AU$2,P81,0))</f>
        <v/>
      </c>
      <c r="Q84" s="2522"/>
      <c r="R84" s="2523" t="str">
        <f ca="1">IF(ISBLANK(OFFSET($AP$2,P81,0)),"",(OFFSET($AQ$2,P81,0)+OFFSET($AU$2,P81,0))-(OFFSET($AW$2,P81,0)+OFFSET($BA$2,P81,0)))</f>
        <v/>
      </c>
      <c r="S84" s="2524"/>
      <c r="T84" s="2521" t="str">
        <f ca="1">IF(ISBLANK(OFFSET($AP$2,T81,0)),"",OFFSET($AQ$2,T81,0)+OFFSET($AU$2,T81,0))</f>
        <v/>
      </c>
      <c r="U84" s="2522"/>
      <c r="V84" s="2523" t="str">
        <f ca="1">IF(ISBLANK(OFFSET($AP$2,T81,0)),"",(OFFSET($AQ$2,T81,0)+OFFSET($AU$2,T81,0))-(OFFSET($AW$2,T81,0)+OFFSET($BA$2,T81,0)))</f>
        <v/>
      </c>
      <c r="W84" s="2524"/>
      <c r="X84" s="2521" t="str">
        <f ca="1">IF(ISBLANK(OFFSET($AP$2,X81,0)),"",OFFSET($AQ$2,X81,0)+OFFSET($AU$2,X81,0))</f>
        <v/>
      </c>
      <c r="Y84" s="2522"/>
      <c r="Z84" s="2523" t="str">
        <f ca="1">IF(ISBLANK(OFFSET($AP$2,X81,0)),"",(OFFSET($AQ$2,X81,0)+OFFSET($AU$2,X81,0))-(OFFSET($AW$2,X81,0)+OFFSET($BA$2,X81,0)))</f>
        <v/>
      </c>
      <c r="AA84" s="2524"/>
      <c r="AB84" s="57"/>
      <c r="AP84" s="54"/>
      <c r="AQ84" s="54"/>
      <c r="AR84" s="54"/>
      <c r="AS84" s="54"/>
      <c r="AT84" s="54"/>
      <c r="AU84" s="54"/>
      <c r="AV84" s="76"/>
      <c r="AW84" s="77"/>
      <c r="AX84" s="54"/>
      <c r="AY84" s="54"/>
      <c r="AZ84" s="54"/>
      <c r="BA84" s="54"/>
      <c r="BB84" s="54"/>
    </row>
    <row r="85" spans="1:54" ht="12.95" hidden="1" customHeight="1" x14ac:dyDescent="0.2">
      <c r="A85" s="57"/>
      <c r="B85" s="2525" t="s">
        <v>437</v>
      </c>
      <c r="C85" s="2526"/>
      <c r="D85" s="2521" t="str">
        <f ca="1">IF(ISBLANK(OFFSET($AP$2,D81,0)),"",OFFSET($AR$2,D81,0))</f>
        <v/>
      </c>
      <c r="E85" s="2522"/>
      <c r="F85" s="2523" t="str">
        <f ca="1">IF(ISBLANK(OFFSET($AP$2,D81,0)),"",OFFSET($AR$2,D81,0)-OFFSET($AX$2,D81,0))</f>
        <v/>
      </c>
      <c r="G85" s="2524"/>
      <c r="H85" s="2521" t="str">
        <f ca="1">IF(ISBLANK(OFFSET($AP$2,H81,0)),"",OFFSET($AR$2,H81,0))</f>
        <v/>
      </c>
      <c r="I85" s="2522"/>
      <c r="J85" s="2523" t="str">
        <f ca="1">IF(ISBLANK(OFFSET($AP$2,H81,0)),"",OFFSET($AR$2,H81,0)-OFFSET($AX$2,H81,0))</f>
        <v/>
      </c>
      <c r="K85" s="2524"/>
      <c r="L85" s="2521" t="str">
        <f ca="1">IF(ISBLANK(OFFSET($AP$2,L81,0)),"",OFFSET($AR$2,L81,0))</f>
        <v/>
      </c>
      <c r="M85" s="2522"/>
      <c r="N85" s="2523" t="str">
        <f ca="1">IF(ISBLANK(OFFSET($AP$2,L81,0)),"",OFFSET($AR$2,L81,0)-OFFSET($AX$2,L81,0))</f>
        <v/>
      </c>
      <c r="O85" s="2524"/>
      <c r="P85" s="2521" t="str">
        <f ca="1">IF(ISBLANK(OFFSET($AP$2,P81,0)),"",OFFSET($AR$2,P81,0))</f>
        <v/>
      </c>
      <c r="Q85" s="2522"/>
      <c r="R85" s="2523" t="str">
        <f ca="1">IF(ISBLANK(OFFSET($AP$2,P81,0)),"",OFFSET($AR$2,P81,0)-OFFSET($AX$2,P81,0))</f>
        <v/>
      </c>
      <c r="S85" s="2524"/>
      <c r="T85" s="2521" t="str">
        <f ca="1">IF(ISBLANK(OFFSET($AP$2,T81,0)),"",OFFSET($AR$2,T81,0))</f>
        <v/>
      </c>
      <c r="U85" s="2522"/>
      <c r="V85" s="2523" t="str">
        <f ca="1">IF(ISBLANK(OFFSET($AP$2,T81,0)),"",OFFSET($AR$2,T81,0)-OFFSET($AX$2,T81,0))</f>
        <v/>
      </c>
      <c r="W85" s="2524"/>
      <c r="X85" s="2521" t="str">
        <f ca="1">IF(ISBLANK(OFFSET($AP$2,X81,0)),"",OFFSET($AR$2,X81,0))</f>
        <v/>
      </c>
      <c r="Y85" s="2522"/>
      <c r="Z85" s="2523" t="str">
        <f ca="1">IF(ISBLANK(OFFSET($AP$2,X81,0)),"",OFFSET($AR$2,X81,0)-OFFSET($AX$2,X81,0))</f>
        <v/>
      </c>
      <c r="AA85" s="2524"/>
      <c r="AB85" s="57"/>
      <c r="AP85" s="54"/>
      <c r="AQ85" s="54"/>
      <c r="AR85" s="54"/>
      <c r="AS85" s="54"/>
      <c r="AT85" s="54"/>
      <c r="AU85" s="54"/>
      <c r="AV85" s="76"/>
      <c r="AW85" s="77"/>
      <c r="AX85" s="54"/>
      <c r="AY85" s="54"/>
      <c r="AZ85" s="54"/>
      <c r="BA85" s="54"/>
      <c r="BB85" s="54"/>
    </row>
    <row r="86" spans="1:54" ht="12.95" hidden="1" customHeight="1" x14ac:dyDescent="0.2">
      <c r="A86" s="57"/>
      <c r="B86" s="2525" t="s">
        <v>438</v>
      </c>
      <c r="C86" s="2526"/>
      <c r="D86" s="2521" t="str">
        <f ca="1">IF(ISBLANK(OFFSET($AP$2,D81,0)),"",OFFSET($AS$2,D81,0))</f>
        <v/>
      </c>
      <c r="E86" s="2522"/>
      <c r="F86" s="2523" t="str">
        <f ca="1">IF(ISBLANK(OFFSET($AP$2,D81,0)),"",OFFSET($AS$2,D81,0)-OFFSET($AY$2,D81,0))</f>
        <v/>
      </c>
      <c r="G86" s="2524"/>
      <c r="H86" s="2521" t="str">
        <f ca="1">IF(ISBLANK(OFFSET($AP$2,H81,0)),"",OFFSET($AS$2,H81,0))</f>
        <v/>
      </c>
      <c r="I86" s="2522"/>
      <c r="J86" s="2523" t="str">
        <f ca="1">IF(ISBLANK(OFFSET($AP$2,H81,0)),"",OFFSET($AS$2,H81,0)-OFFSET($AY$2,H81,0))</f>
        <v/>
      </c>
      <c r="K86" s="2524"/>
      <c r="L86" s="2521" t="str">
        <f ca="1">IF(ISBLANK(OFFSET($AP$2,L81,0)),"",OFFSET($AS$2,L81,0))</f>
        <v/>
      </c>
      <c r="M86" s="2522"/>
      <c r="N86" s="2523" t="str">
        <f ca="1">IF(ISBLANK(OFFSET($AP$2,L81,0)),"",OFFSET($AS$2,L81,0)-OFFSET($AY$2,L81,0))</f>
        <v/>
      </c>
      <c r="O86" s="2524"/>
      <c r="P86" s="2521" t="str">
        <f ca="1">IF(ISBLANK(OFFSET($AP$2,P81,0)),"",OFFSET($AS$2,P81,0))</f>
        <v/>
      </c>
      <c r="Q86" s="2522"/>
      <c r="R86" s="2523" t="str">
        <f ca="1">IF(ISBLANK(OFFSET($AP$2,P81,0)),"",OFFSET($AS$2,P81,0)-OFFSET($AY$2,P81,0))</f>
        <v/>
      </c>
      <c r="S86" s="2524"/>
      <c r="T86" s="2521" t="str">
        <f ca="1">IF(ISBLANK(OFFSET($AP$2,T81,0)),"",OFFSET($AS$2,T81,0))</f>
        <v/>
      </c>
      <c r="U86" s="2522"/>
      <c r="V86" s="2523" t="str">
        <f ca="1">IF(ISBLANK(OFFSET($AP$2,T81,0)),"",OFFSET($AS$2,T81,0)-OFFSET($AY$2,T81,0))</f>
        <v/>
      </c>
      <c r="W86" s="2524"/>
      <c r="X86" s="2521" t="str">
        <f ca="1">IF(ISBLANK(OFFSET($AP$2,X81,0)),"",OFFSET($AS$2,X81,0))</f>
        <v/>
      </c>
      <c r="Y86" s="2522"/>
      <c r="Z86" s="2523" t="str">
        <f ca="1">IF(ISBLANK(OFFSET($AP$2,X81,0)),"",OFFSET($AS$2,X81,0)-OFFSET($AY$2,X81,0))</f>
        <v/>
      </c>
      <c r="AA86" s="2524"/>
      <c r="AB86" s="57"/>
      <c r="AP86" s="54"/>
      <c r="AQ86" s="54"/>
      <c r="AR86" s="54"/>
      <c r="AS86" s="54"/>
      <c r="AT86" s="54"/>
      <c r="AU86" s="54"/>
      <c r="AV86" s="76"/>
      <c r="AW86" s="77"/>
      <c r="AX86" s="54"/>
      <c r="AY86" s="54"/>
      <c r="AZ86" s="54"/>
      <c r="BA86" s="54"/>
      <c r="BB86" s="54"/>
    </row>
    <row r="87" spans="1:54" ht="12.95" hidden="1" customHeight="1" x14ac:dyDescent="0.2">
      <c r="A87" s="57"/>
      <c r="B87" s="2525" t="s">
        <v>75</v>
      </c>
      <c r="C87" s="2526"/>
      <c r="D87" s="2521" t="str">
        <f ca="1">IF(ISBLANK(OFFSET($AP$2,D81,0)),"",OFFSET($AT$2,D81,0))</f>
        <v/>
      </c>
      <c r="E87" s="2522"/>
      <c r="F87" s="2523" t="str">
        <f ca="1">IF(ISBLANK(OFFSET($AP$2,D81,0)),"",OFFSET($AT$2,D81,0)-OFFSET($AZ$2,D81,0))</f>
        <v/>
      </c>
      <c r="G87" s="2524"/>
      <c r="H87" s="2521" t="str">
        <f ca="1">IF(ISBLANK(OFFSET($AP$2,H81,0)),"",OFFSET($AT$2,H81,0))</f>
        <v/>
      </c>
      <c r="I87" s="2522"/>
      <c r="J87" s="2523" t="str">
        <f ca="1">IF(ISBLANK(OFFSET($AP$2,H81,0)),"",OFFSET($AT$2,H81,0)-OFFSET($AZ$2,H81,0))</f>
        <v/>
      </c>
      <c r="K87" s="2524"/>
      <c r="L87" s="2521" t="str">
        <f ca="1">IF(ISBLANK(OFFSET($AP$2,L81,0)),"",OFFSET($AT$2,L81,0))</f>
        <v/>
      </c>
      <c r="M87" s="2522"/>
      <c r="N87" s="2523" t="str">
        <f ca="1">IF(ISBLANK(OFFSET($AP$2,L81,0)),"",OFFSET($AT$2,L81,0)-OFFSET($AZ$2,L81,0))</f>
        <v/>
      </c>
      <c r="O87" s="2524"/>
      <c r="P87" s="2521" t="str">
        <f ca="1">IF(ISBLANK(OFFSET($AP$2,P81,0)),"",OFFSET($AT$2,P81,0))</f>
        <v/>
      </c>
      <c r="Q87" s="2522"/>
      <c r="R87" s="2523" t="str">
        <f ca="1">IF(ISBLANK(OFFSET($AP$2,P81,0)),"",OFFSET($AT$2,P81,0)-OFFSET($AZ$2,P81,0))</f>
        <v/>
      </c>
      <c r="S87" s="2524"/>
      <c r="T87" s="2521" t="str">
        <f ca="1">IF(ISBLANK(OFFSET($AP$2,T81,0)),"",OFFSET($AT$2,T81,0))</f>
        <v/>
      </c>
      <c r="U87" s="2522"/>
      <c r="V87" s="2523" t="str">
        <f ca="1">IF(ISBLANK(OFFSET($AP$2,T81,0)),"",OFFSET($AT$2,T81,0)-OFFSET($AZ$2,T81,0))</f>
        <v/>
      </c>
      <c r="W87" s="2524"/>
      <c r="X87" s="2521" t="str">
        <f ca="1">IF(ISBLANK(OFFSET($AP$2,X81,0)),"",OFFSET($AT$2,X81,0))</f>
        <v/>
      </c>
      <c r="Y87" s="2522"/>
      <c r="Z87" s="2523" t="str">
        <f ca="1">IF(ISBLANK(OFFSET($AP$2,X81,0)),"",OFFSET($AT$2,X81,0)-OFFSET($AZ$2,X81,0))</f>
        <v/>
      </c>
      <c r="AA87" s="2524"/>
      <c r="AB87" s="57"/>
      <c r="AP87" s="54"/>
      <c r="AQ87" s="54"/>
      <c r="AR87" s="54"/>
      <c r="AS87" s="54"/>
      <c r="AT87" s="54"/>
      <c r="AU87" s="54"/>
      <c r="AV87" s="76"/>
      <c r="AW87" s="77"/>
      <c r="AX87" s="54"/>
      <c r="AY87" s="54"/>
      <c r="AZ87" s="54"/>
      <c r="BA87" s="54"/>
      <c r="BB87" s="54"/>
    </row>
    <row r="88" spans="1:54" ht="12.95" hidden="1" customHeight="1" thickBot="1" x14ac:dyDescent="0.25">
      <c r="A88" s="57"/>
      <c r="B88" s="2527" t="s">
        <v>439</v>
      </c>
      <c r="C88" s="2528"/>
      <c r="D88" s="2529" t="str">
        <f ca="1">IF(ISBLANK(OFFSET($AP$2,D81,0)),"",OFFSET($AV$2,D81,0))</f>
        <v/>
      </c>
      <c r="E88" s="2530"/>
      <c r="F88" s="2531" t="str">
        <f ca="1">IF(ISBLANK(OFFSET($AP$2,D81,0)),"",OFFSET($AV$2,D81,0)-OFFSET($BB$2,D81,0))</f>
        <v/>
      </c>
      <c r="G88" s="2532"/>
      <c r="H88" s="2529" t="str">
        <f ca="1">IF(ISBLANK(OFFSET($AP$2,H81,0)),"",OFFSET($AV$2,H81,0))</f>
        <v/>
      </c>
      <c r="I88" s="2530"/>
      <c r="J88" s="2531" t="str">
        <f ca="1">IF(ISBLANK(OFFSET($AP$2,H81,0)),"",OFFSET($AV$2,H81,0)-OFFSET($BB$2,H81,0))</f>
        <v/>
      </c>
      <c r="K88" s="2532"/>
      <c r="L88" s="2529" t="str">
        <f ca="1">IF(ISBLANK(OFFSET($AP$2,L81,0)),"",OFFSET($AV$2,L81,0))</f>
        <v/>
      </c>
      <c r="M88" s="2530"/>
      <c r="N88" s="2531" t="str">
        <f ca="1">IF(ISBLANK(OFFSET($AP$2,L81,0)),"",OFFSET($AV$2,L81,0)-OFFSET($BB$2,L81,0))</f>
        <v/>
      </c>
      <c r="O88" s="2532"/>
      <c r="P88" s="2529" t="str">
        <f ca="1">IF(ISBLANK(OFFSET($AP$2,P81,0)),"",OFFSET($AV$2,P81,0))</f>
        <v/>
      </c>
      <c r="Q88" s="2530"/>
      <c r="R88" s="2531" t="str">
        <f ca="1">IF(ISBLANK(OFFSET($AP$2,P81,0)),"",OFFSET($AV$2,P81,0)-OFFSET($BB$2,P81,0))</f>
        <v/>
      </c>
      <c r="S88" s="2532"/>
      <c r="T88" s="2529" t="str">
        <f ca="1">IF(ISBLANK(OFFSET($AP$2,T81,0)),"",OFFSET($AV$2,T81,0))</f>
        <v/>
      </c>
      <c r="U88" s="2530"/>
      <c r="V88" s="2531" t="str">
        <f ca="1">IF(ISBLANK(OFFSET($AP$2,T81,0)),"",OFFSET($AV$2,T81,0)-OFFSET($BB$2,T81,0))</f>
        <v/>
      </c>
      <c r="W88" s="2532"/>
      <c r="X88" s="2529" t="str">
        <f ca="1">IF(ISBLANK(OFFSET($AP$2,X81,0)),"",OFFSET($AV$2,X81,0))</f>
        <v/>
      </c>
      <c r="Y88" s="2530"/>
      <c r="Z88" s="2531" t="str">
        <f ca="1">IF(ISBLANK(OFFSET($AP$2,X81,0)),"",OFFSET($AV$2,X81,0)-OFFSET($BB$2,X81,0))</f>
        <v/>
      </c>
      <c r="AA88" s="2532"/>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33" t="str">
        <f ca="1">IF(ISBLANK(OFFSET($AP$2,D89,0)),"",CONCATENATE("Seq. ",OFFSET($AP$2,D89,0)))</f>
        <v/>
      </c>
      <c r="E90" s="2534"/>
      <c r="F90" s="2534"/>
      <c r="G90" s="2535"/>
      <c r="H90" s="2533" t="str">
        <f ca="1">IF(ISBLANK(OFFSET($AP$2,H89,0)),"",CONCATENATE("Seq. ",OFFSET($AP$2,H89,0)))</f>
        <v/>
      </c>
      <c r="I90" s="2534"/>
      <c r="J90" s="2534"/>
      <c r="K90" s="2535"/>
      <c r="L90" s="2533" t="str">
        <f ca="1">IF(ISBLANK(OFFSET($AP$2,L89,0)),"",CONCATENATE("Seq. ",OFFSET($AP$2,L89,0)))</f>
        <v/>
      </c>
      <c r="M90" s="2534"/>
      <c r="N90" s="2534"/>
      <c r="O90" s="2535"/>
      <c r="P90" s="2533" t="str">
        <f ca="1">IF(ISBLANK(OFFSET($AP$2,P89,0)),"",CONCATENATE("Seq. ",OFFSET($AP$2,P89,0)))</f>
        <v/>
      </c>
      <c r="Q90" s="2534"/>
      <c r="R90" s="2534"/>
      <c r="S90" s="2535"/>
      <c r="T90" s="2533" t="str">
        <f ca="1">IF(ISBLANK(OFFSET($AP$2,T89,0)),"",CONCATENATE("Seq. ",OFFSET($AP$2,T89,0)))</f>
        <v/>
      </c>
      <c r="U90" s="2534"/>
      <c r="V90" s="2534"/>
      <c r="W90" s="2535"/>
      <c r="X90" s="2533" t="str">
        <f ca="1">IF(ISBLANK(OFFSET($AP$2,X89,0)),"",CONCATENATE("Seq. ",OFFSET($AP$2,X89,0)))</f>
        <v/>
      </c>
      <c r="Y90" s="2534"/>
      <c r="Z90" s="2534"/>
      <c r="AA90" s="2535"/>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36" t="s">
        <v>440</v>
      </c>
      <c r="E91" s="2537"/>
      <c r="F91" s="2537" t="s">
        <v>441</v>
      </c>
      <c r="G91" s="2538"/>
      <c r="H91" s="2536" t="s">
        <v>440</v>
      </c>
      <c r="I91" s="2537"/>
      <c r="J91" s="2537" t="s">
        <v>441</v>
      </c>
      <c r="K91" s="2538"/>
      <c r="L91" s="2536" t="s">
        <v>440</v>
      </c>
      <c r="M91" s="2537"/>
      <c r="N91" s="2537" t="s">
        <v>441</v>
      </c>
      <c r="O91" s="2538"/>
      <c r="P91" s="2536" t="s">
        <v>440</v>
      </c>
      <c r="Q91" s="2537"/>
      <c r="R91" s="2537" t="s">
        <v>441</v>
      </c>
      <c r="S91" s="2538"/>
      <c r="T91" s="2536" t="s">
        <v>440</v>
      </c>
      <c r="U91" s="2537"/>
      <c r="V91" s="2537" t="s">
        <v>441</v>
      </c>
      <c r="W91" s="2538"/>
      <c r="X91" s="2536" t="s">
        <v>440</v>
      </c>
      <c r="Y91" s="2537"/>
      <c r="Z91" s="2537" t="s">
        <v>441</v>
      </c>
      <c r="AA91" s="2538"/>
      <c r="AB91" s="57"/>
      <c r="AP91" s="54"/>
      <c r="AQ91" s="54"/>
      <c r="AR91" s="54"/>
      <c r="AS91" s="54"/>
      <c r="AT91" s="54"/>
      <c r="AU91" s="54"/>
      <c r="AV91" s="76"/>
      <c r="AW91" s="77"/>
      <c r="AX91" s="54"/>
      <c r="AY91" s="54"/>
      <c r="AZ91" s="54"/>
      <c r="BA91" s="54"/>
      <c r="BB91" s="54"/>
    </row>
    <row r="92" spans="1:54" ht="12.95" hidden="1" customHeight="1" x14ac:dyDescent="0.2">
      <c r="A92" s="57"/>
      <c r="B92" s="2539" t="s">
        <v>73</v>
      </c>
      <c r="C92" s="2540"/>
      <c r="D92" s="2521" t="str">
        <f ca="1">IF(ISBLANK(OFFSET($AP$2,D89,0)),"",OFFSET($AQ$2,D89,0)+OFFSET($AU$2,D89,0))</f>
        <v/>
      </c>
      <c r="E92" s="2522"/>
      <c r="F92" s="2523" t="str">
        <f ca="1">IF(ISBLANK(OFFSET($AP$2,D89,0)),"",(OFFSET($AQ$2,D89,0)+OFFSET($AU$2,D89,0))-(OFFSET($AW$2,D89,0)+OFFSET($BA$2,D89,0)))</f>
        <v/>
      </c>
      <c r="G92" s="2524"/>
      <c r="H92" s="2521" t="str">
        <f ca="1">IF(ISBLANK(OFFSET($AP$2,H89,0)),"",OFFSET($AQ$2,H89,0)+OFFSET($AU$2,H89,0))</f>
        <v/>
      </c>
      <c r="I92" s="2522"/>
      <c r="J92" s="2523" t="str">
        <f ca="1">IF(ISBLANK(OFFSET($AP$2,H89,0)),"",(OFFSET($AQ$2,H89,0)+OFFSET($AU$2,H89,0))-(OFFSET($AW$2,H89,0)+OFFSET($BA$2,H89,0)))</f>
        <v/>
      </c>
      <c r="K92" s="2524"/>
      <c r="L92" s="2521" t="str">
        <f ca="1">IF(ISBLANK(OFFSET($AP$2,L89,0)),"",OFFSET($AQ$2,L89,0)+OFFSET($AU$2,L89,0))</f>
        <v/>
      </c>
      <c r="M92" s="2522"/>
      <c r="N92" s="2523" t="str">
        <f ca="1">IF(ISBLANK(OFFSET($AP$2,L89,0)),"",(OFFSET($AQ$2,L89,0)+OFFSET($AU$2,L89,0))-(OFFSET($AW$2,L89,0)+OFFSET($BA$2,L89,0)))</f>
        <v/>
      </c>
      <c r="O92" s="2524"/>
      <c r="P92" s="2521" t="str">
        <f ca="1">IF(ISBLANK(OFFSET($AP$2,P89,0)),"",OFFSET($AQ$2,P89,0)+OFFSET($AU$2,P89,0))</f>
        <v/>
      </c>
      <c r="Q92" s="2522"/>
      <c r="R92" s="2523" t="str">
        <f ca="1">IF(ISBLANK(OFFSET($AP$2,P89,0)),"",(OFFSET($AQ$2,P89,0)+OFFSET($AU$2,P89,0))-(OFFSET($AW$2,P89,0)+OFFSET($BA$2,P89,0)))</f>
        <v/>
      </c>
      <c r="S92" s="2524"/>
      <c r="T92" s="2521" t="str">
        <f ca="1">IF(ISBLANK(OFFSET($AP$2,T89,0)),"",OFFSET($AQ$2,T89,0)+OFFSET($AU$2,T89,0))</f>
        <v/>
      </c>
      <c r="U92" s="2522"/>
      <c r="V92" s="2523" t="str">
        <f ca="1">IF(ISBLANK(OFFSET($AP$2,T89,0)),"",(OFFSET($AQ$2,T89,0)+OFFSET($AU$2,T89,0))-(OFFSET($AW$2,T89,0)+OFFSET($BA$2,T89,0)))</f>
        <v/>
      </c>
      <c r="W92" s="2524"/>
      <c r="X92" s="2521" t="str">
        <f ca="1">IF(ISBLANK(OFFSET($AP$2,X89,0)),"",OFFSET($AQ$2,X89,0)+OFFSET($AU$2,X89,0))</f>
        <v/>
      </c>
      <c r="Y92" s="2522"/>
      <c r="Z92" s="2523" t="str">
        <f ca="1">IF(ISBLANK(OFFSET($AP$2,X89,0)),"",(OFFSET($AQ$2,X89,0)+OFFSET($AU$2,X89,0))-(OFFSET($AW$2,X89,0)+OFFSET($BA$2,X89,0)))</f>
        <v/>
      </c>
      <c r="AA92" s="2524"/>
      <c r="AB92" s="57"/>
      <c r="AP92" s="54"/>
      <c r="AQ92" s="54"/>
      <c r="AR92" s="54"/>
      <c r="AS92" s="54"/>
      <c r="AT92" s="54"/>
      <c r="AU92" s="54"/>
      <c r="AV92" s="76"/>
      <c r="AW92" s="77"/>
      <c r="AX92" s="54"/>
      <c r="AY92" s="54"/>
      <c r="AZ92" s="54"/>
      <c r="BA92" s="54"/>
      <c r="BB92" s="54"/>
    </row>
    <row r="93" spans="1:54" ht="12.95" hidden="1" customHeight="1" x14ac:dyDescent="0.2">
      <c r="A93" s="57"/>
      <c r="B93" s="2525" t="s">
        <v>437</v>
      </c>
      <c r="C93" s="2526"/>
      <c r="D93" s="2521" t="str">
        <f ca="1">IF(ISBLANK(OFFSET($AP$2,D89,0)),"",OFFSET($AR$2,D89,0))</f>
        <v/>
      </c>
      <c r="E93" s="2522"/>
      <c r="F93" s="2523" t="str">
        <f ca="1">IF(ISBLANK(OFFSET($AP$2,D89,0)),"",OFFSET($AR$2,D89,0)-OFFSET($AX$2,D89,0))</f>
        <v/>
      </c>
      <c r="G93" s="2524"/>
      <c r="H93" s="2521" t="str">
        <f ca="1">IF(ISBLANK(OFFSET($AP$2,H89,0)),"",OFFSET($AR$2,H89,0))</f>
        <v/>
      </c>
      <c r="I93" s="2522"/>
      <c r="J93" s="2523" t="str">
        <f ca="1">IF(ISBLANK(OFFSET($AP$2,H89,0)),"",OFFSET($AR$2,H89,0)-OFFSET($AX$2,H89,0))</f>
        <v/>
      </c>
      <c r="K93" s="2524"/>
      <c r="L93" s="2521" t="str">
        <f ca="1">IF(ISBLANK(OFFSET($AP$2,L89,0)),"",OFFSET($AR$2,L89,0))</f>
        <v/>
      </c>
      <c r="M93" s="2522"/>
      <c r="N93" s="2523" t="str">
        <f ca="1">IF(ISBLANK(OFFSET($AP$2,L89,0)),"",OFFSET($AR$2,L89,0)-OFFSET($AX$2,L89,0))</f>
        <v/>
      </c>
      <c r="O93" s="2524"/>
      <c r="P93" s="2521" t="str">
        <f ca="1">IF(ISBLANK(OFFSET($AP$2,P89,0)),"",OFFSET($AR$2,P89,0))</f>
        <v/>
      </c>
      <c r="Q93" s="2522"/>
      <c r="R93" s="2523" t="str">
        <f ca="1">IF(ISBLANK(OFFSET($AP$2,P89,0)),"",OFFSET($AR$2,P89,0)-OFFSET($AX$2,P89,0))</f>
        <v/>
      </c>
      <c r="S93" s="2524"/>
      <c r="T93" s="2521" t="str">
        <f ca="1">IF(ISBLANK(OFFSET($AP$2,T89,0)),"",OFFSET($AR$2,T89,0))</f>
        <v/>
      </c>
      <c r="U93" s="2522"/>
      <c r="V93" s="2523" t="str">
        <f ca="1">IF(ISBLANK(OFFSET($AP$2,T89,0)),"",OFFSET($AR$2,T89,0)-OFFSET($AX$2,T89,0))</f>
        <v/>
      </c>
      <c r="W93" s="2524"/>
      <c r="X93" s="2521" t="str">
        <f ca="1">IF(ISBLANK(OFFSET($AP$2,X89,0)),"",OFFSET($AR$2,X89,0))</f>
        <v/>
      </c>
      <c r="Y93" s="2522"/>
      <c r="Z93" s="2523" t="str">
        <f ca="1">IF(ISBLANK(OFFSET($AP$2,X89,0)),"",OFFSET($AR$2,X89,0)-OFFSET($AX$2,X89,0))</f>
        <v/>
      </c>
      <c r="AA93" s="2524"/>
      <c r="AB93" s="57"/>
      <c r="AP93" s="54"/>
      <c r="AQ93" s="54"/>
      <c r="AR93" s="54"/>
      <c r="AS93" s="54"/>
      <c r="AT93" s="54"/>
      <c r="AU93" s="54"/>
      <c r="AV93" s="76"/>
      <c r="AW93" s="77"/>
      <c r="AX93" s="54"/>
      <c r="AY93" s="54"/>
      <c r="AZ93" s="54"/>
      <c r="BA93" s="54"/>
      <c r="BB93" s="54"/>
    </row>
    <row r="94" spans="1:54" ht="12.95" hidden="1" customHeight="1" x14ac:dyDescent="0.2">
      <c r="A94" s="57"/>
      <c r="B94" s="2525" t="s">
        <v>438</v>
      </c>
      <c r="C94" s="2526"/>
      <c r="D94" s="2521" t="str">
        <f ca="1">IF(ISBLANK(OFFSET($AP$2,D89,0)),"",OFFSET($AS$2,D89,0))</f>
        <v/>
      </c>
      <c r="E94" s="2522"/>
      <c r="F94" s="2523" t="str">
        <f ca="1">IF(ISBLANK(OFFSET($AP$2,D89,0)),"",OFFSET($AS$2,D89,0)-OFFSET($AY$2,D89,0))</f>
        <v/>
      </c>
      <c r="G94" s="2524"/>
      <c r="H94" s="2521" t="str">
        <f ca="1">IF(ISBLANK(OFFSET($AP$2,H89,0)),"",OFFSET($AS$2,H89,0))</f>
        <v/>
      </c>
      <c r="I94" s="2522"/>
      <c r="J94" s="2523" t="str">
        <f ca="1">IF(ISBLANK(OFFSET($AP$2,H89,0)),"",OFFSET($AS$2,H89,0)-OFFSET($AY$2,H89,0))</f>
        <v/>
      </c>
      <c r="K94" s="2524"/>
      <c r="L94" s="2521" t="str">
        <f ca="1">IF(ISBLANK(OFFSET($AP$2,L89,0)),"",OFFSET($AS$2,L89,0))</f>
        <v/>
      </c>
      <c r="M94" s="2522"/>
      <c r="N94" s="2523" t="str">
        <f ca="1">IF(ISBLANK(OFFSET($AP$2,L89,0)),"",OFFSET($AS$2,L89,0)-OFFSET($AY$2,L89,0))</f>
        <v/>
      </c>
      <c r="O94" s="2524"/>
      <c r="P94" s="2521" t="str">
        <f ca="1">IF(ISBLANK(OFFSET($AP$2,P89,0)),"",OFFSET($AS$2,P89,0))</f>
        <v/>
      </c>
      <c r="Q94" s="2522"/>
      <c r="R94" s="2523" t="str">
        <f ca="1">IF(ISBLANK(OFFSET($AP$2,P89,0)),"",OFFSET($AS$2,P89,0)-OFFSET($AY$2,P89,0))</f>
        <v/>
      </c>
      <c r="S94" s="2524"/>
      <c r="T94" s="2521" t="str">
        <f ca="1">IF(ISBLANK(OFFSET($AP$2,T89,0)),"",OFFSET($AS$2,T89,0))</f>
        <v/>
      </c>
      <c r="U94" s="2522"/>
      <c r="V94" s="2523" t="str">
        <f ca="1">IF(ISBLANK(OFFSET($AP$2,T89,0)),"",OFFSET($AS$2,T89,0)-OFFSET($AY$2,T89,0))</f>
        <v/>
      </c>
      <c r="W94" s="2524"/>
      <c r="X94" s="2521" t="str">
        <f ca="1">IF(ISBLANK(OFFSET($AP$2,X89,0)),"",OFFSET($AS$2,X89,0))</f>
        <v/>
      </c>
      <c r="Y94" s="2522"/>
      <c r="Z94" s="2523" t="str">
        <f ca="1">IF(ISBLANK(OFFSET($AP$2,X89,0)),"",OFFSET($AS$2,X89,0)-OFFSET($AY$2,X89,0))</f>
        <v/>
      </c>
      <c r="AA94" s="2524"/>
      <c r="AB94" s="57"/>
      <c r="AP94" s="54"/>
      <c r="AQ94" s="54"/>
      <c r="AR94" s="54"/>
      <c r="AS94" s="54"/>
      <c r="AT94" s="54"/>
      <c r="AU94" s="54"/>
      <c r="AV94" s="76"/>
      <c r="AW94" s="77"/>
      <c r="AX94" s="54"/>
      <c r="AY94" s="54"/>
      <c r="AZ94" s="54"/>
      <c r="BA94" s="54"/>
      <c r="BB94" s="54"/>
    </row>
    <row r="95" spans="1:54" ht="12.95" hidden="1" customHeight="1" x14ac:dyDescent="0.2">
      <c r="A95" s="57"/>
      <c r="B95" s="2525" t="s">
        <v>75</v>
      </c>
      <c r="C95" s="2526"/>
      <c r="D95" s="2521" t="str">
        <f ca="1">IF(ISBLANK(OFFSET($AP$2,D89,0)),"",OFFSET($AT$2,D89,0))</f>
        <v/>
      </c>
      <c r="E95" s="2522"/>
      <c r="F95" s="2523" t="str">
        <f ca="1">IF(ISBLANK(OFFSET($AP$2,D89,0)),"",OFFSET($AT$2,D89,0)-OFFSET($AZ$2,D89,0))</f>
        <v/>
      </c>
      <c r="G95" s="2524"/>
      <c r="H95" s="2521" t="str">
        <f ca="1">IF(ISBLANK(OFFSET($AP$2,H89,0)),"",OFFSET($AT$2,H89,0))</f>
        <v/>
      </c>
      <c r="I95" s="2522"/>
      <c r="J95" s="2523" t="str">
        <f ca="1">IF(ISBLANK(OFFSET($AP$2,H89,0)),"",OFFSET($AT$2,H89,0)-OFFSET($AZ$2,H89,0))</f>
        <v/>
      </c>
      <c r="K95" s="2524"/>
      <c r="L95" s="2521" t="str">
        <f ca="1">IF(ISBLANK(OFFSET($AP$2,L89,0)),"",OFFSET($AT$2,L89,0))</f>
        <v/>
      </c>
      <c r="M95" s="2522"/>
      <c r="N95" s="2523" t="str">
        <f ca="1">IF(ISBLANK(OFFSET($AP$2,L89,0)),"",OFFSET($AT$2,L89,0)-OFFSET($AZ$2,L89,0))</f>
        <v/>
      </c>
      <c r="O95" s="2524"/>
      <c r="P95" s="2521" t="str">
        <f ca="1">IF(ISBLANK(OFFSET($AP$2,P89,0)),"",OFFSET($AT$2,P89,0))</f>
        <v/>
      </c>
      <c r="Q95" s="2522"/>
      <c r="R95" s="2523" t="str">
        <f ca="1">IF(ISBLANK(OFFSET($AP$2,P89,0)),"",OFFSET($AT$2,P89,0)-OFFSET($AZ$2,P89,0))</f>
        <v/>
      </c>
      <c r="S95" s="2524"/>
      <c r="T95" s="2521" t="str">
        <f ca="1">IF(ISBLANK(OFFSET($AP$2,T89,0)),"",OFFSET($AT$2,T89,0))</f>
        <v/>
      </c>
      <c r="U95" s="2522"/>
      <c r="V95" s="2523" t="str">
        <f ca="1">IF(ISBLANK(OFFSET($AP$2,T89,0)),"",OFFSET($AT$2,T89,0)-OFFSET($AZ$2,T89,0))</f>
        <v/>
      </c>
      <c r="W95" s="2524"/>
      <c r="X95" s="2521" t="str">
        <f ca="1">IF(ISBLANK(OFFSET($AP$2,X89,0)),"",OFFSET($AT$2,X89,0))</f>
        <v/>
      </c>
      <c r="Y95" s="2522"/>
      <c r="Z95" s="2523" t="str">
        <f ca="1">IF(ISBLANK(OFFSET($AP$2,X89,0)),"",OFFSET($AT$2,X89,0)-OFFSET($AZ$2,X89,0))</f>
        <v/>
      </c>
      <c r="AA95" s="2524"/>
      <c r="AB95" s="57"/>
      <c r="AP95" s="54"/>
      <c r="AQ95" s="54"/>
      <c r="AR95" s="54"/>
      <c r="AS95" s="54"/>
      <c r="AT95" s="54"/>
      <c r="AU95" s="54"/>
      <c r="AV95" s="76"/>
      <c r="AW95" s="77"/>
      <c r="AX95" s="54"/>
      <c r="AY95" s="54"/>
      <c r="AZ95" s="54"/>
      <c r="BA95" s="54"/>
      <c r="BB95" s="54"/>
    </row>
    <row r="96" spans="1:54" ht="12.95" hidden="1" customHeight="1" thickBot="1" x14ac:dyDescent="0.25">
      <c r="A96" s="57"/>
      <c r="B96" s="2527" t="s">
        <v>439</v>
      </c>
      <c r="C96" s="2528"/>
      <c r="D96" s="2529" t="str">
        <f ca="1">IF(ISBLANK(OFFSET($AP$2,D89,0)),"",OFFSET($AV$2,D89,0))</f>
        <v/>
      </c>
      <c r="E96" s="2530"/>
      <c r="F96" s="2531" t="str">
        <f ca="1">IF(ISBLANK(OFFSET($AP$2,D89,0)),"",OFFSET($AV$2,D89,0)-OFFSET($BB$2,D89,0))</f>
        <v/>
      </c>
      <c r="G96" s="2532"/>
      <c r="H96" s="2529" t="str">
        <f ca="1">IF(ISBLANK(OFFSET($AP$2,H89,0)),"",OFFSET($AV$2,H89,0))</f>
        <v/>
      </c>
      <c r="I96" s="2530"/>
      <c r="J96" s="2531" t="str">
        <f ca="1">IF(ISBLANK(OFFSET($AP$2,H89,0)),"",OFFSET($AV$2,H89,0)-OFFSET($BB$2,H89,0))</f>
        <v/>
      </c>
      <c r="K96" s="2532"/>
      <c r="L96" s="2529" t="str">
        <f ca="1">IF(ISBLANK(OFFSET($AP$2,L89,0)),"",OFFSET($AV$2,L89,0))</f>
        <v/>
      </c>
      <c r="M96" s="2530"/>
      <c r="N96" s="2531" t="str">
        <f ca="1">IF(ISBLANK(OFFSET($AP$2,L89,0)),"",OFFSET($AV$2,L89,0)-OFFSET($BB$2,L89,0))</f>
        <v/>
      </c>
      <c r="O96" s="2532"/>
      <c r="P96" s="2529" t="str">
        <f ca="1">IF(ISBLANK(OFFSET($AP$2,P89,0)),"",OFFSET($AV$2,P89,0))</f>
        <v/>
      </c>
      <c r="Q96" s="2530"/>
      <c r="R96" s="2531" t="str">
        <f ca="1">IF(ISBLANK(OFFSET($AP$2,P89,0)),"",OFFSET($AV$2,P89,0)-OFFSET($BB$2,P89,0))</f>
        <v/>
      </c>
      <c r="S96" s="2532"/>
      <c r="T96" s="2529" t="str">
        <f ca="1">IF(ISBLANK(OFFSET($AP$2,T89,0)),"",OFFSET($AV$2,T89,0))</f>
        <v/>
      </c>
      <c r="U96" s="2530"/>
      <c r="V96" s="2531" t="str">
        <f ca="1">IF(ISBLANK(OFFSET($AP$2,T89,0)),"",OFFSET($AV$2,T89,0)-OFFSET($BB$2,T89,0))</f>
        <v/>
      </c>
      <c r="W96" s="2532"/>
      <c r="X96" s="2529" t="str">
        <f ca="1">IF(ISBLANK(OFFSET($AP$2,X89,0)),"",OFFSET($AV$2,X89,0))</f>
        <v/>
      </c>
      <c r="Y96" s="2530"/>
      <c r="Z96" s="2531" t="str">
        <f ca="1">IF(ISBLANK(OFFSET($AP$2,X89,0)),"",OFFSET($AV$2,X89,0)-OFFSET($BB$2,X89,0))</f>
        <v/>
      </c>
      <c r="AA96" s="2532"/>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33" t="str">
        <f ca="1">IF(ISBLANK(OFFSET($AP$2,D97,0)),"",CONCATENATE("Seq. ",OFFSET($AP$2,D97,0)))</f>
        <v/>
      </c>
      <c r="E98" s="2534"/>
      <c r="F98" s="2534"/>
      <c r="G98" s="2535"/>
      <c r="H98" s="2533" t="str">
        <f ca="1">IF(ISBLANK(OFFSET($AP$2,H97,0)),"",CONCATENATE("Seq. ",OFFSET($AP$2,H97,0)))</f>
        <v/>
      </c>
      <c r="I98" s="2534"/>
      <c r="J98" s="2534"/>
      <c r="K98" s="2535"/>
      <c r="L98" s="2533" t="str">
        <f ca="1">IF(ISBLANK(OFFSET($AP$2,L97,0)),"",CONCATENATE("Seq. ",OFFSET($AP$2,L97,0)))</f>
        <v/>
      </c>
      <c r="M98" s="2534"/>
      <c r="N98" s="2534"/>
      <c r="O98" s="2535"/>
      <c r="P98" s="2533" t="str">
        <f ca="1">IF(ISBLANK(OFFSET($AP$2,P97,0)),"",CONCATENATE("Seq. ",OFFSET($AP$2,P97,0)))</f>
        <v/>
      </c>
      <c r="Q98" s="2534"/>
      <c r="R98" s="2534"/>
      <c r="S98" s="2535"/>
      <c r="T98" s="2533" t="str">
        <f ca="1">IF(ISBLANK(OFFSET($AP$2,T97,0)),"",CONCATENATE("Seq. ",OFFSET($AP$2,T97,0)))</f>
        <v/>
      </c>
      <c r="U98" s="2534"/>
      <c r="V98" s="2534"/>
      <c r="W98" s="2535"/>
      <c r="X98" s="2533" t="str">
        <f ca="1">IF(ISBLANK(OFFSET($AP$2,X97,0)),"",CONCATENATE("Seq. ",OFFSET($AP$2,X97,0)))</f>
        <v/>
      </c>
      <c r="Y98" s="2534"/>
      <c r="Z98" s="2534"/>
      <c r="AA98" s="2535"/>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36" t="s">
        <v>440</v>
      </c>
      <c r="E99" s="2537"/>
      <c r="F99" s="2537" t="s">
        <v>441</v>
      </c>
      <c r="G99" s="2538"/>
      <c r="H99" s="2536" t="s">
        <v>440</v>
      </c>
      <c r="I99" s="2537"/>
      <c r="J99" s="2537" t="s">
        <v>441</v>
      </c>
      <c r="K99" s="2538"/>
      <c r="L99" s="2536" t="s">
        <v>440</v>
      </c>
      <c r="M99" s="2537"/>
      <c r="N99" s="2537" t="s">
        <v>441</v>
      </c>
      <c r="O99" s="2538"/>
      <c r="P99" s="2536" t="s">
        <v>440</v>
      </c>
      <c r="Q99" s="2537"/>
      <c r="R99" s="2537" t="s">
        <v>441</v>
      </c>
      <c r="S99" s="2538"/>
      <c r="T99" s="2536" t="s">
        <v>440</v>
      </c>
      <c r="U99" s="2537"/>
      <c r="V99" s="2537" t="s">
        <v>441</v>
      </c>
      <c r="W99" s="2538"/>
      <c r="X99" s="2536" t="s">
        <v>440</v>
      </c>
      <c r="Y99" s="2537"/>
      <c r="Z99" s="2537" t="s">
        <v>441</v>
      </c>
      <c r="AA99" s="2538"/>
      <c r="AB99" s="57"/>
    </row>
    <row r="100" spans="1:54" ht="12.95" hidden="1" customHeight="1" x14ac:dyDescent="0.2">
      <c r="A100" s="57"/>
      <c r="B100" s="2539" t="s">
        <v>73</v>
      </c>
      <c r="C100" s="2540"/>
      <c r="D100" s="2521" t="str">
        <f ca="1">IF(ISBLANK(OFFSET($AP$2,D97,0)),"",OFFSET($AQ$2,D97,0)+OFFSET($AU$2,D97,0))</f>
        <v/>
      </c>
      <c r="E100" s="2522"/>
      <c r="F100" s="2523" t="str">
        <f ca="1">IF(ISBLANK(OFFSET($AP$2,D97,0)),"",(OFFSET($AQ$2,D97,0)+OFFSET($AU$2,D97,0))-(OFFSET($AW$2,D97,0)+OFFSET($BA$2,D97,0)))</f>
        <v/>
      </c>
      <c r="G100" s="2524"/>
      <c r="H100" s="2521" t="str">
        <f ca="1">IF(ISBLANK(OFFSET($AP$2,H97,0)),"",OFFSET($AQ$2,H97,0)+OFFSET($AU$2,H97,0))</f>
        <v/>
      </c>
      <c r="I100" s="2522"/>
      <c r="J100" s="2523" t="str">
        <f ca="1">IF(ISBLANK(OFFSET($AP$2,H97,0)),"",(OFFSET($AQ$2,H97,0)+OFFSET($AU$2,H97,0))-(OFFSET($AW$2,H97,0)+OFFSET($BA$2,H97,0)))</f>
        <v/>
      </c>
      <c r="K100" s="2524"/>
      <c r="L100" s="2521" t="str">
        <f ca="1">IF(ISBLANK(OFFSET($AP$2,L97,0)),"",OFFSET($AQ$2,L97,0)+OFFSET($AU$2,L97,0))</f>
        <v/>
      </c>
      <c r="M100" s="2522"/>
      <c r="N100" s="2523" t="str">
        <f ca="1">IF(ISBLANK(OFFSET($AP$2,L97,0)),"",(OFFSET($AQ$2,L97,0)+OFFSET($AU$2,L97,0))-(OFFSET($AW$2,L97,0)+OFFSET($BA$2,L97,0)))</f>
        <v/>
      </c>
      <c r="O100" s="2524"/>
      <c r="P100" s="2521" t="str">
        <f ca="1">IF(ISBLANK(OFFSET($AP$2,P97,0)),"",OFFSET($AQ$2,P97,0)+OFFSET($AU$2,P97,0))</f>
        <v/>
      </c>
      <c r="Q100" s="2522"/>
      <c r="R100" s="2523" t="str">
        <f ca="1">IF(ISBLANK(OFFSET($AP$2,P97,0)),"",(OFFSET($AQ$2,P97,0)+OFFSET($AU$2,P97,0))-(OFFSET($AW$2,P97,0)+OFFSET($BA$2,P97,0)))</f>
        <v/>
      </c>
      <c r="S100" s="2524"/>
      <c r="T100" s="2521" t="str">
        <f ca="1">IF(ISBLANK(OFFSET($AP$2,T97,0)),"",OFFSET($AQ$2,T97,0)+OFFSET($AU$2,T97,0))</f>
        <v/>
      </c>
      <c r="U100" s="2522"/>
      <c r="V100" s="2523" t="str">
        <f ca="1">IF(ISBLANK(OFFSET($AP$2,T97,0)),"",(OFFSET($AQ$2,T97,0)+OFFSET($AU$2,T97,0))-(OFFSET($AW$2,T97,0)+OFFSET($BA$2,T97,0)))</f>
        <v/>
      </c>
      <c r="W100" s="2524"/>
      <c r="X100" s="2521" t="str">
        <f ca="1">IF(ISBLANK(OFFSET($AP$2,X97,0)),"",OFFSET($AQ$2,X97,0)+OFFSET($AU$2,X97,0))</f>
        <v/>
      </c>
      <c r="Y100" s="2522"/>
      <c r="Z100" s="2523" t="str">
        <f ca="1">IF(ISBLANK(OFFSET($AP$2,X97,0)),"",(OFFSET($AQ$2,X97,0)+OFFSET($AU$2,X97,0))-(OFFSET($AW$2,X97,0)+OFFSET($BA$2,X97,0)))</f>
        <v/>
      </c>
      <c r="AA100" s="2524"/>
      <c r="AB100" s="57"/>
    </row>
    <row r="101" spans="1:54" ht="12.95" hidden="1" customHeight="1" x14ac:dyDescent="0.2">
      <c r="A101" s="57"/>
      <c r="B101" s="2525" t="s">
        <v>437</v>
      </c>
      <c r="C101" s="2526"/>
      <c r="D101" s="2521" t="str">
        <f ca="1">IF(ISBLANK(OFFSET($AP$2,D97,0)),"",OFFSET($AR$2,D97,0))</f>
        <v/>
      </c>
      <c r="E101" s="2522"/>
      <c r="F101" s="2523" t="str">
        <f ca="1">IF(ISBLANK(OFFSET($AP$2,D97,0)),"",OFFSET($AR$2,D97,0)-OFFSET($AX$2,D97,0))</f>
        <v/>
      </c>
      <c r="G101" s="2524"/>
      <c r="H101" s="2521" t="str">
        <f ca="1">IF(ISBLANK(OFFSET($AP$2,H97,0)),"",OFFSET($AR$2,H97,0))</f>
        <v/>
      </c>
      <c r="I101" s="2522"/>
      <c r="J101" s="2523" t="str">
        <f ca="1">IF(ISBLANK(OFFSET($AP$2,H97,0)),"",OFFSET($AR$2,H97,0)-OFFSET($AX$2,H97,0))</f>
        <v/>
      </c>
      <c r="K101" s="2524"/>
      <c r="L101" s="2521" t="str">
        <f ca="1">IF(ISBLANK(OFFSET($AP$2,L97,0)),"",OFFSET($AR$2,L97,0))</f>
        <v/>
      </c>
      <c r="M101" s="2522"/>
      <c r="N101" s="2523" t="str">
        <f ca="1">IF(ISBLANK(OFFSET($AP$2,L97,0)),"",OFFSET($AR$2,L97,0)-OFFSET($AX$2,L97,0))</f>
        <v/>
      </c>
      <c r="O101" s="2524"/>
      <c r="P101" s="2521" t="str">
        <f ca="1">IF(ISBLANK(OFFSET($AP$2,P97,0)),"",OFFSET($AR$2,P97,0))</f>
        <v/>
      </c>
      <c r="Q101" s="2522"/>
      <c r="R101" s="2523" t="str">
        <f ca="1">IF(ISBLANK(OFFSET($AP$2,P97,0)),"",OFFSET($AR$2,P97,0)-OFFSET($AX$2,P97,0))</f>
        <v/>
      </c>
      <c r="S101" s="2524"/>
      <c r="T101" s="2521" t="str">
        <f ca="1">IF(ISBLANK(OFFSET($AP$2,T97,0)),"",OFFSET($AR$2,T97,0))</f>
        <v/>
      </c>
      <c r="U101" s="2522"/>
      <c r="V101" s="2523" t="str">
        <f ca="1">IF(ISBLANK(OFFSET($AP$2,T97,0)),"",OFFSET($AR$2,T97,0)-OFFSET($AX$2,T97,0))</f>
        <v/>
      </c>
      <c r="W101" s="2524"/>
      <c r="X101" s="2521" t="str">
        <f ca="1">IF(ISBLANK(OFFSET($AP$2,X97,0)),"",OFFSET($AR$2,X97,0))</f>
        <v/>
      </c>
      <c r="Y101" s="2522"/>
      <c r="Z101" s="2523" t="str">
        <f ca="1">IF(ISBLANK(OFFSET($AP$2,X97,0)),"",OFFSET($AR$2,X97,0)-OFFSET($AX$2,X97,0))</f>
        <v/>
      </c>
      <c r="AA101" s="2524"/>
      <c r="AB101" s="57"/>
    </row>
    <row r="102" spans="1:54" ht="12.95" hidden="1" customHeight="1" x14ac:dyDescent="0.2">
      <c r="A102" s="57"/>
      <c r="B102" s="2525" t="s">
        <v>438</v>
      </c>
      <c r="C102" s="2526"/>
      <c r="D102" s="2521" t="str">
        <f ca="1">IF(ISBLANK(OFFSET($AP$2,D97,0)),"",OFFSET($AS$2,D97,0))</f>
        <v/>
      </c>
      <c r="E102" s="2522"/>
      <c r="F102" s="2523" t="str">
        <f ca="1">IF(ISBLANK(OFFSET($AP$2,D97,0)),"",OFFSET($AS$2,D97,0)-OFFSET($AY$2,D97,0))</f>
        <v/>
      </c>
      <c r="G102" s="2524"/>
      <c r="H102" s="2521" t="str">
        <f ca="1">IF(ISBLANK(OFFSET($AP$2,H97,0)),"",OFFSET($AS$2,H97,0))</f>
        <v/>
      </c>
      <c r="I102" s="2522"/>
      <c r="J102" s="2523" t="str">
        <f ca="1">IF(ISBLANK(OFFSET($AP$2,H97,0)),"",OFFSET($AS$2,H97,0)-OFFSET($AY$2,H97,0))</f>
        <v/>
      </c>
      <c r="K102" s="2524"/>
      <c r="L102" s="2521" t="str">
        <f ca="1">IF(ISBLANK(OFFSET($AP$2,L97,0)),"",OFFSET($AS$2,L97,0))</f>
        <v/>
      </c>
      <c r="M102" s="2522"/>
      <c r="N102" s="2523" t="str">
        <f ca="1">IF(ISBLANK(OFFSET($AP$2,L97,0)),"",OFFSET($AS$2,L97,0)-OFFSET($AY$2,L97,0))</f>
        <v/>
      </c>
      <c r="O102" s="2524"/>
      <c r="P102" s="2521" t="str">
        <f ca="1">IF(ISBLANK(OFFSET($AP$2,P97,0)),"",OFFSET($AS$2,P97,0))</f>
        <v/>
      </c>
      <c r="Q102" s="2522"/>
      <c r="R102" s="2523" t="str">
        <f ca="1">IF(ISBLANK(OFFSET($AP$2,P97,0)),"",OFFSET($AS$2,P97,0)-OFFSET($AY$2,P97,0))</f>
        <v/>
      </c>
      <c r="S102" s="2524"/>
      <c r="T102" s="2521" t="str">
        <f ca="1">IF(ISBLANK(OFFSET($AP$2,T97,0)),"",OFFSET($AS$2,T97,0))</f>
        <v/>
      </c>
      <c r="U102" s="2522"/>
      <c r="V102" s="2523" t="str">
        <f ca="1">IF(ISBLANK(OFFSET($AP$2,T97,0)),"",OFFSET($AS$2,T97,0)-OFFSET($AY$2,T97,0))</f>
        <v/>
      </c>
      <c r="W102" s="2524"/>
      <c r="X102" s="2521" t="str">
        <f ca="1">IF(ISBLANK(OFFSET($AP$2,X97,0)),"",OFFSET($AS$2,X97,0))</f>
        <v/>
      </c>
      <c r="Y102" s="2522"/>
      <c r="Z102" s="2523" t="str">
        <f ca="1">IF(ISBLANK(OFFSET($AP$2,X97,0)),"",OFFSET($AS$2,X97,0)-OFFSET($AY$2,X97,0))</f>
        <v/>
      </c>
      <c r="AA102" s="2524"/>
      <c r="AB102" s="57"/>
    </row>
    <row r="103" spans="1:54" ht="12.95" hidden="1" customHeight="1" x14ac:dyDescent="0.2">
      <c r="A103" s="57"/>
      <c r="B103" s="2525" t="s">
        <v>75</v>
      </c>
      <c r="C103" s="2526"/>
      <c r="D103" s="2521" t="str">
        <f ca="1">IF(ISBLANK(OFFSET($AP$2,D97,0)),"",OFFSET($AT$2,D97,0))</f>
        <v/>
      </c>
      <c r="E103" s="2522"/>
      <c r="F103" s="2523" t="str">
        <f ca="1">IF(ISBLANK(OFFSET($AP$2,D97,0)),"",OFFSET($AT$2,D97,0)-OFFSET($AZ$2,D97,0))</f>
        <v/>
      </c>
      <c r="G103" s="2524"/>
      <c r="H103" s="2521" t="str">
        <f ca="1">IF(ISBLANK(OFFSET($AP$2,H97,0)),"",OFFSET($AT$2,H97,0))</f>
        <v/>
      </c>
      <c r="I103" s="2522"/>
      <c r="J103" s="2523" t="str">
        <f ca="1">IF(ISBLANK(OFFSET($AP$2,H97,0)),"",OFFSET($AT$2,H97,0)-OFFSET($AZ$2,H97,0))</f>
        <v/>
      </c>
      <c r="K103" s="2524"/>
      <c r="L103" s="2521" t="str">
        <f ca="1">IF(ISBLANK(OFFSET($AP$2,L97,0)),"",OFFSET($AT$2,L97,0))</f>
        <v/>
      </c>
      <c r="M103" s="2522"/>
      <c r="N103" s="2523" t="str">
        <f ca="1">IF(ISBLANK(OFFSET($AP$2,L97,0)),"",OFFSET($AT$2,L97,0)-OFFSET($AZ$2,L97,0))</f>
        <v/>
      </c>
      <c r="O103" s="2524"/>
      <c r="P103" s="2521" t="str">
        <f ca="1">IF(ISBLANK(OFFSET($AP$2,P97,0)),"",OFFSET($AT$2,P97,0))</f>
        <v/>
      </c>
      <c r="Q103" s="2522"/>
      <c r="R103" s="2523" t="str">
        <f ca="1">IF(ISBLANK(OFFSET($AP$2,P97,0)),"",OFFSET($AT$2,P97,0)-OFFSET($AZ$2,P97,0))</f>
        <v/>
      </c>
      <c r="S103" s="2524"/>
      <c r="T103" s="2521" t="str">
        <f ca="1">IF(ISBLANK(OFFSET($AP$2,T97,0)),"",OFFSET($AT$2,T97,0))</f>
        <v/>
      </c>
      <c r="U103" s="2522"/>
      <c r="V103" s="2523" t="str">
        <f ca="1">IF(ISBLANK(OFFSET($AP$2,T97,0)),"",OFFSET($AT$2,T97,0)-OFFSET($AZ$2,T97,0))</f>
        <v/>
      </c>
      <c r="W103" s="2524"/>
      <c r="X103" s="2521" t="str">
        <f ca="1">IF(ISBLANK(OFFSET($AP$2,X97,0)),"",OFFSET($AT$2,X97,0))</f>
        <v/>
      </c>
      <c r="Y103" s="2522"/>
      <c r="Z103" s="2523" t="str">
        <f ca="1">IF(ISBLANK(OFFSET($AP$2,X97,0)),"",OFFSET($AT$2,X97,0)-OFFSET($AZ$2,X97,0))</f>
        <v/>
      </c>
      <c r="AA103" s="2524"/>
      <c r="AB103" s="57"/>
    </row>
    <row r="104" spans="1:54" ht="12.95" hidden="1" customHeight="1" thickBot="1" x14ac:dyDescent="0.25">
      <c r="A104" s="57"/>
      <c r="B104" s="2527" t="s">
        <v>439</v>
      </c>
      <c r="C104" s="2528"/>
      <c r="D104" s="2529" t="str">
        <f ca="1">IF(ISBLANK(OFFSET($AP$2,D97,0)),"",OFFSET($AV$2,D97,0))</f>
        <v/>
      </c>
      <c r="E104" s="2530"/>
      <c r="F104" s="2531" t="str">
        <f ca="1">IF(ISBLANK(OFFSET($AP$2,D97,0)),"",OFFSET($AV$2,D97,0)-OFFSET($BB$2,D97,0))</f>
        <v/>
      </c>
      <c r="G104" s="2532"/>
      <c r="H104" s="2529" t="str">
        <f ca="1">IF(ISBLANK(OFFSET($AP$2,H97,0)),"",OFFSET($AV$2,H97,0))</f>
        <v/>
      </c>
      <c r="I104" s="2530"/>
      <c r="J104" s="2531" t="str">
        <f ca="1">IF(ISBLANK(OFFSET($AP$2,H97,0)),"",OFFSET($AV$2,H97,0)-OFFSET($BB$2,H97,0))</f>
        <v/>
      </c>
      <c r="K104" s="2532"/>
      <c r="L104" s="2529" t="str">
        <f ca="1">IF(ISBLANK(OFFSET($AP$2,L97,0)),"",OFFSET($AV$2,L97,0))</f>
        <v/>
      </c>
      <c r="M104" s="2530"/>
      <c r="N104" s="2531" t="str">
        <f ca="1">IF(ISBLANK(OFFSET($AP$2,L97,0)),"",OFFSET($AV$2,L97,0)-OFFSET($BB$2,L97,0))</f>
        <v/>
      </c>
      <c r="O104" s="2532"/>
      <c r="P104" s="2529" t="str">
        <f ca="1">IF(ISBLANK(OFFSET($AP$2,P97,0)),"",OFFSET($AV$2,P97,0))</f>
        <v/>
      </c>
      <c r="Q104" s="2530"/>
      <c r="R104" s="2531" t="str">
        <f ca="1">IF(ISBLANK(OFFSET($AP$2,P97,0)),"",OFFSET($AV$2,P97,0)-OFFSET($BB$2,P97,0))</f>
        <v/>
      </c>
      <c r="S104" s="2532"/>
      <c r="T104" s="2529" t="str">
        <f ca="1">IF(ISBLANK(OFFSET($AP$2,T97,0)),"",OFFSET($AV$2,T97,0))</f>
        <v/>
      </c>
      <c r="U104" s="2530"/>
      <c r="V104" s="2531" t="str">
        <f ca="1">IF(ISBLANK(OFFSET($AP$2,T97,0)),"",OFFSET($AV$2,T97,0)-OFFSET($BB$2,T97,0))</f>
        <v/>
      </c>
      <c r="W104" s="2532"/>
      <c r="X104" s="2529" t="str">
        <f ca="1">IF(ISBLANK(OFFSET($AP$2,X97,0)),"",OFFSET($AV$2,X97,0))</f>
        <v/>
      </c>
      <c r="Y104" s="2530"/>
      <c r="Z104" s="2531" t="str">
        <f ca="1">IF(ISBLANK(OFFSET($AP$2,X97,0)),"",OFFSET($AV$2,X97,0)-OFFSET($BB$2,X97,0))</f>
        <v/>
      </c>
      <c r="AA104" s="2532"/>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33" t="str">
        <f ca="1">IF(ISBLANK(OFFSET($AP$2,D105,0)),"",CONCATENATE("Seq. ",OFFSET($AP$2,D105,0)))</f>
        <v/>
      </c>
      <c r="E106" s="2534"/>
      <c r="F106" s="2534"/>
      <c r="G106" s="2535"/>
      <c r="H106" s="2533" t="str">
        <f ca="1">IF(ISBLANK(OFFSET($AP$2,H105,0)),"",CONCATENATE("Seq. ",OFFSET($AP$2,H105,0)))</f>
        <v/>
      </c>
      <c r="I106" s="2534"/>
      <c r="J106" s="2534"/>
      <c r="K106" s="2535"/>
      <c r="L106" s="2533" t="str">
        <f ca="1">IF(ISBLANK(OFFSET($AP$2,L105,0)),"",CONCATENATE("Seq. ",OFFSET($AP$2,L105,0)))</f>
        <v/>
      </c>
      <c r="M106" s="2534"/>
      <c r="N106" s="2534"/>
      <c r="O106" s="2535"/>
      <c r="P106" s="2533" t="str">
        <f ca="1">IF(ISBLANK(OFFSET($AP$2,P105,0)),"",CONCATENATE("Seq. ",OFFSET($AP$2,P105,0)))</f>
        <v/>
      </c>
      <c r="Q106" s="2534"/>
      <c r="R106" s="2534"/>
      <c r="S106" s="2535"/>
      <c r="T106" s="2533" t="str">
        <f ca="1">IF(ISBLANK(OFFSET($AP$2,T105,0)),"",CONCATENATE("Seq. ",OFFSET($AP$2,T105,0)))</f>
        <v/>
      </c>
      <c r="U106" s="2534"/>
      <c r="V106" s="2534"/>
      <c r="W106" s="2535"/>
      <c r="X106" s="2533" t="str">
        <f ca="1">IF(ISBLANK(OFFSET($AP$2,X105,0)),"",CONCATENATE("Seq. ",OFFSET($AP$2,X105,0)))</f>
        <v/>
      </c>
      <c r="Y106" s="2534"/>
      <c r="Z106" s="2534"/>
      <c r="AA106" s="2535"/>
      <c r="AB106" s="57"/>
    </row>
    <row r="107" spans="1:54" ht="12.95" hidden="1" customHeight="1" thickBot="1" x14ac:dyDescent="0.25">
      <c r="A107" s="57"/>
      <c r="B107" s="41"/>
      <c r="C107" s="42"/>
      <c r="D107" s="2536" t="s">
        <v>440</v>
      </c>
      <c r="E107" s="2537"/>
      <c r="F107" s="2537" t="s">
        <v>441</v>
      </c>
      <c r="G107" s="2538"/>
      <c r="H107" s="2536" t="s">
        <v>440</v>
      </c>
      <c r="I107" s="2537"/>
      <c r="J107" s="2537" t="s">
        <v>441</v>
      </c>
      <c r="K107" s="2538"/>
      <c r="L107" s="2536" t="s">
        <v>440</v>
      </c>
      <c r="M107" s="2537"/>
      <c r="N107" s="2537" t="s">
        <v>441</v>
      </c>
      <c r="O107" s="2538"/>
      <c r="P107" s="2536" t="s">
        <v>440</v>
      </c>
      <c r="Q107" s="2537"/>
      <c r="R107" s="2537" t="s">
        <v>441</v>
      </c>
      <c r="S107" s="2538"/>
      <c r="T107" s="2536" t="s">
        <v>440</v>
      </c>
      <c r="U107" s="2537"/>
      <c r="V107" s="2537" t="s">
        <v>441</v>
      </c>
      <c r="W107" s="2538"/>
      <c r="X107" s="2536" t="s">
        <v>440</v>
      </c>
      <c r="Y107" s="2537"/>
      <c r="Z107" s="2537" t="s">
        <v>441</v>
      </c>
      <c r="AA107" s="2538"/>
      <c r="AB107" s="57"/>
    </row>
    <row r="108" spans="1:54" ht="12.95" hidden="1" customHeight="1" x14ac:dyDescent="0.2">
      <c r="A108" s="57"/>
      <c r="B108" s="2539" t="s">
        <v>73</v>
      </c>
      <c r="C108" s="2540"/>
      <c r="D108" s="2521" t="str">
        <f ca="1">IF(ISBLANK(OFFSET($AP$2,D105,0)),"",OFFSET($AQ$2,D105,0)+OFFSET($AU$2,D105,0))</f>
        <v/>
      </c>
      <c r="E108" s="2522"/>
      <c r="F108" s="2523" t="str">
        <f ca="1">IF(ISBLANK(OFFSET($AP$2,D105,0)),"",(OFFSET($AQ$2,D105,0)+OFFSET($AU$2,D105,0))-(OFFSET($AW$2,D105,0)+OFFSET($BA$2,D105,0)))</f>
        <v/>
      </c>
      <c r="G108" s="2524"/>
      <c r="H108" s="2521" t="str">
        <f ca="1">IF(ISBLANK(OFFSET($AP$2,H105,0)),"",OFFSET($AQ$2,H105,0)+OFFSET($AU$2,H105,0))</f>
        <v/>
      </c>
      <c r="I108" s="2522"/>
      <c r="J108" s="2523" t="str">
        <f ca="1">IF(ISBLANK(OFFSET($AP$2,H105,0)),"",(OFFSET($AQ$2,H105,0)+OFFSET($AU$2,H105,0))-(OFFSET($AW$2,H105,0)+OFFSET($BA$2,H105,0)))</f>
        <v/>
      </c>
      <c r="K108" s="2524"/>
      <c r="L108" s="2521" t="str">
        <f ca="1">IF(ISBLANK(OFFSET($AP$2,L105,0)),"",OFFSET($AQ$2,L105,0)+OFFSET($AU$2,L105,0))</f>
        <v/>
      </c>
      <c r="M108" s="2522"/>
      <c r="N108" s="2523" t="str">
        <f ca="1">IF(ISBLANK(OFFSET($AP$2,L105,0)),"",(OFFSET($AQ$2,L105,0)+OFFSET($AU$2,L105,0))-(OFFSET($AW$2,L105,0)+OFFSET($BA$2,L105,0)))</f>
        <v/>
      </c>
      <c r="O108" s="2524"/>
      <c r="P108" s="2521" t="str">
        <f ca="1">IF(ISBLANK(OFFSET($AP$2,P105,0)),"",OFFSET($AQ$2,P105,0)+OFFSET($AU$2,P105,0))</f>
        <v/>
      </c>
      <c r="Q108" s="2522"/>
      <c r="R108" s="2523" t="str">
        <f ca="1">IF(ISBLANK(OFFSET($AP$2,P105,0)),"",(OFFSET($AQ$2,P105,0)+OFFSET($AU$2,P105,0))-(OFFSET($AW$2,P105,0)+OFFSET($BA$2,P105,0)))</f>
        <v/>
      </c>
      <c r="S108" s="2524"/>
      <c r="T108" s="2521" t="str">
        <f ca="1">IF(ISBLANK(OFFSET($AP$2,T105,0)),"",OFFSET($AQ$2,T105,0)+OFFSET($AU$2,T105,0))</f>
        <v/>
      </c>
      <c r="U108" s="2522"/>
      <c r="V108" s="2523" t="str">
        <f ca="1">IF(ISBLANK(OFFSET($AP$2,T105,0)),"",(OFFSET($AQ$2,T105,0)+OFFSET($AU$2,T105,0))-(OFFSET($AW$2,T105,0)+OFFSET($BA$2,T105,0)))</f>
        <v/>
      </c>
      <c r="W108" s="2524"/>
      <c r="X108" s="2521" t="str">
        <f ca="1">IF(ISBLANK(OFFSET($AP$2,X105,0)),"",OFFSET($AQ$2,X105,0)+OFFSET($AU$2,X105,0))</f>
        <v/>
      </c>
      <c r="Y108" s="2522"/>
      <c r="Z108" s="2523" t="str">
        <f ca="1">IF(ISBLANK(OFFSET($AP$2,X105,0)),"",(OFFSET($AQ$2,X105,0)+OFFSET($AU$2,X105,0))-(OFFSET($AW$2,X105,0)+OFFSET($BA$2,X105,0)))</f>
        <v/>
      </c>
      <c r="AA108" s="2524"/>
      <c r="AB108" s="57"/>
    </row>
    <row r="109" spans="1:54" ht="12.95" hidden="1" customHeight="1" x14ac:dyDescent="0.2">
      <c r="A109" s="57"/>
      <c r="B109" s="2525" t="s">
        <v>437</v>
      </c>
      <c r="C109" s="2526"/>
      <c r="D109" s="2521" t="str">
        <f ca="1">IF(ISBLANK(OFFSET($AP$2,D105,0)),"",OFFSET($AR$2,D105,0))</f>
        <v/>
      </c>
      <c r="E109" s="2522"/>
      <c r="F109" s="2523" t="str">
        <f ca="1">IF(ISBLANK(OFFSET($AP$2,D105,0)),"",OFFSET($AR$2,D105,0)-OFFSET($AX$2,D105,0))</f>
        <v/>
      </c>
      <c r="G109" s="2524"/>
      <c r="H109" s="2521" t="str">
        <f ca="1">IF(ISBLANK(OFFSET($AP$2,H105,0)),"",OFFSET($AR$2,H105,0))</f>
        <v/>
      </c>
      <c r="I109" s="2522"/>
      <c r="J109" s="2523" t="str">
        <f ca="1">IF(ISBLANK(OFFSET($AP$2,H105,0)),"",OFFSET($AR$2,H105,0)-OFFSET($AX$2,H105,0))</f>
        <v/>
      </c>
      <c r="K109" s="2524"/>
      <c r="L109" s="2521" t="str">
        <f ca="1">IF(ISBLANK(OFFSET($AP$2,L105,0)),"",OFFSET($AR$2,L105,0))</f>
        <v/>
      </c>
      <c r="M109" s="2522"/>
      <c r="N109" s="2523" t="str">
        <f ca="1">IF(ISBLANK(OFFSET($AP$2,L105,0)),"",OFFSET($AR$2,L105,0)-OFFSET($AX$2,L105,0))</f>
        <v/>
      </c>
      <c r="O109" s="2524"/>
      <c r="P109" s="2521" t="str">
        <f ca="1">IF(ISBLANK(OFFSET($AP$2,P105,0)),"",OFFSET($AR$2,P105,0))</f>
        <v/>
      </c>
      <c r="Q109" s="2522"/>
      <c r="R109" s="2523" t="str">
        <f ca="1">IF(ISBLANK(OFFSET($AP$2,P105,0)),"",OFFSET($AR$2,P105,0)-OFFSET($AX$2,P105,0))</f>
        <v/>
      </c>
      <c r="S109" s="2524"/>
      <c r="T109" s="2521" t="str">
        <f ca="1">IF(ISBLANK(OFFSET($AP$2,T105,0)),"",OFFSET($AR$2,T105,0))</f>
        <v/>
      </c>
      <c r="U109" s="2522"/>
      <c r="V109" s="2523" t="str">
        <f ca="1">IF(ISBLANK(OFFSET($AP$2,T105,0)),"",OFFSET($AR$2,T105,0)-OFFSET($AX$2,T105,0))</f>
        <v/>
      </c>
      <c r="W109" s="2524"/>
      <c r="X109" s="2521" t="str">
        <f ca="1">IF(ISBLANK(OFFSET($AP$2,X105,0)),"",OFFSET($AR$2,X105,0))</f>
        <v/>
      </c>
      <c r="Y109" s="2522"/>
      <c r="Z109" s="2523" t="str">
        <f ca="1">IF(ISBLANK(OFFSET($AP$2,X105,0)),"",OFFSET($AR$2,X105,0)-OFFSET($AX$2,X105,0))</f>
        <v/>
      </c>
      <c r="AA109" s="2524"/>
      <c r="AB109" s="57"/>
    </row>
    <row r="110" spans="1:54" ht="12.95" hidden="1" customHeight="1" x14ac:dyDescent="0.2">
      <c r="A110" s="57"/>
      <c r="B110" s="2525" t="s">
        <v>438</v>
      </c>
      <c r="C110" s="2526"/>
      <c r="D110" s="2521" t="str">
        <f ca="1">IF(ISBLANK(OFFSET($AP$2,D105,0)),"",OFFSET($AS$2,D105,0))</f>
        <v/>
      </c>
      <c r="E110" s="2522"/>
      <c r="F110" s="2523" t="str">
        <f ca="1">IF(ISBLANK(OFFSET($AP$2,D105,0)),"",OFFSET($AS$2,D105,0)-OFFSET($AY$2,D105,0))</f>
        <v/>
      </c>
      <c r="G110" s="2524"/>
      <c r="H110" s="2521" t="str">
        <f ca="1">IF(ISBLANK(OFFSET($AP$2,H105,0)),"",OFFSET($AS$2,H105,0))</f>
        <v/>
      </c>
      <c r="I110" s="2522"/>
      <c r="J110" s="2523" t="str">
        <f ca="1">IF(ISBLANK(OFFSET($AP$2,H105,0)),"",OFFSET($AS$2,H105,0)-OFFSET($AY$2,H105,0))</f>
        <v/>
      </c>
      <c r="K110" s="2524"/>
      <c r="L110" s="2521" t="str">
        <f ca="1">IF(ISBLANK(OFFSET($AP$2,L105,0)),"",OFFSET($AS$2,L105,0))</f>
        <v/>
      </c>
      <c r="M110" s="2522"/>
      <c r="N110" s="2523" t="str">
        <f ca="1">IF(ISBLANK(OFFSET($AP$2,L105,0)),"",OFFSET($AS$2,L105,0)-OFFSET($AY$2,L105,0))</f>
        <v/>
      </c>
      <c r="O110" s="2524"/>
      <c r="P110" s="2521" t="str">
        <f ca="1">IF(ISBLANK(OFFSET($AP$2,P105,0)),"",OFFSET($AS$2,P105,0))</f>
        <v/>
      </c>
      <c r="Q110" s="2522"/>
      <c r="R110" s="2523" t="str">
        <f ca="1">IF(ISBLANK(OFFSET($AP$2,P105,0)),"",OFFSET($AS$2,P105,0)-OFFSET($AY$2,P105,0))</f>
        <v/>
      </c>
      <c r="S110" s="2524"/>
      <c r="T110" s="2521" t="str">
        <f ca="1">IF(ISBLANK(OFFSET($AP$2,T105,0)),"",OFFSET($AS$2,T105,0))</f>
        <v/>
      </c>
      <c r="U110" s="2522"/>
      <c r="V110" s="2523" t="str">
        <f ca="1">IF(ISBLANK(OFFSET($AP$2,T105,0)),"",OFFSET($AS$2,T105,0)-OFFSET($AY$2,T105,0))</f>
        <v/>
      </c>
      <c r="W110" s="2524"/>
      <c r="X110" s="2521" t="str">
        <f ca="1">IF(ISBLANK(OFFSET($AP$2,X105,0)),"",OFFSET($AS$2,X105,0))</f>
        <v/>
      </c>
      <c r="Y110" s="2522"/>
      <c r="Z110" s="2523" t="str">
        <f ca="1">IF(ISBLANK(OFFSET($AP$2,X105,0)),"",OFFSET($AS$2,X105,0)-OFFSET($AY$2,X105,0))</f>
        <v/>
      </c>
      <c r="AA110" s="2524"/>
      <c r="AB110" s="57"/>
    </row>
    <row r="111" spans="1:54" ht="12.95" hidden="1" customHeight="1" x14ac:dyDescent="0.2">
      <c r="A111" s="57"/>
      <c r="B111" s="2525" t="s">
        <v>75</v>
      </c>
      <c r="C111" s="2526"/>
      <c r="D111" s="2521" t="str">
        <f ca="1">IF(ISBLANK(OFFSET($AP$2,D105,0)),"",OFFSET($AT$2,D105,0))</f>
        <v/>
      </c>
      <c r="E111" s="2522"/>
      <c r="F111" s="2523" t="str">
        <f ca="1">IF(ISBLANK(OFFSET($AP$2,D105,0)),"",OFFSET($AT$2,D105,0)-OFFSET($AZ$2,D105,0))</f>
        <v/>
      </c>
      <c r="G111" s="2524"/>
      <c r="H111" s="2521" t="str">
        <f ca="1">IF(ISBLANK(OFFSET($AP$2,H105,0)),"",OFFSET($AT$2,H105,0))</f>
        <v/>
      </c>
      <c r="I111" s="2522"/>
      <c r="J111" s="2523" t="str">
        <f ca="1">IF(ISBLANK(OFFSET($AP$2,H105,0)),"",OFFSET($AT$2,H105,0)-OFFSET($AZ$2,H105,0))</f>
        <v/>
      </c>
      <c r="K111" s="2524"/>
      <c r="L111" s="2521" t="str">
        <f ca="1">IF(ISBLANK(OFFSET($AP$2,L105,0)),"",OFFSET($AT$2,L105,0))</f>
        <v/>
      </c>
      <c r="M111" s="2522"/>
      <c r="N111" s="2523" t="str">
        <f ca="1">IF(ISBLANK(OFFSET($AP$2,L105,0)),"",OFFSET($AT$2,L105,0)-OFFSET($AZ$2,L105,0))</f>
        <v/>
      </c>
      <c r="O111" s="2524"/>
      <c r="P111" s="2521" t="str">
        <f ca="1">IF(ISBLANK(OFFSET($AP$2,P105,0)),"",OFFSET($AT$2,P105,0))</f>
        <v/>
      </c>
      <c r="Q111" s="2522"/>
      <c r="R111" s="2523" t="str">
        <f ca="1">IF(ISBLANK(OFFSET($AP$2,P105,0)),"",OFFSET($AT$2,P105,0)-OFFSET($AZ$2,P105,0))</f>
        <v/>
      </c>
      <c r="S111" s="2524"/>
      <c r="T111" s="2521" t="str">
        <f ca="1">IF(ISBLANK(OFFSET($AP$2,T105,0)),"",OFFSET($AT$2,T105,0))</f>
        <v/>
      </c>
      <c r="U111" s="2522"/>
      <c r="V111" s="2523" t="str">
        <f ca="1">IF(ISBLANK(OFFSET($AP$2,T105,0)),"",OFFSET($AT$2,T105,0)-OFFSET($AZ$2,T105,0))</f>
        <v/>
      </c>
      <c r="W111" s="2524"/>
      <c r="X111" s="2521" t="str">
        <f ca="1">IF(ISBLANK(OFFSET($AP$2,X105,0)),"",OFFSET($AT$2,X105,0))</f>
        <v/>
      </c>
      <c r="Y111" s="2522"/>
      <c r="Z111" s="2523" t="str">
        <f ca="1">IF(ISBLANK(OFFSET($AP$2,X105,0)),"",OFFSET($AT$2,X105,0)-OFFSET($AZ$2,X105,0))</f>
        <v/>
      </c>
      <c r="AA111" s="2524"/>
      <c r="AB111" s="57"/>
    </row>
    <row r="112" spans="1:54" ht="12.95" hidden="1" customHeight="1" thickBot="1" x14ac:dyDescent="0.25">
      <c r="A112" s="57"/>
      <c r="B112" s="2527" t="s">
        <v>439</v>
      </c>
      <c r="C112" s="2528"/>
      <c r="D112" s="2529" t="str">
        <f ca="1">IF(ISBLANK(OFFSET($AP$2,D105,0)),"",OFFSET($AV$2,D105,0))</f>
        <v/>
      </c>
      <c r="E112" s="2530"/>
      <c r="F112" s="2531" t="str">
        <f ca="1">IF(ISBLANK(OFFSET($AP$2,D105,0)),"",OFFSET($AV$2,D105,0)-OFFSET($BB$2,D105,0))</f>
        <v/>
      </c>
      <c r="G112" s="2532"/>
      <c r="H112" s="2529" t="str">
        <f ca="1">IF(ISBLANK(OFFSET($AP$2,H105,0)),"",OFFSET($AV$2,H105,0))</f>
        <v/>
      </c>
      <c r="I112" s="2530"/>
      <c r="J112" s="2531" t="str">
        <f ca="1">IF(ISBLANK(OFFSET($AP$2,H105,0)),"",OFFSET($AV$2,H105,0)-OFFSET($BB$2,H105,0))</f>
        <v/>
      </c>
      <c r="K112" s="2532"/>
      <c r="L112" s="2529" t="str">
        <f ca="1">IF(ISBLANK(OFFSET($AP$2,L105,0)),"",OFFSET($AV$2,L105,0))</f>
        <v/>
      </c>
      <c r="M112" s="2530"/>
      <c r="N112" s="2531" t="str">
        <f ca="1">IF(ISBLANK(OFFSET($AP$2,L105,0)),"",OFFSET($AV$2,L105,0)-OFFSET($BB$2,L105,0))</f>
        <v/>
      </c>
      <c r="O112" s="2532"/>
      <c r="P112" s="2529" t="str">
        <f ca="1">IF(ISBLANK(OFFSET($AP$2,P105,0)),"",OFFSET($AV$2,P105,0))</f>
        <v/>
      </c>
      <c r="Q112" s="2530"/>
      <c r="R112" s="2531" t="str">
        <f ca="1">IF(ISBLANK(OFFSET($AP$2,P105,0)),"",OFFSET($AV$2,P105,0)-OFFSET($BB$2,P105,0))</f>
        <v/>
      </c>
      <c r="S112" s="2532"/>
      <c r="T112" s="2529" t="str">
        <f ca="1">IF(ISBLANK(OFFSET($AP$2,T105,0)),"",OFFSET($AV$2,T105,0))</f>
        <v/>
      </c>
      <c r="U112" s="2530"/>
      <c r="V112" s="2531" t="str">
        <f ca="1">IF(ISBLANK(OFFSET($AP$2,T105,0)),"",OFFSET($AV$2,T105,0)-OFFSET($BB$2,T105,0))</f>
        <v/>
      </c>
      <c r="W112" s="2532"/>
      <c r="X112" s="2529" t="str">
        <f ca="1">IF(ISBLANK(OFFSET($AP$2,X105,0)),"",OFFSET($AV$2,X105,0))</f>
        <v/>
      </c>
      <c r="Y112" s="2530"/>
      <c r="Z112" s="2531" t="str">
        <f ca="1">IF(ISBLANK(OFFSET($AP$2,X105,0)),"",OFFSET($AV$2,X105,0)-OFFSET($BB$2,X105,0))</f>
        <v/>
      </c>
      <c r="AA112" s="2532"/>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45" t="str">
        <f ca="1">X1</f>
        <v>775-428-0600</v>
      </c>
      <c r="Y113" s="2545"/>
      <c r="Z113" s="2545"/>
      <c r="AA113" s="2545"/>
      <c r="AB113" s="2545"/>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45" t="str">
        <f ca="1">X2</f>
        <v>775-867-2140</v>
      </c>
      <c r="Y114" s="2545"/>
      <c r="Z114" s="2545"/>
      <c r="AA114" s="2545"/>
      <c r="AB114" s="2545"/>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45" t="str">
        <f ca="1">X3</f>
        <v>775-867-2169</v>
      </c>
      <c r="Y115" s="2545"/>
      <c r="Z115" s="2545"/>
      <c r="AA115" s="2545"/>
      <c r="AB115" s="2545"/>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45" t="str">
        <f ca="1">X4</f>
        <v>775-867-2060</v>
      </c>
      <c r="Y116" s="2545"/>
      <c r="Z116" s="2545"/>
      <c r="AA116" s="2545"/>
      <c r="AB116" s="2545"/>
    </row>
    <row r="117" spans="1:28" ht="12.95" hidden="1" customHeight="1" x14ac:dyDescent="0.2">
      <c r="A117" s="1803" t="str">
        <f ca="1">A5</f>
        <v>8200 Woolery Way | Fallon, NV 89406 | www.newmill.com</v>
      </c>
      <c r="B117" s="1803"/>
      <c r="C117" s="1803"/>
      <c r="D117" s="1803"/>
      <c r="E117" s="1803"/>
      <c r="F117" s="1803"/>
      <c r="G117" s="1803"/>
      <c r="H117" s="1803"/>
      <c r="I117" s="1803"/>
      <c r="J117" s="1803"/>
      <c r="K117" s="1803"/>
      <c r="L117" s="1803"/>
      <c r="M117" s="1803"/>
      <c r="N117" s="1803"/>
      <c r="O117" s="1803"/>
      <c r="P117"/>
      <c r="Q117"/>
      <c r="R117" s="39"/>
      <c r="S117"/>
      <c r="T117"/>
      <c r="U117"/>
      <c r="V117"/>
      <c r="W117"/>
      <c r="X117" s="50" t="s">
        <v>421</v>
      </c>
      <c r="Y117" s="2550">
        <f>Y5</f>
        <v>44910.429548611108</v>
      </c>
      <c r="Z117" s="2551"/>
      <c r="AA117" s="2551"/>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52"/>
      <c r="Z118" s="2553"/>
      <c r="AA118" s="2553"/>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54"/>
      <c r="Z119" s="2214"/>
      <c r="AA119" s="221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47"/>
      <c r="Z120" s="2548"/>
      <c r="AA120" s="2548"/>
      <c r="AB120"/>
    </row>
    <row r="121" spans="1:28" ht="12.95" hidden="1" customHeight="1" x14ac:dyDescent="0.2">
      <c r="A121" s="2541" t="s">
        <v>1</v>
      </c>
      <c r="B121" s="2253"/>
      <c r="C121" s="2253"/>
      <c r="D121" s="2542" t="str">
        <f>D9</f>
        <v>SUNCAP CHEYENNE&amp;COMMERCE BLDG A&amp;B PP</v>
      </c>
      <c r="E121" s="2542"/>
      <c r="F121" s="2542"/>
      <c r="G121" s="2542"/>
      <c r="H121" s="2542"/>
      <c r="I121" s="2542"/>
      <c r="J121" s="2542"/>
      <c r="K121" s="2542"/>
      <c r="L121" s="2542"/>
      <c r="M121" s="2542"/>
      <c r="N121" s="2542"/>
      <c r="O121" s="2542"/>
      <c r="P121" s="2543"/>
      <c r="Q121" s="96"/>
      <c r="R121" s="20" t="s">
        <v>2</v>
      </c>
      <c r="S121" s="2549" t="str">
        <f>S9</f>
        <v>9122-0050</v>
      </c>
      <c r="T121" s="2253"/>
      <c r="U121" s="2253"/>
      <c r="V121" s="2253"/>
      <c r="W121" s="2253"/>
      <c r="X121" s="96"/>
      <c r="Y121" s="96"/>
      <c r="Z121" s="96"/>
      <c r="AA121" s="96"/>
      <c r="AB121" s="97"/>
    </row>
    <row r="122" spans="1:28" ht="12.95" hidden="1" customHeight="1" x14ac:dyDescent="0.2">
      <c r="A122" s="2541" t="s">
        <v>3</v>
      </c>
      <c r="B122" s="2253"/>
      <c r="C122" s="2253"/>
      <c r="D122" s="2542" t="str">
        <f>D10</f>
        <v>LAS VEGAS, NV</v>
      </c>
      <c r="E122" s="2542"/>
      <c r="F122" s="2542"/>
      <c r="G122" s="2542"/>
      <c r="H122" s="2542"/>
      <c r="I122" s="2542"/>
      <c r="J122" s="2542"/>
      <c r="K122" s="2542"/>
      <c r="L122" s="2542"/>
      <c r="M122" s="2542"/>
      <c r="N122" s="2542"/>
      <c r="O122" s="2542"/>
      <c r="P122" s="2543"/>
      <c r="Q122" s="96"/>
      <c r="R122" s="20" t="s">
        <v>428</v>
      </c>
      <c r="S122" s="2544" t="str">
        <f>S10</f>
        <v>SA</v>
      </c>
      <c r="T122" s="2253"/>
      <c r="U122" s="96"/>
      <c r="V122" s="98"/>
      <c r="W122" s="20" t="s">
        <v>429</v>
      </c>
      <c r="X122" s="2546" t="str">
        <f>X10</f>
        <v>NR</v>
      </c>
      <c r="Y122" s="2546"/>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33" t="str">
        <f ca="1">IF(ISBLANK(OFFSET($AP$2,D123,0)),"",CONCATENATE("Seq. ",OFFSET($AP$2,D123,0)))</f>
        <v/>
      </c>
      <c r="E124" s="2534"/>
      <c r="F124" s="2534"/>
      <c r="G124" s="2535"/>
      <c r="H124" s="2533" t="str">
        <f ca="1">IF(ISBLANK(OFFSET($AP$2,H123,0)),"",CONCATENATE("Seq. ",OFFSET($AP$2,H123,0)))</f>
        <v/>
      </c>
      <c r="I124" s="2534"/>
      <c r="J124" s="2534"/>
      <c r="K124" s="2535"/>
      <c r="L124" s="2533" t="str">
        <f ca="1">IF(ISBLANK(OFFSET($AP$2,L123,0)),"",CONCATENATE("Seq. ",OFFSET($AP$2,L123,0)))</f>
        <v/>
      </c>
      <c r="M124" s="2534"/>
      <c r="N124" s="2534"/>
      <c r="O124" s="2535"/>
      <c r="P124" s="2533" t="str">
        <f ca="1">IF(ISBLANK(OFFSET($AP$2,P123,0)),"",CONCATENATE("Seq. ",OFFSET($AP$2,P123,0)))</f>
        <v/>
      </c>
      <c r="Q124" s="2534"/>
      <c r="R124" s="2534"/>
      <c r="S124" s="2535"/>
      <c r="T124" s="2533" t="str">
        <f ca="1">IF(ISBLANK(OFFSET($AP$2,T123,0)),"",CONCATENATE("Seq. ",OFFSET($AP$2,T123,0)))</f>
        <v/>
      </c>
      <c r="U124" s="2534"/>
      <c r="V124" s="2534"/>
      <c r="W124" s="2535"/>
      <c r="X124" s="2533" t="str">
        <f ca="1">IF(ISBLANK(OFFSET($AP$2,X123,0)),"",CONCATENATE("Seq. ",OFFSET($AP$2,X123,0)))</f>
        <v/>
      </c>
      <c r="Y124" s="2534"/>
      <c r="Z124" s="2534"/>
      <c r="AA124" s="2535"/>
      <c r="AB124" s="57"/>
    </row>
    <row r="125" spans="1:28" ht="12.95" hidden="1" customHeight="1" thickBot="1" x14ac:dyDescent="0.25">
      <c r="A125" s="57"/>
      <c r="B125" s="41"/>
      <c r="C125" s="42"/>
      <c r="D125" s="2536" t="s">
        <v>440</v>
      </c>
      <c r="E125" s="2537"/>
      <c r="F125" s="2537" t="s">
        <v>441</v>
      </c>
      <c r="G125" s="2538"/>
      <c r="H125" s="2536" t="s">
        <v>440</v>
      </c>
      <c r="I125" s="2537"/>
      <c r="J125" s="2537" t="s">
        <v>441</v>
      </c>
      <c r="K125" s="2538"/>
      <c r="L125" s="2536" t="s">
        <v>440</v>
      </c>
      <c r="M125" s="2537"/>
      <c r="N125" s="2537" t="s">
        <v>441</v>
      </c>
      <c r="O125" s="2538"/>
      <c r="P125" s="2536" t="s">
        <v>440</v>
      </c>
      <c r="Q125" s="2537"/>
      <c r="R125" s="2537" t="s">
        <v>441</v>
      </c>
      <c r="S125" s="2538"/>
      <c r="T125" s="2536" t="s">
        <v>440</v>
      </c>
      <c r="U125" s="2537"/>
      <c r="V125" s="2537" t="s">
        <v>441</v>
      </c>
      <c r="W125" s="2538"/>
      <c r="X125" s="2536" t="s">
        <v>440</v>
      </c>
      <c r="Y125" s="2537"/>
      <c r="Z125" s="2537" t="s">
        <v>441</v>
      </c>
      <c r="AA125" s="2538"/>
      <c r="AB125" s="57"/>
    </row>
    <row r="126" spans="1:28" ht="12.95" hidden="1" customHeight="1" x14ac:dyDescent="0.2">
      <c r="A126" s="57"/>
      <c r="B126" s="2539" t="s">
        <v>73</v>
      </c>
      <c r="C126" s="2540"/>
      <c r="D126" s="2521" t="str">
        <f ca="1">IF(ISBLANK(OFFSET($AP$2,D123,0)),"",OFFSET($AQ$2,D123,0)+OFFSET($AU$2,D123,0))</f>
        <v/>
      </c>
      <c r="E126" s="2522"/>
      <c r="F126" s="2523" t="str">
        <f ca="1">IF(ISBLANK(OFFSET($AP$2,D123,0)),"",(OFFSET($AQ$2,D123,0)+OFFSET($AU$2,D123,0))-(OFFSET($AW$2,D123,0)+OFFSET($BA$2,D123,0)))</f>
        <v/>
      </c>
      <c r="G126" s="2524"/>
      <c r="H126" s="2521" t="str">
        <f ca="1">IF(ISBLANK(OFFSET($AP$2,H123,0)),"",OFFSET($AQ$2,H123,0)+OFFSET($AU$2,H123,0))</f>
        <v/>
      </c>
      <c r="I126" s="2522"/>
      <c r="J126" s="2523" t="str">
        <f ca="1">IF(ISBLANK(OFFSET($AP$2,H123,0)),"",(OFFSET($AQ$2,H123,0)+OFFSET($AU$2,H123,0))-(OFFSET($AW$2,H123,0)+OFFSET($BA$2,H123,0)))</f>
        <v/>
      </c>
      <c r="K126" s="2524"/>
      <c r="L126" s="2521" t="str">
        <f ca="1">IF(ISBLANK(OFFSET($AP$2,L123,0)),"",OFFSET($AQ$2,L123,0)+OFFSET($AU$2,L123,0))</f>
        <v/>
      </c>
      <c r="M126" s="2522"/>
      <c r="N126" s="2523" t="str">
        <f ca="1">IF(ISBLANK(OFFSET($AP$2,L123,0)),"",(OFFSET($AQ$2,L123,0)+OFFSET($AU$2,L123,0))-(OFFSET($AW$2,L123,0)+OFFSET($BA$2,L123,0)))</f>
        <v/>
      </c>
      <c r="O126" s="2524"/>
      <c r="P126" s="2521" t="str">
        <f ca="1">IF(ISBLANK(OFFSET($AP$2,P123,0)),"",OFFSET($AQ$2,P123,0)+OFFSET($AU$2,P123,0))</f>
        <v/>
      </c>
      <c r="Q126" s="2522"/>
      <c r="R126" s="2523" t="str">
        <f ca="1">IF(ISBLANK(OFFSET($AP$2,P123,0)),"",(OFFSET($AQ$2,P123,0)+OFFSET($AU$2,P123,0))-(OFFSET($AW$2,P123,0)+OFFSET($BA$2,P123,0)))</f>
        <v/>
      </c>
      <c r="S126" s="2524"/>
      <c r="T126" s="2521" t="str">
        <f ca="1">IF(ISBLANK(OFFSET($AP$2,T123,0)),"",OFFSET($AQ$2,T123,0)+OFFSET($AU$2,T123,0))</f>
        <v/>
      </c>
      <c r="U126" s="2522"/>
      <c r="V126" s="2523" t="str">
        <f ca="1">IF(ISBLANK(OFFSET($AP$2,T123,0)),"",(OFFSET($AQ$2,T123,0)+OFFSET($AU$2,T123,0))-(OFFSET($AW$2,T123,0)+OFFSET($BA$2,T123,0)))</f>
        <v/>
      </c>
      <c r="W126" s="2524"/>
      <c r="X126" s="2521" t="str">
        <f ca="1">IF(ISBLANK(OFFSET($AP$2,X123,0)),"",OFFSET($AQ$2,X123,0)+OFFSET($AU$2,X123,0))</f>
        <v/>
      </c>
      <c r="Y126" s="2522"/>
      <c r="Z126" s="2523" t="str">
        <f ca="1">IF(ISBLANK(OFFSET($AP$2,X123,0)),"",(OFFSET($AQ$2,X123,0)+OFFSET($AU$2,X123,0))-(OFFSET($AW$2,X123,0)+OFFSET($BA$2,X123,0)))</f>
        <v/>
      </c>
      <c r="AA126" s="2524"/>
      <c r="AB126" s="57"/>
    </row>
    <row r="127" spans="1:28" ht="12.95" hidden="1" customHeight="1" x14ac:dyDescent="0.2">
      <c r="A127" s="57"/>
      <c r="B127" s="2525" t="s">
        <v>437</v>
      </c>
      <c r="C127" s="2526"/>
      <c r="D127" s="2521" t="str">
        <f ca="1">IF(ISBLANK(OFFSET($AP$2,D123,0)),"",OFFSET($AR$2,D123,0))</f>
        <v/>
      </c>
      <c r="E127" s="2522"/>
      <c r="F127" s="2523" t="str">
        <f ca="1">IF(ISBLANK(OFFSET($AP$2,D123,0)),"",OFFSET($AR$2,D123,0)-OFFSET($AX$2,D123,0))</f>
        <v/>
      </c>
      <c r="G127" s="2524"/>
      <c r="H127" s="2521" t="str">
        <f ca="1">IF(ISBLANK(OFFSET($AP$2,H123,0)),"",OFFSET($AR$2,H123,0))</f>
        <v/>
      </c>
      <c r="I127" s="2522"/>
      <c r="J127" s="2523" t="str">
        <f ca="1">IF(ISBLANK(OFFSET($AP$2,H123,0)),"",OFFSET($AR$2,H123,0)-OFFSET($AX$2,H123,0))</f>
        <v/>
      </c>
      <c r="K127" s="2524"/>
      <c r="L127" s="2521" t="str">
        <f ca="1">IF(ISBLANK(OFFSET($AP$2,L123,0)),"",OFFSET($AR$2,L123,0))</f>
        <v/>
      </c>
      <c r="M127" s="2522"/>
      <c r="N127" s="2523" t="str">
        <f ca="1">IF(ISBLANK(OFFSET($AP$2,L123,0)),"",OFFSET($AR$2,L123,0)-OFFSET($AX$2,L123,0))</f>
        <v/>
      </c>
      <c r="O127" s="2524"/>
      <c r="P127" s="2521" t="str">
        <f ca="1">IF(ISBLANK(OFFSET($AP$2,P123,0)),"",OFFSET($AR$2,P123,0))</f>
        <v/>
      </c>
      <c r="Q127" s="2522"/>
      <c r="R127" s="2523" t="str">
        <f ca="1">IF(ISBLANK(OFFSET($AP$2,P123,0)),"",OFFSET($AR$2,P123,0)-OFFSET($AX$2,P123,0))</f>
        <v/>
      </c>
      <c r="S127" s="2524"/>
      <c r="T127" s="2521" t="str">
        <f ca="1">IF(ISBLANK(OFFSET($AP$2,T123,0)),"",OFFSET($AR$2,T123,0))</f>
        <v/>
      </c>
      <c r="U127" s="2522"/>
      <c r="V127" s="2523" t="str">
        <f ca="1">IF(ISBLANK(OFFSET($AP$2,T123,0)),"",OFFSET($AR$2,T123,0)-OFFSET($AX$2,T123,0))</f>
        <v/>
      </c>
      <c r="W127" s="2524"/>
      <c r="X127" s="2521" t="str">
        <f ca="1">IF(ISBLANK(OFFSET($AP$2,X123,0)),"",OFFSET($AR$2,X123,0))</f>
        <v/>
      </c>
      <c r="Y127" s="2522"/>
      <c r="Z127" s="2523" t="str">
        <f ca="1">IF(ISBLANK(OFFSET($AP$2,X123,0)),"",OFFSET($AR$2,X123,0)-OFFSET($AX$2,X123,0))</f>
        <v/>
      </c>
      <c r="AA127" s="2524"/>
      <c r="AB127" s="57"/>
    </row>
    <row r="128" spans="1:28" ht="12.95" hidden="1" customHeight="1" x14ac:dyDescent="0.2">
      <c r="A128" s="57"/>
      <c r="B128" s="2525" t="s">
        <v>438</v>
      </c>
      <c r="C128" s="2526"/>
      <c r="D128" s="2521" t="str">
        <f ca="1">IF(ISBLANK(OFFSET($AP$2,D123,0)),"",OFFSET($AS$2,D123,0))</f>
        <v/>
      </c>
      <c r="E128" s="2522"/>
      <c r="F128" s="2523" t="str">
        <f ca="1">IF(ISBLANK(OFFSET($AP$2,D123,0)),"",OFFSET($AS$2,D123,0)-OFFSET($AY$2,D123,0))</f>
        <v/>
      </c>
      <c r="G128" s="2524"/>
      <c r="H128" s="2521" t="str">
        <f ca="1">IF(ISBLANK(OFFSET($AP$2,H123,0)),"",OFFSET($AS$2,H123,0))</f>
        <v/>
      </c>
      <c r="I128" s="2522"/>
      <c r="J128" s="2523" t="str">
        <f ca="1">IF(ISBLANK(OFFSET($AP$2,H123,0)),"",OFFSET($AS$2,H123,0)-OFFSET($AY$2,H123,0))</f>
        <v/>
      </c>
      <c r="K128" s="2524"/>
      <c r="L128" s="2521" t="str">
        <f ca="1">IF(ISBLANK(OFFSET($AP$2,L123,0)),"",OFFSET($AS$2,L123,0))</f>
        <v/>
      </c>
      <c r="M128" s="2522"/>
      <c r="N128" s="2523" t="str">
        <f ca="1">IF(ISBLANK(OFFSET($AP$2,L123,0)),"",OFFSET($AS$2,L123,0)-OFFSET($AY$2,L123,0))</f>
        <v/>
      </c>
      <c r="O128" s="2524"/>
      <c r="P128" s="2521" t="str">
        <f ca="1">IF(ISBLANK(OFFSET($AP$2,P123,0)),"",OFFSET($AS$2,P123,0))</f>
        <v/>
      </c>
      <c r="Q128" s="2522"/>
      <c r="R128" s="2523" t="str">
        <f ca="1">IF(ISBLANK(OFFSET($AP$2,P123,0)),"",OFFSET($AS$2,P123,0)-OFFSET($AY$2,P123,0))</f>
        <v/>
      </c>
      <c r="S128" s="2524"/>
      <c r="T128" s="2521" t="str">
        <f ca="1">IF(ISBLANK(OFFSET($AP$2,T123,0)),"",OFFSET($AS$2,T123,0))</f>
        <v/>
      </c>
      <c r="U128" s="2522"/>
      <c r="V128" s="2523" t="str">
        <f ca="1">IF(ISBLANK(OFFSET($AP$2,T123,0)),"",OFFSET($AS$2,T123,0)-OFFSET($AY$2,T123,0))</f>
        <v/>
      </c>
      <c r="W128" s="2524"/>
      <c r="X128" s="2521" t="str">
        <f ca="1">IF(ISBLANK(OFFSET($AP$2,X123,0)),"",OFFSET($AS$2,X123,0))</f>
        <v/>
      </c>
      <c r="Y128" s="2522"/>
      <c r="Z128" s="2523" t="str">
        <f ca="1">IF(ISBLANK(OFFSET($AP$2,X123,0)),"",OFFSET($AS$2,X123,0)-OFFSET($AY$2,X123,0))</f>
        <v/>
      </c>
      <c r="AA128" s="2524"/>
      <c r="AB128" s="57"/>
    </row>
    <row r="129" spans="1:28" ht="12.95" hidden="1" customHeight="1" x14ac:dyDescent="0.2">
      <c r="A129" s="57"/>
      <c r="B129" s="2525" t="s">
        <v>75</v>
      </c>
      <c r="C129" s="2526"/>
      <c r="D129" s="2521" t="str">
        <f ca="1">IF(ISBLANK(OFFSET($AP$2,D123,0)),"",OFFSET($AT$2,D123,0))</f>
        <v/>
      </c>
      <c r="E129" s="2522"/>
      <c r="F129" s="2523" t="str">
        <f ca="1">IF(ISBLANK(OFFSET($AP$2,D123,0)),"",OFFSET($AT$2,D123,0)-OFFSET($AZ$2,D123,0))</f>
        <v/>
      </c>
      <c r="G129" s="2524"/>
      <c r="H129" s="2521" t="str">
        <f ca="1">IF(ISBLANK(OFFSET($AP$2,H123,0)),"",OFFSET($AT$2,H123,0))</f>
        <v/>
      </c>
      <c r="I129" s="2522"/>
      <c r="J129" s="2523" t="str">
        <f ca="1">IF(ISBLANK(OFFSET($AP$2,H123,0)),"",OFFSET($AT$2,H123,0)-OFFSET($AZ$2,H123,0))</f>
        <v/>
      </c>
      <c r="K129" s="2524"/>
      <c r="L129" s="2521" t="str">
        <f ca="1">IF(ISBLANK(OFFSET($AP$2,L123,0)),"",OFFSET($AT$2,L123,0))</f>
        <v/>
      </c>
      <c r="M129" s="2522"/>
      <c r="N129" s="2523" t="str">
        <f ca="1">IF(ISBLANK(OFFSET($AP$2,L123,0)),"",OFFSET($AT$2,L123,0)-OFFSET($AZ$2,L123,0))</f>
        <v/>
      </c>
      <c r="O129" s="2524"/>
      <c r="P129" s="2521" t="str">
        <f ca="1">IF(ISBLANK(OFFSET($AP$2,P123,0)),"",OFFSET($AT$2,P123,0))</f>
        <v/>
      </c>
      <c r="Q129" s="2522"/>
      <c r="R129" s="2523" t="str">
        <f ca="1">IF(ISBLANK(OFFSET($AP$2,P123,0)),"",OFFSET($AT$2,P123,0)-OFFSET($AZ$2,P123,0))</f>
        <v/>
      </c>
      <c r="S129" s="2524"/>
      <c r="T129" s="2521" t="str">
        <f ca="1">IF(ISBLANK(OFFSET($AP$2,T123,0)),"",OFFSET($AT$2,T123,0))</f>
        <v/>
      </c>
      <c r="U129" s="2522"/>
      <c r="V129" s="2523" t="str">
        <f ca="1">IF(ISBLANK(OFFSET($AP$2,T123,0)),"",OFFSET($AT$2,T123,0)-OFFSET($AZ$2,T123,0))</f>
        <v/>
      </c>
      <c r="W129" s="2524"/>
      <c r="X129" s="2521" t="str">
        <f ca="1">IF(ISBLANK(OFFSET($AP$2,X123,0)),"",OFFSET($AT$2,X123,0))</f>
        <v/>
      </c>
      <c r="Y129" s="2522"/>
      <c r="Z129" s="2523" t="str">
        <f ca="1">IF(ISBLANK(OFFSET($AP$2,X123,0)),"",OFFSET($AT$2,X123,0)-OFFSET($AZ$2,X123,0))</f>
        <v/>
      </c>
      <c r="AA129" s="2524"/>
      <c r="AB129" s="57"/>
    </row>
    <row r="130" spans="1:28" ht="12.95" hidden="1" customHeight="1" thickBot="1" x14ac:dyDescent="0.25">
      <c r="A130" s="57"/>
      <c r="B130" s="2527" t="s">
        <v>439</v>
      </c>
      <c r="C130" s="2528"/>
      <c r="D130" s="2529" t="str">
        <f ca="1">IF(ISBLANK(OFFSET($AP$2,D123,0)),"",OFFSET($AV$2,D123,0))</f>
        <v/>
      </c>
      <c r="E130" s="2530"/>
      <c r="F130" s="2531" t="str">
        <f ca="1">IF(ISBLANK(OFFSET($AP$2,D123,0)),"",OFFSET($AV$2,D123,0)-OFFSET($BB$2,D123,0))</f>
        <v/>
      </c>
      <c r="G130" s="2532"/>
      <c r="H130" s="2529" t="str">
        <f ca="1">IF(ISBLANK(OFFSET($AP$2,H123,0)),"",OFFSET($AV$2,H123,0))</f>
        <v/>
      </c>
      <c r="I130" s="2530"/>
      <c r="J130" s="2531" t="str">
        <f ca="1">IF(ISBLANK(OFFSET($AP$2,H123,0)),"",OFFSET($AV$2,H123,0)-OFFSET($BB$2,H123,0))</f>
        <v/>
      </c>
      <c r="K130" s="2532"/>
      <c r="L130" s="2529" t="str">
        <f ca="1">IF(ISBLANK(OFFSET($AP$2,L123,0)),"",OFFSET($AV$2,L123,0))</f>
        <v/>
      </c>
      <c r="M130" s="2530"/>
      <c r="N130" s="2531" t="str">
        <f ca="1">IF(ISBLANK(OFFSET($AP$2,L123,0)),"",OFFSET($AV$2,L123,0)-OFFSET($BB$2,L123,0))</f>
        <v/>
      </c>
      <c r="O130" s="2532"/>
      <c r="P130" s="2529" t="str">
        <f ca="1">IF(ISBLANK(OFFSET($AP$2,P123,0)),"",OFFSET($AV$2,P123,0))</f>
        <v/>
      </c>
      <c r="Q130" s="2530"/>
      <c r="R130" s="2531" t="str">
        <f ca="1">IF(ISBLANK(OFFSET($AP$2,P123,0)),"",OFFSET($AV$2,P123,0)-OFFSET($BB$2,P123,0))</f>
        <v/>
      </c>
      <c r="S130" s="2532"/>
      <c r="T130" s="2529" t="str">
        <f ca="1">IF(ISBLANK(OFFSET($AP$2,T123,0)),"",OFFSET($AV$2,T123,0))</f>
        <v/>
      </c>
      <c r="U130" s="2530"/>
      <c r="V130" s="2531" t="str">
        <f ca="1">IF(ISBLANK(OFFSET($AP$2,T123,0)),"",OFFSET($AV$2,T123,0)-OFFSET($BB$2,T123,0))</f>
        <v/>
      </c>
      <c r="W130" s="2532"/>
      <c r="X130" s="2529" t="str">
        <f ca="1">IF(ISBLANK(OFFSET($AP$2,X123,0)),"",OFFSET($AV$2,X123,0))</f>
        <v/>
      </c>
      <c r="Y130" s="2530"/>
      <c r="Z130" s="2531" t="str">
        <f ca="1">IF(ISBLANK(OFFSET($AP$2,X123,0)),"",OFFSET($AV$2,X123,0)-OFFSET($BB$2,X123,0))</f>
        <v/>
      </c>
      <c r="AA130" s="2532"/>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33" t="str">
        <f ca="1">IF(ISBLANK(OFFSET($AP$2,D131,0)),"",CONCATENATE("Seq. ",OFFSET($AP$2,D131,0)))</f>
        <v/>
      </c>
      <c r="E132" s="2534"/>
      <c r="F132" s="2534"/>
      <c r="G132" s="2535"/>
      <c r="H132" s="2533" t="str">
        <f ca="1">IF(ISBLANK(OFFSET($AP$2,H131,0)),"",CONCATENATE("Seq. ",OFFSET($AP$2,H131,0)))</f>
        <v/>
      </c>
      <c r="I132" s="2534"/>
      <c r="J132" s="2534"/>
      <c r="K132" s="2535"/>
      <c r="L132" s="2533" t="str">
        <f ca="1">IF(ISBLANK(OFFSET($AP$2,L131,0)),"",CONCATENATE("Seq. ",OFFSET($AP$2,L131,0)))</f>
        <v/>
      </c>
      <c r="M132" s="2534"/>
      <c r="N132" s="2534"/>
      <c r="O132" s="2535"/>
      <c r="P132" s="2533" t="str">
        <f ca="1">IF(ISBLANK(OFFSET($AP$2,P131,0)),"",CONCATENATE("Seq. ",OFFSET($AP$2,P131,0)))</f>
        <v/>
      </c>
      <c r="Q132" s="2534"/>
      <c r="R132" s="2534"/>
      <c r="S132" s="2535"/>
      <c r="T132" s="2533" t="str">
        <f ca="1">IF(ISBLANK(OFFSET($AP$2,T131,0)),"",CONCATENATE("Seq. ",OFFSET($AP$2,T131,0)))</f>
        <v/>
      </c>
      <c r="U132" s="2534"/>
      <c r="V132" s="2534"/>
      <c r="W132" s="2535"/>
      <c r="X132" s="2533" t="str">
        <f ca="1">IF(ISBLANK(OFFSET($AP$2,X131,0)),"",CONCATENATE("Seq. ",OFFSET($AP$2,X131,0)))</f>
        <v/>
      </c>
      <c r="Y132" s="2534"/>
      <c r="Z132" s="2534"/>
      <c r="AA132" s="2535"/>
      <c r="AB132" s="57"/>
    </row>
    <row r="133" spans="1:28" ht="12.95" hidden="1" customHeight="1" thickBot="1" x14ac:dyDescent="0.25">
      <c r="A133" s="57"/>
      <c r="B133" s="41"/>
      <c r="C133" s="42"/>
      <c r="D133" s="2536" t="s">
        <v>440</v>
      </c>
      <c r="E133" s="2537"/>
      <c r="F133" s="2537" t="s">
        <v>441</v>
      </c>
      <c r="G133" s="2538"/>
      <c r="H133" s="2536" t="s">
        <v>440</v>
      </c>
      <c r="I133" s="2537"/>
      <c r="J133" s="2537" t="s">
        <v>441</v>
      </c>
      <c r="K133" s="2538"/>
      <c r="L133" s="2536" t="s">
        <v>440</v>
      </c>
      <c r="M133" s="2537"/>
      <c r="N133" s="2537" t="s">
        <v>441</v>
      </c>
      <c r="O133" s="2538"/>
      <c r="P133" s="2536" t="s">
        <v>440</v>
      </c>
      <c r="Q133" s="2537"/>
      <c r="R133" s="2537" t="s">
        <v>441</v>
      </c>
      <c r="S133" s="2538"/>
      <c r="T133" s="2536" t="s">
        <v>440</v>
      </c>
      <c r="U133" s="2537"/>
      <c r="V133" s="2537" t="s">
        <v>441</v>
      </c>
      <c r="W133" s="2538"/>
      <c r="X133" s="2536" t="s">
        <v>440</v>
      </c>
      <c r="Y133" s="2537"/>
      <c r="Z133" s="2537" t="s">
        <v>441</v>
      </c>
      <c r="AA133" s="2538"/>
      <c r="AB133" s="57"/>
    </row>
    <row r="134" spans="1:28" ht="12.95" hidden="1" customHeight="1" x14ac:dyDescent="0.2">
      <c r="A134" s="57"/>
      <c r="B134" s="2539" t="s">
        <v>73</v>
      </c>
      <c r="C134" s="2540"/>
      <c r="D134" s="2521" t="str">
        <f ca="1">IF(ISBLANK(OFFSET($AP$2,D131,0)),"",OFFSET($AQ$2,D131,0)+OFFSET($AU$2,D131,0))</f>
        <v/>
      </c>
      <c r="E134" s="2522"/>
      <c r="F134" s="2523" t="str">
        <f ca="1">IF(ISBLANK(OFFSET($AP$2,D131,0)),"",(OFFSET($AQ$2,D131,0)+OFFSET($AU$2,D131,0))-(OFFSET($AW$2,D131,0)+OFFSET($BA$2,D131,0)))</f>
        <v/>
      </c>
      <c r="G134" s="2524"/>
      <c r="H134" s="2521" t="str">
        <f ca="1">IF(ISBLANK(OFFSET($AP$2,H131,0)),"",OFFSET($AQ$2,H131,0)+OFFSET($AU$2,H131,0))</f>
        <v/>
      </c>
      <c r="I134" s="2522"/>
      <c r="J134" s="2523" t="str">
        <f ca="1">IF(ISBLANK(OFFSET($AP$2,H131,0)),"",(OFFSET($AQ$2,H131,0)+OFFSET($AU$2,H131,0))-(OFFSET($AW$2,H131,0)+OFFSET($BA$2,H131,0)))</f>
        <v/>
      </c>
      <c r="K134" s="2524"/>
      <c r="L134" s="2521" t="str">
        <f ca="1">IF(ISBLANK(OFFSET($AP$2,L131,0)),"",OFFSET($AQ$2,L131,0)+OFFSET($AU$2,L131,0))</f>
        <v/>
      </c>
      <c r="M134" s="2522"/>
      <c r="N134" s="2523" t="str">
        <f ca="1">IF(ISBLANK(OFFSET($AP$2,L131,0)),"",(OFFSET($AQ$2,L131,0)+OFFSET($AU$2,L131,0))-(OFFSET($AW$2,L131,0)+OFFSET($BA$2,L131,0)))</f>
        <v/>
      </c>
      <c r="O134" s="2524"/>
      <c r="P134" s="2521" t="str">
        <f ca="1">IF(ISBLANK(OFFSET($AP$2,P131,0)),"",OFFSET($AQ$2,P131,0)+OFFSET($AU$2,P131,0))</f>
        <v/>
      </c>
      <c r="Q134" s="2522"/>
      <c r="R134" s="2523" t="str">
        <f ca="1">IF(ISBLANK(OFFSET($AP$2,P131,0)),"",(OFFSET($AQ$2,P131,0)+OFFSET($AU$2,P131,0))-(OFFSET($AW$2,P131,0)+OFFSET($BA$2,P131,0)))</f>
        <v/>
      </c>
      <c r="S134" s="2524"/>
      <c r="T134" s="2521" t="str">
        <f ca="1">IF(ISBLANK(OFFSET($AP$2,T131,0)),"",OFFSET($AQ$2,T131,0)+OFFSET($AU$2,T131,0))</f>
        <v/>
      </c>
      <c r="U134" s="2522"/>
      <c r="V134" s="2523" t="str">
        <f ca="1">IF(ISBLANK(OFFSET($AP$2,T131,0)),"",(OFFSET($AQ$2,T131,0)+OFFSET($AU$2,T131,0))-(OFFSET($AW$2,T131,0)+OFFSET($BA$2,T131,0)))</f>
        <v/>
      </c>
      <c r="W134" s="2524"/>
      <c r="X134" s="2521" t="str">
        <f ca="1">IF(ISBLANK(OFFSET($AP$2,X131,0)),"",OFFSET($AQ$2,X131,0)+OFFSET($AU$2,X131,0))</f>
        <v/>
      </c>
      <c r="Y134" s="2522"/>
      <c r="Z134" s="2523" t="str">
        <f ca="1">IF(ISBLANK(OFFSET($AP$2,X131,0)),"",(OFFSET($AQ$2,X131,0)+OFFSET($AU$2,X131,0))-(OFFSET($AW$2,X131,0)+OFFSET($BA$2,X131,0)))</f>
        <v/>
      </c>
      <c r="AA134" s="2524"/>
      <c r="AB134" s="57"/>
    </row>
    <row r="135" spans="1:28" ht="12.95" hidden="1" customHeight="1" x14ac:dyDescent="0.2">
      <c r="A135" s="57"/>
      <c r="B135" s="2525" t="s">
        <v>437</v>
      </c>
      <c r="C135" s="2526"/>
      <c r="D135" s="2521" t="str">
        <f ca="1">IF(ISBLANK(OFFSET($AP$2,D131,0)),"",OFFSET($AR$2,D131,0))</f>
        <v/>
      </c>
      <c r="E135" s="2522"/>
      <c r="F135" s="2523" t="str">
        <f ca="1">IF(ISBLANK(OFFSET($AP$2,D131,0)),"",OFFSET($AR$2,D131,0)-OFFSET($AX$2,D131,0))</f>
        <v/>
      </c>
      <c r="G135" s="2524"/>
      <c r="H135" s="2521" t="str">
        <f ca="1">IF(ISBLANK(OFFSET($AP$2,H131,0)),"",OFFSET($AR$2,H131,0))</f>
        <v/>
      </c>
      <c r="I135" s="2522"/>
      <c r="J135" s="2523" t="str">
        <f ca="1">IF(ISBLANK(OFFSET($AP$2,H131,0)),"",OFFSET($AR$2,H131,0)-OFFSET($AX$2,H131,0))</f>
        <v/>
      </c>
      <c r="K135" s="2524"/>
      <c r="L135" s="2521" t="str">
        <f ca="1">IF(ISBLANK(OFFSET($AP$2,L131,0)),"",OFFSET($AR$2,L131,0))</f>
        <v/>
      </c>
      <c r="M135" s="2522"/>
      <c r="N135" s="2523" t="str">
        <f ca="1">IF(ISBLANK(OFFSET($AP$2,L131,0)),"",OFFSET($AR$2,L131,0)-OFFSET($AX$2,L131,0))</f>
        <v/>
      </c>
      <c r="O135" s="2524"/>
      <c r="P135" s="2521" t="str">
        <f ca="1">IF(ISBLANK(OFFSET($AP$2,P131,0)),"",OFFSET($AR$2,P131,0))</f>
        <v/>
      </c>
      <c r="Q135" s="2522"/>
      <c r="R135" s="2523" t="str">
        <f ca="1">IF(ISBLANK(OFFSET($AP$2,P131,0)),"",OFFSET($AR$2,P131,0)-OFFSET($AX$2,P131,0))</f>
        <v/>
      </c>
      <c r="S135" s="2524"/>
      <c r="T135" s="2521" t="str">
        <f ca="1">IF(ISBLANK(OFFSET($AP$2,T131,0)),"",OFFSET($AR$2,T131,0))</f>
        <v/>
      </c>
      <c r="U135" s="2522"/>
      <c r="V135" s="2523" t="str">
        <f ca="1">IF(ISBLANK(OFFSET($AP$2,T131,0)),"",OFFSET($AR$2,T131,0)-OFFSET($AX$2,T131,0))</f>
        <v/>
      </c>
      <c r="W135" s="2524"/>
      <c r="X135" s="2521" t="str">
        <f ca="1">IF(ISBLANK(OFFSET($AP$2,X131,0)),"",OFFSET($AR$2,X131,0))</f>
        <v/>
      </c>
      <c r="Y135" s="2522"/>
      <c r="Z135" s="2523" t="str">
        <f ca="1">IF(ISBLANK(OFFSET($AP$2,X131,0)),"",OFFSET($AR$2,X131,0)-OFFSET($AX$2,X131,0))</f>
        <v/>
      </c>
      <c r="AA135" s="2524"/>
      <c r="AB135" s="57"/>
    </row>
    <row r="136" spans="1:28" ht="12.95" hidden="1" customHeight="1" x14ac:dyDescent="0.2">
      <c r="A136" s="57"/>
      <c r="B136" s="2525" t="s">
        <v>438</v>
      </c>
      <c r="C136" s="2526"/>
      <c r="D136" s="2521" t="str">
        <f ca="1">IF(ISBLANK(OFFSET($AP$2,D131,0)),"",OFFSET($AS$2,D131,0))</f>
        <v/>
      </c>
      <c r="E136" s="2522"/>
      <c r="F136" s="2523" t="str">
        <f ca="1">IF(ISBLANK(OFFSET($AP$2,D131,0)),"",OFFSET($AS$2,D131,0)-OFFSET($AY$2,D131,0))</f>
        <v/>
      </c>
      <c r="G136" s="2524"/>
      <c r="H136" s="2521" t="str">
        <f ca="1">IF(ISBLANK(OFFSET($AP$2,H131,0)),"",OFFSET($AS$2,H131,0))</f>
        <v/>
      </c>
      <c r="I136" s="2522"/>
      <c r="J136" s="2523" t="str">
        <f ca="1">IF(ISBLANK(OFFSET($AP$2,H131,0)),"",OFFSET($AS$2,H131,0)-OFFSET($AY$2,H131,0))</f>
        <v/>
      </c>
      <c r="K136" s="2524"/>
      <c r="L136" s="2521" t="str">
        <f ca="1">IF(ISBLANK(OFFSET($AP$2,L131,0)),"",OFFSET($AS$2,L131,0))</f>
        <v/>
      </c>
      <c r="M136" s="2522"/>
      <c r="N136" s="2523" t="str">
        <f ca="1">IF(ISBLANK(OFFSET($AP$2,L131,0)),"",OFFSET($AS$2,L131,0)-OFFSET($AY$2,L131,0))</f>
        <v/>
      </c>
      <c r="O136" s="2524"/>
      <c r="P136" s="2521" t="str">
        <f ca="1">IF(ISBLANK(OFFSET($AP$2,P131,0)),"",OFFSET($AS$2,P131,0))</f>
        <v/>
      </c>
      <c r="Q136" s="2522"/>
      <c r="R136" s="2523" t="str">
        <f ca="1">IF(ISBLANK(OFFSET($AP$2,P131,0)),"",OFFSET($AS$2,P131,0)-OFFSET($AY$2,P131,0))</f>
        <v/>
      </c>
      <c r="S136" s="2524"/>
      <c r="T136" s="2521" t="str">
        <f ca="1">IF(ISBLANK(OFFSET($AP$2,T131,0)),"",OFFSET($AS$2,T131,0))</f>
        <v/>
      </c>
      <c r="U136" s="2522"/>
      <c r="V136" s="2523" t="str">
        <f ca="1">IF(ISBLANK(OFFSET($AP$2,T131,0)),"",OFFSET($AS$2,T131,0)-OFFSET($AY$2,T131,0))</f>
        <v/>
      </c>
      <c r="W136" s="2524"/>
      <c r="X136" s="2521" t="str">
        <f ca="1">IF(ISBLANK(OFFSET($AP$2,X131,0)),"",OFFSET($AS$2,X131,0))</f>
        <v/>
      </c>
      <c r="Y136" s="2522"/>
      <c r="Z136" s="2523" t="str">
        <f ca="1">IF(ISBLANK(OFFSET($AP$2,X131,0)),"",OFFSET($AS$2,X131,0)-OFFSET($AY$2,X131,0))</f>
        <v/>
      </c>
      <c r="AA136" s="2524"/>
      <c r="AB136" s="57"/>
    </row>
    <row r="137" spans="1:28" ht="12.95" hidden="1" customHeight="1" x14ac:dyDescent="0.2">
      <c r="A137" s="57"/>
      <c r="B137" s="2525" t="s">
        <v>75</v>
      </c>
      <c r="C137" s="2526"/>
      <c r="D137" s="2521" t="str">
        <f ca="1">IF(ISBLANK(OFFSET($AP$2,D131,0)),"",OFFSET($AT$2,D131,0))</f>
        <v/>
      </c>
      <c r="E137" s="2522"/>
      <c r="F137" s="2523" t="str">
        <f ca="1">IF(ISBLANK(OFFSET($AP$2,D131,0)),"",OFFSET($AT$2,D131,0)-OFFSET($AZ$2,D131,0))</f>
        <v/>
      </c>
      <c r="G137" s="2524"/>
      <c r="H137" s="2521" t="str">
        <f ca="1">IF(ISBLANK(OFFSET($AP$2,H131,0)),"",OFFSET($AT$2,H131,0))</f>
        <v/>
      </c>
      <c r="I137" s="2522"/>
      <c r="J137" s="2523" t="str">
        <f ca="1">IF(ISBLANK(OFFSET($AP$2,H131,0)),"",OFFSET($AT$2,H131,0)-OFFSET($AZ$2,H131,0))</f>
        <v/>
      </c>
      <c r="K137" s="2524"/>
      <c r="L137" s="2521" t="str">
        <f ca="1">IF(ISBLANK(OFFSET($AP$2,L131,0)),"",OFFSET($AT$2,L131,0))</f>
        <v/>
      </c>
      <c r="M137" s="2522"/>
      <c r="N137" s="2523" t="str">
        <f ca="1">IF(ISBLANK(OFFSET($AP$2,L131,0)),"",OFFSET($AT$2,L131,0)-OFFSET($AZ$2,L131,0))</f>
        <v/>
      </c>
      <c r="O137" s="2524"/>
      <c r="P137" s="2521" t="str">
        <f ca="1">IF(ISBLANK(OFFSET($AP$2,P131,0)),"",OFFSET($AT$2,P131,0))</f>
        <v/>
      </c>
      <c r="Q137" s="2522"/>
      <c r="R137" s="2523" t="str">
        <f ca="1">IF(ISBLANK(OFFSET($AP$2,P131,0)),"",OFFSET($AT$2,P131,0)-OFFSET($AZ$2,P131,0))</f>
        <v/>
      </c>
      <c r="S137" s="2524"/>
      <c r="T137" s="2521" t="str">
        <f ca="1">IF(ISBLANK(OFFSET($AP$2,T131,0)),"",OFFSET($AT$2,T131,0))</f>
        <v/>
      </c>
      <c r="U137" s="2522"/>
      <c r="V137" s="2523" t="str">
        <f ca="1">IF(ISBLANK(OFFSET($AP$2,T131,0)),"",OFFSET($AT$2,T131,0)-OFFSET($AZ$2,T131,0))</f>
        <v/>
      </c>
      <c r="W137" s="2524"/>
      <c r="X137" s="2521" t="str">
        <f ca="1">IF(ISBLANK(OFFSET($AP$2,X131,0)),"",OFFSET($AT$2,X131,0))</f>
        <v/>
      </c>
      <c r="Y137" s="2522"/>
      <c r="Z137" s="2523" t="str">
        <f ca="1">IF(ISBLANK(OFFSET($AP$2,X131,0)),"",OFFSET($AT$2,X131,0)-OFFSET($AZ$2,X131,0))</f>
        <v/>
      </c>
      <c r="AA137" s="2524"/>
      <c r="AB137" s="57"/>
    </row>
    <row r="138" spans="1:28" ht="12.95" hidden="1" customHeight="1" thickBot="1" x14ac:dyDescent="0.25">
      <c r="A138" s="57"/>
      <c r="B138" s="2527" t="s">
        <v>439</v>
      </c>
      <c r="C138" s="2528"/>
      <c r="D138" s="2529" t="str">
        <f ca="1">IF(ISBLANK(OFFSET($AP$2,D131,0)),"",OFFSET($AV$2,D131,0))</f>
        <v/>
      </c>
      <c r="E138" s="2530"/>
      <c r="F138" s="2531" t="str">
        <f ca="1">IF(ISBLANK(OFFSET($AP$2,D131,0)),"",OFFSET($AV$2,D131,0)-OFFSET($BB$2,D131,0))</f>
        <v/>
      </c>
      <c r="G138" s="2532"/>
      <c r="H138" s="2529" t="str">
        <f ca="1">IF(ISBLANK(OFFSET($AP$2,H131,0)),"",OFFSET($AV$2,H131,0))</f>
        <v/>
      </c>
      <c r="I138" s="2530"/>
      <c r="J138" s="2531" t="str">
        <f ca="1">IF(ISBLANK(OFFSET($AP$2,H131,0)),"",OFFSET($AV$2,H131,0)-OFFSET($BB$2,H131,0))</f>
        <v/>
      </c>
      <c r="K138" s="2532"/>
      <c r="L138" s="2529" t="str">
        <f ca="1">IF(ISBLANK(OFFSET($AP$2,L131,0)),"",OFFSET($AV$2,L131,0))</f>
        <v/>
      </c>
      <c r="M138" s="2530"/>
      <c r="N138" s="2531" t="str">
        <f ca="1">IF(ISBLANK(OFFSET($AP$2,L131,0)),"",OFFSET($AV$2,L131,0)-OFFSET($BB$2,L131,0))</f>
        <v/>
      </c>
      <c r="O138" s="2532"/>
      <c r="P138" s="2529" t="str">
        <f ca="1">IF(ISBLANK(OFFSET($AP$2,P131,0)),"",OFFSET($AV$2,P131,0))</f>
        <v/>
      </c>
      <c r="Q138" s="2530"/>
      <c r="R138" s="2531" t="str">
        <f ca="1">IF(ISBLANK(OFFSET($AP$2,P131,0)),"",OFFSET($AV$2,P131,0)-OFFSET($BB$2,P131,0))</f>
        <v/>
      </c>
      <c r="S138" s="2532"/>
      <c r="T138" s="2529" t="str">
        <f ca="1">IF(ISBLANK(OFFSET($AP$2,T131,0)),"",OFFSET($AV$2,T131,0))</f>
        <v/>
      </c>
      <c r="U138" s="2530"/>
      <c r="V138" s="2531" t="str">
        <f ca="1">IF(ISBLANK(OFFSET($AP$2,T131,0)),"",OFFSET($AV$2,T131,0)-OFFSET($BB$2,T131,0))</f>
        <v/>
      </c>
      <c r="W138" s="2532"/>
      <c r="X138" s="2529" t="str">
        <f ca="1">IF(ISBLANK(OFFSET($AP$2,X131,0)),"",OFFSET($AV$2,X131,0))</f>
        <v/>
      </c>
      <c r="Y138" s="2530"/>
      <c r="Z138" s="2531" t="str">
        <f ca="1">IF(ISBLANK(OFFSET($AP$2,X131,0)),"",OFFSET($AV$2,X131,0)-OFFSET($BB$2,X131,0))</f>
        <v/>
      </c>
      <c r="AA138" s="2532"/>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33" t="str">
        <f ca="1">IF(ISBLANK(OFFSET($AP$2,D139,0)),"",CONCATENATE("Seq. ",OFFSET($AP$2,D139,0)))</f>
        <v/>
      </c>
      <c r="E140" s="2534"/>
      <c r="F140" s="2534"/>
      <c r="G140" s="2535"/>
      <c r="H140" s="2533" t="str">
        <f ca="1">IF(ISBLANK(OFFSET($AP$2,H139,0)),"",CONCATENATE("Seq. ",OFFSET($AP$2,H139,0)))</f>
        <v/>
      </c>
      <c r="I140" s="2534"/>
      <c r="J140" s="2534"/>
      <c r="K140" s="2535"/>
      <c r="L140" s="2533" t="str">
        <f ca="1">IF(ISBLANK(OFFSET($AP$2,L139,0)),"",CONCATENATE("Seq. ",OFFSET($AP$2,L139,0)))</f>
        <v/>
      </c>
      <c r="M140" s="2534"/>
      <c r="N140" s="2534"/>
      <c r="O140" s="2535"/>
      <c r="P140" s="2533" t="str">
        <f ca="1">IF(ISBLANK(OFFSET($AP$2,P139,0)),"",CONCATENATE("Seq. ",OFFSET($AP$2,P139,0)))</f>
        <v/>
      </c>
      <c r="Q140" s="2534"/>
      <c r="R140" s="2534"/>
      <c r="S140" s="2535"/>
      <c r="T140" s="2533" t="str">
        <f ca="1">IF(ISBLANK(OFFSET($AP$2,T139,0)),"",CONCATENATE("Seq. ",OFFSET($AP$2,T139,0)))</f>
        <v/>
      </c>
      <c r="U140" s="2534"/>
      <c r="V140" s="2534"/>
      <c r="W140" s="2535"/>
      <c r="X140" s="2533" t="str">
        <f ca="1">IF(ISBLANK(OFFSET($AP$2,X139,0)),"",CONCATENATE("Seq. ",OFFSET($AP$2,X139,0)))</f>
        <v/>
      </c>
      <c r="Y140" s="2534"/>
      <c r="Z140" s="2534"/>
      <c r="AA140" s="2535"/>
      <c r="AB140" s="57"/>
    </row>
    <row r="141" spans="1:28" ht="12.95" hidden="1" customHeight="1" thickBot="1" x14ac:dyDescent="0.25">
      <c r="A141" s="57"/>
      <c r="B141" s="41"/>
      <c r="C141" s="42"/>
      <c r="D141" s="2536" t="s">
        <v>440</v>
      </c>
      <c r="E141" s="2537"/>
      <c r="F141" s="2537" t="s">
        <v>441</v>
      </c>
      <c r="G141" s="2538"/>
      <c r="H141" s="2536" t="s">
        <v>440</v>
      </c>
      <c r="I141" s="2537"/>
      <c r="J141" s="2537" t="s">
        <v>441</v>
      </c>
      <c r="K141" s="2538"/>
      <c r="L141" s="2536" t="s">
        <v>440</v>
      </c>
      <c r="M141" s="2537"/>
      <c r="N141" s="2537" t="s">
        <v>441</v>
      </c>
      <c r="O141" s="2538"/>
      <c r="P141" s="2536" t="s">
        <v>440</v>
      </c>
      <c r="Q141" s="2537"/>
      <c r="R141" s="2537" t="s">
        <v>441</v>
      </c>
      <c r="S141" s="2538"/>
      <c r="T141" s="2536" t="s">
        <v>440</v>
      </c>
      <c r="U141" s="2537"/>
      <c r="V141" s="2537" t="s">
        <v>441</v>
      </c>
      <c r="W141" s="2538"/>
      <c r="X141" s="2536" t="s">
        <v>440</v>
      </c>
      <c r="Y141" s="2537"/>
      <c r="Z141" s="2537" t="s">
        <v>441</v>
      </c>
      <c r="AA141" s="2538"/>
      <c r="AB141" s="57"/>
    </row>
    <row r="142" spans="1:28" ht="12.95" hidden="1" customHeight="1" x14ac:dyDescent="0.2">
      <c r="A142" s="57"/>
      <c r="B142" s="2539" t="s">
        <v>73</v>
      </c>
      <c r="C142" s="2540"/>
      <c r="D142" s="2521" t="str">
        <f ca="1">IF(ISBLANK(OFFSET($AP$2,D139,0)),"",OFFSET($AQ$2,D139,0)+OFFSET($AU$2,D139,0))</f>
        <v/>
      </c>
      <c r="E142" s="2522"/>
      <c r="F142" s="2523" t="str">
        <f ca="1">IF(ISBLANK(OFFSET($AP$2,D139,0)),"",(OFFSET($AQ$2,D139,0)+OFFSET($AU$2,D139,0))-(OFFSET($AW$2,D139,0)+OFFSET($BA$2,D139,0)))</f>
        <v/>
      </c>
      <c r="G142" s="2524"/>
      <c r="H142" s="2521" t="str">
        <f ca="1">IF(ISBLANK(OFFSET($AP$2,H139,0)),"",OFFSET($AQ$2,H139,0)+OFFSET($AU$2,H139,0))</f>
        <v/>
      </c>
      <c r="I142" s="2522"/>
      <c r="J142" s="2523" t="str">
        <f ca="1">IF(ISBLANK(OFFSET($AP$2,H139,0)),"",(OFFSET($AQ$2,H139,0)+OFFSET($AU$2,H139,0))-(OFFSET($AW$2,H139,0)+OFFSET($BA$2,H139,0)))</f>
        <v/>
      </c>
      <c r="K142" s="2524"/>
      <c r="L142" s="2521" t="str">
        <f ca="1">IF(ISBLANK(OFFSET($AP$2,L139,0)),"",OFFSET($AQ$2,L139,0)+OFFSET($AU$2,L139,0))</f>
        <v/>
      </c>
      <c r="M142" s="2522"/>
      <c r="N142" s="2523" t="str">
        <f ca="1">IF(ISBLANK(OFFSET($AP$2,L139,0)),"",(OFFSET($AQ$2,L139,0)+OFFSET($AU$2,L139,0))-(OFFSET($AW$2,L139,0)+OFFSET($BA$2,L139,0)))</f>
        <v/>
      </c>
      <c r="O142" s="2524"/>
      <c r="P142" s="2521" t="str">
        <f ca="1">IF(ISBLANK(OFFSET($AP$2,P139,0)),"",OFFSET($AQ$2,P139,0)+OFFSET($AU$2,P139,0))</f>
        <v/>
      </c>
      <c r="Q142" s="2522"/>
      <c r="R142" s="2523" t="str">
        <f ca="1">IF(ISBLANK(OFFSET($AP$2,P139,0)),"",(OFFSET($AQ$2,P139,0)+OFFSET($AU$2,P139,0))-(OFFSET($AW$2,P139,0)+OFFSET($BA$2,P139,0)))</f>
        <v/>
      </c>
      <c r="S142" s="2524"/>
      <c r="T142" s="2521" t="str">
        <f ca="1">IF(ISBLANK(OFFSET($AP$2,T139,0)),"",OFFSET($AQ$2,T139,0)+OFFSET($AU$2,T139,0))</f>
        <v/>
      </c>
      <c r="U142" s="2522"/>
      <c r="V142" s="2523" t="str">
        <f ca="1">IF(ISBLANK(OFFSET($AP$2,T139,0)),"",(OFFSET($AQ$2,T139,0)+OFFSET($AU$2,T139,0))-(OFFSET($AW$2,T139,0)+OFFSET($BA$2,T139,0)))</f>
        <v/>
      </c>
      <c r="W142" s="2524"/>
      <c r="X142" s="2521" t="str">
        <f ca="1">IF(ISBLANK(OFFSET($AP$2,X139,0)),"",OFFSET($AQ$2,X139,0)+OFFSET($AU$2,X139,0))</f>
        <v/>
      </c>
      <c r="Y142" s="2522"/>
      <c r="Z142" s="2523" t="str">
        <f ca="1">IF(ISBLANK(OFFSET($AP$2,X139,0)),"",(OFFSET($AQ$2,X139,0)+OFFSET($AU$2,X139,0))-(OFFSET($AW$2,X139,0)+OFFSET($BA$2,X139,0)))</f>
        <v/>
      </c>
      <c r="AA142" s="2524"/>
      <c r="AB142" s="57"/>
    </row>
    <row r="143" spans="1:28" ht="12.95" hidden="1" customHeight="1" x14ac:dyDescent="0.2">
      <c r="A143" s="57"/>
      <c r="B143" s="2525" t="s">
        <v>437</v>
      </c>
      <c r="C143" s="2526"/>
      <c r="D143" s="2521" t="str">
        <f ca="1">IF(ISBLANK(OFFSET($AP$2,D139,0)),"",OFFSET($AR$2,D139,0))</f>
        <v/>
      </c>
      <c r="E143" s="2522"/>
      <c r="F143" s="2523" t="str">
        <f ca="1">IF(ISBLANK(OFFSET($AP$2,D139,0)),"",OFFSET($AR$2,D139,0)-OFFSET($AX$2,D139,0))</f>
        <v/>
      </c>
      <c r="G143" s="2524"/>
      <c r="H143" s="2521" t="str">
        <f ca="1">IF(ISBLANK(OFFSET($AP$2,H139,0)),"",OFFSET($AR$2,H139,0))</f>
        <v/>
      </c>
      <c r="I143" s="2522"/>
      <c r="J143" s="2523" t="str">
        <f ca="1">IF(ISBLANK(OFFSET($AP$2,H139,0)),"",OFFSET($AR$2,H139,0)-OFFSET($AX$2,H139,0))</f>
        <v/>
      </c>
      <c r="K143" s="2524"/>
      <c r="L143" s="2521" t="str">
        <f ca="1">IF(ISBLANK(OFFSET($AP$2,L139,0)),"",OFFSET($AR$2,L139,0))</f>
        <v/>
      </c>
      <c r="M143" s="2522"/>
      <c r="N143" s="2523" t="str">
        <f ca="1">IF(ISBLANK(OFFSET($AP$2,L139,0)),"",OFFSET($AR$2,L139,0)-OFFSET($AX$2,L139,0))</f>
        <v/>
      </c>
      <c r="O143" s="2524"/>
      <c r="P143" s="2521" t="str">
        <f ca="1">IF(ISBLANK(OFFSET($AP$2,P139,0)),"",OFFSET($AR$2,P139,0))</f>
        <v/>
      </c>
      <c r="Q143" s="2522"/>
      <c r="R143" s="2523" t="str">
        <f ca="1">IF(ISBLANK(OFFSET($AP$2,P139,0)),"",OFFSET($AR$2,P139,0)-OFFSET($AX$2,P139,0))</f>
        <v/>
      </c>
      <c r="S143" s="2524"/>
      <c r="T143" s="2521" t="str">
        <f ca="1">IF(ISBLANK(OFFSET($AP$2,T139,0)),"",OFFSET($AR$2,T139,0))</f>
        <v/>
      </c>
      <c r="U143" s="2522"/>
      <c r="V143" s="2523" t="str">
        <f ca="1">IF(ISBLANK(OFFSET($AP$2,T139,0)),"",OFFSET($AR$2,T139,0)-OFFSET($AX$2,T139,0))</f>
        <v/>
      </c>
      <c r="W143" s="2524"/>
      <c r="X143" s="2521" t="str">
        <f ca="1">IF(ISBLANK(OFFSET($AP$2,X139,0)),"",OFFSET($AR$2,X139,0))</f>
        <v/>
      </c>
      <c r="Y143" s="2522"/>
      <c r="Z143" s="2523" t="str">
        <f ca="1">IF(ISBLANK(OFFSET($AP$2,X139,0)),"",OFFSET($AR$2,X139,0)-OFFSET($AX$2,X139,0))</f>
        <v/>
      </c>
      <c r="AA143" s="2524"/>
      <c r="AB143" s="57"/>
    </row>
    <row r="144" spans="1:28" ht="12.95" hidden="1" customHeight="1" x14ac:dyDescent="0.2">
      <c r="A144" s="57"/>
      <c r="B144" s="2525" t="s">
        <v>438</v>
      </c>
      <c r="C144" s="2526"/>
      <c r="D144" s="2521" t="str">
        <f ca="1">IF(ISBLANK(OFFSET($AP$2,D139,0)),"",OFFSET($AS$2,D139,0))</f>
        <v/>
      </c>
      <c r="E144" s="2522"/>
      <c r="F144" s="2523" t="str">
        <f ca="1">IF(ISBLANK(OFFSET($AP$2,D139,0)),"",OFFSET($AS$2,D139,0)-OFFSET($AY$2,D139,0))</f>
        <v/>
      </c>
      <c r="G144" s="2524"/>
      <c r="H144" s="2521" t="str">
        <f ca="1">IF(ISBLANK(OFFSET($AP$2,H139,0)),"",OFFSET($AS$2,H139,0))</f>
        <v/>
      </c>
      <c r="I144" s="2522"/>
      <c r="J144" s="2523" t="str">
        <f ca="1">IF(ISBLANK(OFFSET($AP$2,H139,0)),"",OFFSET($AS$2,H139,0)-OFFSET($AY$2,H139,0))</f>
        <v/>
      </c>
      <c r="K144" s="2524"/>
      <c r="L144" s="2521" t="str">
        <f ca="1">IF(ISBLANK(OFFSET($AP$2,L139,0)),"",OFFSET($AS$2,L139,0))</f>
        <v/>
      </c>
      <c r="M144" s="2522"/>
      <c r="N144" s="2523" t="str">
        <f ca="1">IF(ISBLANK(OFFSET($AP$2,L139,0)),"",OFFSET($AS$2,L139,0)-OFFSET($AY$2,L139,0))</f>
        <v/>
      </c>
      <c r="O144" s="2524"/>
      <c r="P144" s="2521" t="str">
        <f ca="1">IF(ISBLANK(OFFSET($AP$2,P139,0)),"",OFFSET($AS$2,P139,0))</f>
        <v/>
      </c>
      <c r="Q144" s="2522"/>
      <c r="R144" s="2523" t="str">
        <f ca="1">IF(ISBLANK(OFFSET($AP$2,P139,0)),"",OFFSET($AS$2,P139,0)-OFFSET($AY$2,P139,0))</f>
        <v/>
      </c>
      <c r="S144" s="2524"/>
      <c r="T144" s="2521" t="str">
        <f ca="1">IF(ISBLANK(OFFSET($AP$2,T139,0)),"",OFFSET($AS$2,T139,0))</f>
        <v/>
      </c>
      <c r="U144" s="2522"/>
      <c r="V144" s="2523" t="str">
        <f ca="1">IF(ISBLANK(OFFSET($AP$2,T139,0)),"",OFFSET($AS$2,T139,0)-OFFSET($AY$2,T139,0))</f>
        <v/>
      </c>
      <c r="W144" s="2524"/>
      <c r="X144" s="2521" t="str">
        <f ca="1">IF(ISBLANK(OFFSET($AP$2,X139,0)),"",OFFSET($AS$2,X139,0))</f>
        <v/>
      </c>
      <c r="Y144" s="2522"/>
      <c r="Z144" s="2523" t="str">
        <f ca="1">IF(ISBLANK(OFFSET($AP$2,X139,0)),"",OFFSET($AS$2,X139,0)-OFFSET($AY$2,X139,0))</f>
        <v/>
      </c>
      <c r="AA144" s="2524"/>
      <c r="AB144" s="57"/>
    </row>
    <row r="145" spans="1:28" ht="12.95" hidden="1" customHeight="1" x14ac:dyDescent="0.2">
      <c r="A145" s="57"/>
      <c r="B145" s="2525" t="s">
        <v>75</v>
      </c>
      <c r="C145" s="2526"/>
      <c r="D145" s="2521" t="str">
        <f ca="1">IF(ISBLANK(OFFSET($AP$2,D139,0)),"",OFFSET($AT$2,D139,0))</f>
        <v/>
      </c>
      <c r="E145" s="2522"/>
      <c r="F145" s="2523" t="str">
        <f ca="1">IF(ISBLANK(OFFSET($AP$2,D139,0)),"",OFFSET($AT$2,D139,0)-OFFSET($AZ$2,D139,0))</f>
        <v/>
      </c>
      <c r="G145" s="2524"/>
      <c r="H145" s="2521" t="str">
        <f ca="1">IF(ISBLANK(OFFSET($AP$2,H139,0)),"",OFFSET($AT$2,H139,0))</f>
        <v/>
      </c>
      <c r="I145" s="2522"/>
      <c r="J145" s="2523" t="str">
        <f ca="1">IF(ISBLANK(OFFSET($AP$2,H139,0)),"",OFFSET($AT$2,H139,0)-OFFSET($AZ$2,H139,0))</f>
        <v/>
      </c>
      <c r="K145" s="2524"/>
      <c r="L145" s="2521" t="str">
        <f ca="1">IF(ISBLANK(OFFSET($AP$2,L139,0)),"",OFFSET($AT$2,L139,0))</f>
        <v/>
      </c>
      <c r="M145" s="2522"/>
      <c r="N145" s="2523" t="str">
        <f ca="1">IF(ISBLANK(OFFSET($AP$2,L139,0)),"",OFFSET($AT$2,L139,0)-OFFSET($AZ$2,L139,0))</f>
        <v/>
      </c>
      <c r="O145" s="2524"/>
      <c r="P145" s="2521" t="str">
        <f ca="1">IF(ISBLANK(OFFSET($AP$2,P139,0)),"",OFFSET($AT$2,P139,0))</f>
        <v/>
      </c>
      <c r="Q145" s="2522"/>
      <c r="R145" s="2523" t="str">
        <f ca="1">IF(ISBLANK(OFFSET($AP$2,P139,0)),"",OFFSET($AT$2,P139,0)-OFFSET($AZ$2,P139,0))</f>
        <v/>
      </c>
      <c r="S145" s="2524"/>
      <c r="T145" s="2521" t="str">
        <f ca="1">IF(ISBLANK(OFFSET($AP$2,T139,0)),"",OFFSET($AT$2,T139,0))</f>
        <v/>
      </c>
      <c r="U145" s="2522"/>
      <c r="V145" s="2523" t="str">
        <f ca="1">IF(ISBLANK(OFFSET($AP$2,T139,0)),"",OFFSET($AT$2,T139,0)-OFFSET($AZ$2,T139,0))</f>
        <v/>
      </c>
      <c r="W145" s="2524"/>
      <c r="X145" s="2521" t="str">
        <f ca="1">IF(ISBLANK(OFFSET($AP$2,X139,0)),"",OFFSET($AT$2,X139,0))</f>
        <v/>
      </c>
      <c r="Y145" s="2522"/>
      <c r="Z145" s="2523" t="str">
        <f ca="1">IF(ISBLANK(OFFSET($AP$2,X139,0)),"",OFFSET($AT$2,X139,0)-OFFSET($AZ$2,X139,0))</f>
        <v/>
      </c>
      <c r="AA145" s="2524"/>
      <c r="AB145" s="57"/>
    </row>
    <row r="146" spans="1:28" ht="12.95" hidden="1" customHeight="1" thickBot="1" x14ac:dyDescent="0.25">
      <c r="A146" s="57"/>
      <c r="B146" s="2527" t="s">
        <v>439</v>
      </c>
      <c r="C146" s="2528"/>
      <c r="D146" s="2529" t="str">
        <f ca="1">IF(ISBLANK(OFFSET($AP$2,D139,0)),"",OFFSET($AV$2,D139,0))</f>
        <v/>
      </c>
      <c r="E146" s="2530"/>
      <c r="F146" s="2531" t="str">
        <f ca="1">IF(ISBLANK(OFFSET($AP$2,D139,0)),"",OFFSET($AV$2,D139,0)-OFFSET($BB$2,D139,0))</f>
        <v/>
      </c>
      <c r="G146" s="2532"/>
      <c r="H146" s="2529" t="str">
        <f ca="1">IF(ISBLANK(OFFSET($AP$2,H139,0)),"",OFFSET($AV$2,H139,0))</f>
        <v/>
      </c>
      <c r="I146" s="2530"/>
      <c r="J146" s="2531" t="str">
        <f ca="1">IF(ISBLANK(OFFSET($AP$2,H139,0)),"",OFFSET($AV$2,H139,0)-OFFSET($BB$2,H139,0))</f>
        <v/>
      </c>
      <c r="K146" s="2532"/>
      <c r="L146" s="2529" t="str">
        <f ca="1">IF(ISBLANK(OFFSET($AP$2,L139,0)),"",OFFSET($AV$2,L139,0))</f>
        <v/>
      </c>
      <c r="M146" s="2530"/>
      <c r="N146" s="2531" t="str">
        <f ca="1">IF(ISBLANK(OFFSET($AP$2,L139,0)),"",OFFSET($AV$2,L139,0)-OFFSET($BB$2,L139,0))</f>
        <v/>
      </c>
      <c r="O146" s="2532"/>
      <c r="P146" s="2529" t="str">
        <f ca="1">IF(ISBLANK(OFFSET($AP$2,P139,0)),"",OFFSET($AV$2,P139,0))</f>
        <v/>
      </c>
      <c r="Q146" s="2530"/>
      <c r="R146" s="2531" t="str">
        <f ca="1">IF(ISBLANK(OFFSET($AP$2,P139,0)),"",OFFSET($AV$2,P139,0)-OFFSET($BB$2,P139,0))</f>
        <v/>
      </c>
      <c r="S146" s="2532"/>
      <c r="T146" s="2529" t="str">
        <f ca="1">IF(ISBLANK(OFFSET($AP$2,T139,0)),"",OFFSET($AV$2,T139,0))</f>
        <v/>
      </c>
      <c r="U146" s="2530"/>
      <c r="V146" s="2531" t="str">
        <f ca="1">IF(ISBLANK(OFFSET($AP$2,T139,0)),"",OFFSET($AV$2,T139,0)-OFFSET($BB$2,T139,0))</f>
        <v/>
      </c>
      <c r="W146" s="2532"/>
      <c r="X146" s="2529" t="str">
        <f ca="1">IF(ISBLANK(OFFSET($AP$2,X139,0)),"",OFFSET($AV$2,X139,0))</f>
        <v/>
      </c>
      <c r="Y146" s="2530"/>
      <c r="Z146" s="2531" t="str">
        <f ca="1">IF(ISBLANK(OFFSET($AP$2,X139,0)),"",OFFSET($AV$2,X139,0)-OFFSET($BB$2,X139,0))</f>
        <v/>
      </c>
      <c r="AA146" s="2532"/>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33" t="str">
        <f ca="1">IF(ISBLANK(OFFSET($AP$2,D147,0)),"",CONCATENATE("Seq. ",OFFSET($AP$2,D147,0)))</f>
        <v/>
      </c>
      <c r="E148" s="2534"/>
      <c r="F148" s="2534"/>
      <c r="G148" s="2535"/>
      <c r="H148" s="2533" t="str">
        <f ca="1">IF(ISBLANK(OFFSET($AP$2,H147,0)),"",CONCATENATE("Seq. ",OFFSET($AP$2,H147,0)))</f>
        <v/>
      </c>
      <c r="I148" s="2534"/>
      <c r="J148" s="2534"/>
      <c r="K148" s="2535"/>
      <c r="L148" s="2533" t="str">
        <f ca="1">IF(ISBLANK(OFFSET($AP$2,L147,0)),"",CONCATENATE("Seq. ",OFFSET($AP$2,L147,0)))</f>
        <v/>
      </c>
      <c r="M148" s="2534"/>
      <c r="N148" s="2534"/>
      <c r="O148" s="2535"/>
      <c r="P148" s="2533" t="str">
        <f ca="1">IF(ISBLANK(OFFSET($AP$2,P147,0)),"",CONCATENATE("Seq. ",OFFSET($AP$2,P147,0)))</f>
        <v/>
      </c>
      <c r="Q148" s="2534"/>
      <c r="R148" s="2534"/>
      <c r="S148" s="2535"/>
      <c r="T148" s="2533" t="str">
        <f ca="1">IF(ISBLANK(OFFSET($AP$2,T147,0)),"",CONCATENATE("Seq. ",OFFSET($AP$2,T147,0)))</f>
        <v/>
      </c>
      <c r="U148" s="2534"/>
      <c r="V148" s="2534"/>
      <c r="W148" s="2535"/>
      <c r="X148" s="2533" t="str">
        <f ca="1">IF(ISBLANK(OFFSET($AP$2,X147,0)),"",CONCATENATE("Seq. ",OFFSET($AP$2,X147,0)))</f>
        <v/>
      </c>
      <c r="Y148" s="2534"/>
      <c r="Z148" s="2534"/>
      <c r="AA148" s="2535"/>
      <c r="AB148" s="57"/>
    </row>
    <row r="149" spans="1:28" ht="12.95" hidden="1" customHeight="1" thickBot="1" x14ac:dyDescent="0.25">
      <c r="A149" s="57"/>
      <c r="B149" s="41"/>
      <c r="C149" s="42"/>
      <c r="D149" s="2536" t="s">
        <v>440</v>
      </c>
      <c r="E149" s="2537"/>
      <c r="F149" s="2537" t="s">
        <v>441</v>
      </c>
      <c r="G149" s="2538"/>
      <c r="H149" s="2536" t="s">
        <v>440</v>
      </c>
      <c r="I149" s="2537"/>
      <c r="J149" s="2537" t="s">
        <v>441</v>
      </c>
      <c r="K149" s="2538"/>
      <c r="L149" s="2536" t="s">
        <v>440</v>
      </c>
      <c r="M149" s="2537"/>
      <c r="N149" s="2537" t="s">
        <v>441</v>
      </c>
      <c r="O149" s="2538"/>
      <c r="P149" s="2536" t="s">
        <v>440</v>
      </c>
      <c r="Q149" s="2537"/>
      <c r="R149" s="2537" t="s">
        <v>441</v>
      </c>
      <c r="S149" s="2538"/>
      <c r="T149" s="2536" t="s">
        <v>440</v>
      </c>
      <c r="U149" s="2537"/>
      <c r="V149" s="2537" t="s">
        <v>441</v>
      </c>
      <c r="W149" s="2538"/>
      <c r="X149" s="2536" t="s">
        <v>440</v>
      </c>
      <c r="Y149" s="2537"/>
      <c r="Z149" s="2537" t="s">
        <v>441</v>
      </c>
      <c r="AA149" s="2538"/>
      <c r="AB149" s="57"/>
    </row>
    <row r="150" spans="1:28" ht="12.95" hidden="1" customHeight="1" x14ac:dyDescent="0.2">
      <c r="A150" s="57"/>
      <c r="B150" s="2539" t="s">
        <v>73</v>
      </c>
      <c r="C150" s="2540"/>
      <c r="D150" s="2521" t="str">
        <f ca="1">IF(ISBLANK(OFFSET($AP$2,D147,0)),"",OFFSET($AQ$2,D147,0)+OFFSET($AU$2,D147,0))</f>
        <v/>
      </c>
      <c r="E150" s="2522"/>
      <c r="F150" s="2523" t="str">
        <f ca="1">IF(ISBLANK(OFFSET($AP$2,D147,0)),"",(OFFSET($AQ$2,D147,0)+OFFSET($AU$2,D147,0))-(OFFSET($AW$2,D147,0)+OFFSET($BA$2,D147,0)))</f>
        <v/>
      </c>
      <c r="G150" s="2524"/>
      <c r="H150" s="2521" t="str">
        <f ca="1">IF(ISBLANK(OFFSET($AP$2,H147,0)),"",OFFSET($AQ$2,H147,0)+OFFSET($AU$2,H147,0))</f>
        <v/>
      </c>
      <c r="I150" s="2522"/>
      <c r="J150" s="2523" t="str">
        <f ca="1">IF(ISBLANK(OFFSET($AP$2,H147,0)),"",(OFFSET($AQ$2,H147,0)+OFFSET($AU$2,H147,0))-(OFFSET($AW$2,H147,0)+OFFSET($BA$2,H147,0)))</f>
        <v/>
      </c>
      <c r="K150" s="2524"/>
      <c r="L150" s="2521" t="str">
        <f ca="1">IF(ISBLANK(OFFSET($AP$2,L147,0)),"",OFFSET($AQ$2,L147,0)+OFFSET($AU$2,L147,0))</f>
        <v/>
      </c>
      <c r="M150" s="2522"/>
      <c r="N150" s="2523" t="str">
        <f ca="1">IF(ISBLANK(OFFSET($AP$2,L147,0)),"",(OFFSET($AQ$2,L147,0)+OFFSET($AU$2,L147,0))-(OFFSET($AW$2,L147,0)+OFFSET($BA$2,L147,0)))</f>
        <v/>
      </c>
      <c r="O150" s="2524"/>
      <c r="P150" s="2521" t="str">
        <f ca="1">IF(ISBLANK(OFFSET($AP$2,P147,0)),"",OFFSET($AQ$2,P147,0)+OFFSET($AU$2,P147,0))</f>
        <v/>
      </c>
      <c r="Q150" s="2522"/>
      <c r="R150" s="2523" t="str">
        <f ca="1">IF(ISBLANK(OFFSET($AP$2,P147,0)),"",(OFFSET($AQ$2,P147,0)+OFFSET($AU$2,P147,0))-(OFFSET($AW$2,P147,0)+OFFSET($BA$2,P147,0)))</f>
        <v/>
      </c>
      <c r="S150" s="2524"/>
      <c r="T150" s="2521" t="str">
        <f ca="1">IF(ISBLANK(OFFSET($AP$2,T147,0)),"",OFFSET($AQ$2,T147,0)+OFFSET($AU$2,T147,0))</f>
        <v/>
      </c>
      <c r="U150" s="2522"/>
      <c r="V150" s="2523" t="str">
        <f ca="1">IF(ISBLANK(OFFSET($AP$2,T147,0)),"",(OFFSET($AQ$2,T147,0)+OFFSET($AU$2,T147,0))-(OFFSET($AW$2,T147,0)+OFFSET($BA$2,T147,0)))</f>
        <v/>
      </c>
      <c r="W150" s="2524"/>
      <c r="X150" s="2521" t="str">
        <f ca="1">IF(ISBLANK(OFFSET($AP$2,X147,0)),"",OFFSET($AQ$2,X147,0)+OFFSET($AU$2,X147,0))</f>
        <v/>
      </c>
      <c r="Y150" s="2522"/>
      <c r="Z150" s="2523" t="str">
        <f ca="1">IF(ISBLANK(OFFSET($AP$2,X147,0)),"",(OFFSET($AQ$2,X147,0)+OFFSET($AU$2,X147,0))-(OFFSET($AW$2,X147,0)+OFFSET($BA$2,X147,0)))</f>
        <v/>
      </c>
      <c r="AA150" s="2524"/>
      <c r="AB150" s="57"/>
    </row>
    <row r="151" spans="1:28" ht="12.95" hidden="1" customHeight="1" x14ac:dyDescent="0.2">
      <c r="A151" s="57"/>
      <c r="B151" s="2525" t="s">
        <v>437</v>
      </c>
      <c r="C151" s="2526"/>
      <c r="D151" s="2521" t="str">
        <f ca="1">IF(ISBLANK(OFFSET($AP$2,D147,0)),"",OFFSET($AR$2,D147,0))</f>
        <v/>
      </c>
      <c r="E151" s="2522"/>
      <c r="F151" s="2523" t="str">
        <f ca="1">IF(ISBLANK(OFFSET($AP$2,D147,0)),"",OFFSET($AR$2,D147,0)-OFFSET($AX$2,D147,0))</f>
        <v/>
      </c>
      <c r="G151" s="2524"/>
      <c r="H151" s="2521" t="str">
        <f ca="1">IF(ISBLANK(OFFSET($AP$2,H147,0)),"",OFFSET($AR$2,H147,0))</f>
        <v/>
      </c>
      <c r="I151" s="2522"/>
      <c r="J151" s="2523" t="str">
        <f ca="1">IF(ISBLANK(OFFSET($AP$2,H147,0)),"",OFFSET($AR$2,H147,0)-OFFSET($AX$2,H147,0))</f>
        <v/>
      </c>
      <c r="K151" s="2524"/>
      <c r="L151" s="2521" t="str">
        <f ca="1">IF(ISBLANK(OFFSET($AP$2,L147,0)),"",OFFSET($AR$2,L147,0))</f>
        <v/>
      </c>
      <c r="M151" s="2522"/>
      <c r="N151" s="2523" t="str">
        <f ca="1">IF(ISBLANK(OFFSET($AP$2,L147,0)),"",OFFSET($AR$2,L147,0)-OFFSET($AX$2,L147,0))</f>
        <v/>
      </c>
      <c r="O151" s="2524"/>
      <c r="P151" s="2521" t="str">
        <f ca="1">IF(ISBLANK(OFFSET($AP$2,P147,0)),"",OFFSET($AR$2,P147,0))</f>
        <v/>
      </c>
      <c r="Q151" s="2522"/>
      <c r="R151" s="2523" t="str">
        <f ca="1">IF(ISBLANK(OFFSET($AP$2,P147,0)),"",OFFSET($AR$2,P147,0)-OFFSET($AX$2,P147,0))</f>
        <v/>
      </c>
      <c r="S151" s="2524"/>
      <c r="T151" s="2521" t="str">
        <f ca="1">IF(ISBLANK(OFFSET($AP$2,T147,0)),"",OFFSET($AR$2,T147,0))</f>
        <v/>
      </c>
      <c r="U151" s="2522"/>
      <c r="V151" s="2523" t="str">
        <f ca="1">IF(ISBLANK(OFFSET($AP$2,T147,0)),"",OFFSET($AR$2,T147,0)-OFFSET($AX$2,T147,0))</f>
        <v/>
      </c>
      <c r="W151" s="2524"/>
      <c r="X151" s="2521" t="str">
        <f ca="1">IF(ISBLANK(OFFSET($AP$2,X147,0)),"",OFFSET($AR$2,X147,0))</f>
        <v/>
      </c>
      <c r="Y151" s="2522"/>
      <c r="Z151" s="2523" t="str">
        <f ca="1">IF(ISBLANK(OFFSET($AP$2,X147,0)),"",OFFSET($AR$2,X147,0)-OFFSET($AX$2,X147,0))</f>
        <v/>
      </c>
      <c r="AA151" s="2524"/>
      <c r="AB151" s="57"/>
    </row>
    <row r="152" spans="1:28" ht="12.95" hidden="1" customHeight="1" x14ac:dyDescent="0.2">
      <c r="A152" s="57"/>
      <c r="B152" s="2525" t="s">
        <v>438</v>
      </c>
      <c r="C152" s="2526"/>
      <c r="D152" s="2521" t="str">
        <f ca="1">IF(ISBLANK(OFFSET($AP$2,D147,0)),"",OFFSET($AS$2,D147,0))</f>
        <v/>
      </c>
      <c r="E152" s="2522"/>
      <c r="F152" s="2523" t="str">
        <f ca="1">IF(ISBLANK(OFFSET($AP$2,D147,0)),"",OFFSET($AS$2,D147,0)-OFFSET($AY$2,D147,0))</f>
        <v/>
      </c>
      <c r="G152" s="2524"/>
      <c r="H152" s="2521" t="str">
        <f ca="1">IF(ISBLANK(OFFSET($AP$2,H147,0)),"",OFFSET($AS$2,H147,0))</f>
        <v/>
      </c>
      <c r="I152" s="2522"/>
      <c r="J152" s="2523" t="str">
        <f ca="1">IF(ISBLANK(OFFSET($AP$2,H147,0)),"",OFFSET($AS$2,H147,0)-OFFSET($AY$2,H147,0))</f>
        <v/>
      </c>
      <c r="K152" s="2524"/>
      <c r="L152" s="2521" t="str">
        <f ca="1">IF(ISBLANK(OFFSET($AP$2,L147,0)),"",OFFSET($AS$2,L147,0))</f>
        <v/>
      </c>
      <c r="M152" s="2522"/>
      <c r="N152" s="2523" t="str">
        <f ca="1">IF(ISBLANK(OFFSET($AP$2,L147,0)),"",OFFSET($AS$2,L147,0)-OFFSET($AY$2,L147,0))</f>
        <v/>
      </c>
      <c r="O152" s="2524"/>
      <c r="P152" s="2521" t="str">
        <f ca="1">IF(ISBLANK(OFFSET($AP$2,P147,0)),"",OFFSET($AS$2,P147,0))</f>
        <v/>
      </c>
      <c r="Q152" s="2522"/>
      <c r="R152" s="2523" t="str">
        <f ca="1">IF(ISBLANK(OFFSET($AP$2,P147,0)),"",OFFSET($AS$2,P147,0)-OFFSET($AY$2,P147,0))</f>
        <v/>
      </c>
      <c r="S152" s="2524"/>
      <c r="T152" s="2521" t="str">
        <f ca="1">IF(ISBLANK(OFFSET($AP$2,T147,0)),"",OFFSET($AS$2,T147,0))</f>
        <v/>
      </c>
      <c r="U152" s="2522"/>
      <c r="V152" s="2523" t="str">
        <f ca="1">IF(ISBLANK(OFFSET($AP$2,T147,0)),"",OFFSET($AS$2,T147,0)-OFFSET($AY$2,T147,0))</f>
        <v/>
      </c>
      <c r="W152" s="2524"/>
      <c r="X152" s="2521" t="str">
        <f ca="1">IF(ISBLANK(OFFSET($AP$2,X147,0)),"",OFFSET($AS$2,X147,0))</f>
        <v/>
      </c>
      <c r="Y152" s="2522"/>
      <c r="Z152" s="2523" t="str">
        <f ca="1">IF(ISBLANK(OFFSET($AP$2,X147,0)),"",OFFSET($AS$2,X147,0)-OFFSET($AY$2,X147,0))</f>
        <v/>
      </c>
      <c r="AA152" s="2524"/>
      <c r="AB152" s="57"/>
    </row>
    <row r="153" spans="1:28" ht="12.95" hidden="1" customHeight="1" x14ac:dyDescent="0.2">
      <c r="A153" s="57"/>
      <c r="B153" s="2525" t="s">
        <v>75</v>
      </c>
      <c r="C153" s="2526"/>
      <c r="D153" s="2521" t="str">
        <f ca="1">IF(ISBLANK(OFFSET($AP$2,D147,0)),"",OFFSET($AT$2,D147,0))</f>
        <v/>
      </c>
      <c r="E153" s="2522"/>
      <c r="F153" s="2523" t="str">
        <f ca="1">IF(ISBLANK(OFFSET($AP$2,D147,0)),"",OFFSET($AT$2,D147,0)-OFFSET($AZ$2,D147,0))</f>
        <v/>
      </c>
      <c r="G153" s="2524"/>
      <c r="H153" s="2521" t="str">
        <f ca="1">IF(ISBLANK(OFFSET($AP$2,H147,0)),"",OFFSET($AT$2,H147,0))</f>
        <v/>
      </c>
      <c r="I153" s="2522"/>
      <c r="J153" s="2523" t="str">
        <f ca="1">IF(ISBLANK(OFFSET($AP$2,H147,0)),"",OFFSET($AT$2,H147,0)-OFFSET($AZ$2,H147,0))</f>
        <v/>
      </c>
      <c r="K153" s="2524"/>
      <c r="L153" s="2521" t="str">
        <f ca="1">IF(ISBLANK(OFFSET($AP$2,L147,0)),"",OFFSET($AT$2,L147,0))</f>
        <v/>
      </c>
      <c r="M153" s="2522"/>
      <c r="N153" s="2523" t="str">
        <f ca="1">IF(ISBLANK(OFFSET($AP$2,L147,0)),"",OFFSET($AT$2,L147,0)-OFFSET($AZ$2,L147,0))</f>
        <v/>
      </c>
      <c r="O153" s="2524"/>
      <c r="P153" s="2521" t="str">
        <f ca="1">IF(ISBLANK(OFFSET($AP$2,P147,0)),"",OFFSET($AT$2,P147,0))</f>
        <v/>
      </c>
      <c r="Q153" s="2522"/>
      <c r="R153" s="2523" t="str">
        <f ca="1">IF(ISBLANK(OFFSET($AP$2,P147,0)),"",OFFSET($AT$2,P147,0)-OFFSET($AZ$2,P147,0))</f>
        <v/>
      </c>
      <c r="S153" s="2524"/>
      <c r="T153" s="2521" t="str">
        <f ca="1">IF(ISBLANK(OFFSET($AP$2,T147,0)),"",OFFSET($AT$2,T147,0))</f>
        <v/>
      </c>
      <c r="U153" s="2522"/>
      <c r="V153" s="2523" t="str">
        <f ca="1">IF(ISBLANK(OFFSET($AP$2,T147,0)),"",OFFSET($AT$2,T147,0)-OFFSET($AZ$2,T147,0))</f>
        <v/>
      </c>
      <c r="W153" s="2524"/>
      <c r="X153" s="2521" t="str">
        <f ca="1">IF(ISBLANK(OFFSET($AP$2,X147,0)),"",OFFSET($AT$2,X147,0))</f>
        <v/>
      </c>
      <c r="Y153" s="2522"/>
      <c r="Z153" s="2523" t="str">
        <f ca="1">IF(ISBLANK(OFFSET($AP$2,X147,0)),"",OFFSET($AT$2,X147,0)-OFFSET($AZ$2,X147,0))</f>
        <v/>
      </c>
      <c r="AA153" s="2524"/>
      <c r="AB153" s="57"/>
    </row>
    <row r="154" spans="1:28" ht="12.95" hidden="1" customHeight="1" thickBot="1" x14ac:dyDescent="0.25">
      <c r="A154" s="57"/>
      <c r="B154" s="2527" t="s">
        <v>439</v>
      </c>
      <c r="C154" s="2528"/>
      <c r="D154" s="2529" t="str">
        <f ca="1">IF(ISBLANK(OFFSET($AP$2,D147,0)),"",OFFSET($AV$2,D147,0))</f>
        <v/>
      </c>
      <c r="E154" s="2530"/>
      <c r="F154" s="2531" t="str">
        <f ca="1">IF(ISBLANK(OFFSET($AP$2,D147,0)),"",OFFSET($AV$2,D147,0)-OFFSET($BB$2,D147,0))</f>
        <v/>
      </c>
      <c r="G154" s="2532"/>
      <c r="H154" s="2529" t="str">
        <f ca="1">IF(ISBLANK(OFFSET($AP$2,H147,0)),"",OFFSET($AV$2,H147,0))</f>
        <v/>
      </c>
      <c r="I154" s="2530"/>
      <c r="J154" s="2531" t="str">
        <f ca="1">IF(ISBLANK(OFFSET($AP$2,H147,0)),"",OFFSET($AV$2,H147,0)-OFFSET($BB$2,H147,0))</f>
        <v/>
      </c>
      <c r="K154" s="2532"/>
      <c r="L154" s="2529" t="str">
        <f ca="1">IF(ISBLANK(OFFSET($AP$2,L147,0)),"",OFFSET($AV$2,L147,0))</f>
        <v/>
      </c>
      <c r="M154" s="2530"/>
      <c r="N154" s="2531" t="str">
        <f ca="1">IF(ISBLANK(OFFSET($AP$2,L147,0)),"",OFFSET($AV$2,L147,0)-OFFSET($BB$2,L147,0))</f>
        <v/>
      </c>
      <c r="O154" s="2532"/>
      <c r="P154" s="2529" t="str">
        <f ca="1">IF(ISBLANK(OFFSET($AP$2,P147,0)),"",OFFSET($AV$2,P147,0))</f>
        <v/>
      </c>
      <c r="Q154" s="2530"/>
      <c r="R154" s="2531" t="str">
        <f ca="1">IF(ISBLANK(OFFSET($AP$2,P147,0)),"",OFFSET($AV$2,P147,0)-OFFSET($BB$2,P147,0))</f>
        <v/>
      </c>
      <c r="S154" s="2532"/>
      <c r="T154" s="2529" t="str">
        <f ca="1">IF(ISBLANK(OFFSET($AP$2,T147,0)),"",OFFSET($AV$2,T147,0))</f>
        <v/>
      </c>
      <c r="U154" s="2530"/>
      <c r="V154" s="2531" t="str">
        <f ca="1">IF(ISBLANK(OFFSET($AP$2,T147,0)),"",OFFSET($AV$2,T147,0)-OFFSET($BB$2,T147,0))</f>
        <v/>
      </c>
      <c r="W154" s="2532"/>
      <c r="X154" s="2529" t="str">
        <f ca="1">IF(ISBLANK(OFFSET($AP$2,X147,0)),"",OFFSET($AV$2,X147,0))</f>
        <v/>
      </c>
      <c r="Y154" s="2530"/>
      <c r="Z154" s="2531" t="str">
        <f ca="1">IF(ISBLANK(OFFSET($AP$2,X147,0)),"",OFFSET($AV$2,X147,0)-OFFSET($BB$2,X147,0))</f>
        <v/>
      </c>
      <c r="AA154" s="2532"/>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33" t="str">
        <f ca="1">IF(ISBLANK(OFFSET($AP$2,D155,0)),"",CONCATENATE("Seq. ",OFFSET($AP$2,D155,0)))</f>
        <v/>
      </c>
      <c r="E156" s="2534"/>
      <c r="F156" s="2534"/>
      <c r="G156" s="2535"/>
      <c r="H156" s="2533" t="str">
        <f ca="1">IF(ISBLANK(OFFSET($AP$2,H155,0)),"",CONCATENATE("Seq. ",OFFSET($AP$2,H155,0)))</f>
        <v/>
      </c>
      <c r="I156" s="2534"/>
      <c r="J156" s="2534"/>
      <c r="K156" s="2535"/>
      <c r="L156" s="2533" t="str">
        <f ca="1">IF(ISBLANK(OFFSET($AP$2,L155,0)),"",CONCATENATE("Seq. ",OFFSET($AP$2,L155,0)))</f>
        <v/>
      </c>
      <c r="M156" s="2534"/>
      <c r="N156" s="2534"/>
      <c r="O156" s="2535"/>
      <c r="P156" s="2533" t="str">
        <f ca="1">IF(ISBLANK(OFFSET($AP$2,P155,0)),"",CONCATENATE("Seq. ",OFFSET($AP$2,P155,0)))</f>
        <v/>
      </c>
      <c r="Q156" s="2534"/>
      <c r="R156" s="2534"/>
      <c r="S156" s="2535"/>
      <c r="T156" s="2533" t="str">
        <f ca="1">IF(ISBLANK(OFFSET($AP$2,T155,0)),"",CONCATENATE("Seq. ",OFFSET($AP$2,T155,0)))</f>
        <v/>
      </c>
      <c r="U156" s="2534"/>
      <c r="V156" s="2534"/>
      <c r="W156" s="2535"/>
      <c r="X156" s="2533" t="str">
        <f ca="1">IF(ISBLANK(OFFSET($AP$2,X155,0)),"",CONCATENATE("Seq. ",OFFSET($AP$2,X155,0)))</f>
        <v/>
      </c>
      <c r="Y156" s="2534"/>
      <c r="Z156" s="2534"/>
      <c r="AA156" s="2535"/>
      <c r="AB156" s="57"/>
    </row>
    <row r="157" spans="1:28" ht="12.95" hidden="1" customHeight="1" thickBot="1" x14ac:dyDescent="0.25">
      <c r="A157" s="57"/>
      <c r="B157" s="41"/>
      <c r="C157" s="42"/>
      <c r="D157" s="2536" t="s">
        <v>440</v>
      </c>
      <c r="E157" s="2537"/>
      <c r="F157" s="2537" t="s">
        <v>441</v>
      </c>
      <c r="G157" s="2538"/>
      <c r="H157" s="2536" t="s">
        <v>440</v>
      </c>
      <c r="I157" s="2537"/>
      <c r="J157" s="2537" t="s">
        <v>441</v>
      </c>
      <c r="K157" s="2538"/>
      <c r="L157" s="2536" t="s">
        <v>440</v>
      </c>
      <c r="M157" s="2537"/>
      <c r="N157" s="2537" t="s">
        <v>441</v>
      </c>
      <c r="O157" s="2538"/>
      <c r="P157" s="2536" t="s">
        <v>440</v>
      </c>
      <c r="Q157" s="2537"/>
      <c r="R157" s="2537" t="s">
        <v>441</v>
      </c>
      <c r="S157" s="2538"/>
      <c r="T157" s="2536" t="s">
        <v>440</v>
      </c>
      <c r="U157" s="2537"/>
      <c r="V157" s="2537" t="s">
        <v>441</v>
      </c>
      <c r="W157" s="2538"/>
      <c r="X157" s="2536" t="s">
        <v>440</v>
      </c>
      <c r="Y157" s="2537"/>
      <c r="Z157" s="2537" t="s">
        <v>441</v>
      </c>
      <c r="AA157" s="2538"/>
      <c r="AB157" s="57"/>
    </row>
    <row r="158" spans="1:28" ht="12.95" hidden="1" customHeight="1" x14ac:dyDescent="0.2">
      <c r="A158" s="57"/>
      <c r="B158" s="2539" t="s">
        <v>73</v>
      </c>
      <c r="C158" s="2540"/>
      <c r="D158" s="2521" t="str">
        <f ca="1">IF(ISBLANK(OFFSET($AP$2,D155,0)),"",OFFSET($AQ$2,D155,0)+OFFSET($AU$2,D155,0))</f>
        <v/>
      </c>
      <c r="E158" s="2522"/>
      <c r="F158" s="2523" t="str">
        <f ca="1">IF(ISBLANK(OFFSET($AP$2,D155,0)),"",(OFFSET($AQ$2,D155,0)+OFFSET($AU$2,D155,0))-(OFFSET($AW$2,D155,0)+OFFSET($BA$2,D155,0)))</f>
        <v/>
      </c>
      <c r="G158" s="2524"/>
      <c r="H158" s="2521" t="str">
        <f ca="1">IF(ISBLANK(OFFSET($AP$2,H155,0)),"",OFFSET($AQ$2,H155,0)+OFFSET($AU$2,H155,0))</f>
        <v/>
      </c>
      <c r="I158" s="2522"/>
      <c r="J158" s="2523" t="str">
        <f ca="1">IF(ISBLANK(OFFSET($AP$2,H155,0)),"",(OFFSET($AQ$2,H155,0)+OFFSET($AU$2,H155,0))-(OFFSET($AW$2,H155,0)+OFFSET($BA$2,H155,0)))</f>
        <v/>
      </c>
      <c r="K158" s="2524"/>
      <c r="L158" s="2521" t="str">
        <f ca="1">IF(ISBLANK(OFFSET($AP$2,L155,0)),"",OFFSET($AQ$2,L155,0)+OFFSET($AU$2,L155,0))</f>
        <v/>
      </c>
      <c r="M158" s="2522"/>
      <c r="N158" s="2523" t="str">
        <f ca="1">IF(ISBLANK(OFFSET($AP$2,L155,0)),"",(OFFSET($AQ$2,L155,0)+OFFSET($AU$2,L155,0))-(OFFSET($AW$2,L155,0)+OFFSET($BA$2,L155,0)))</f>
        <v/>
      </c>
      <c r="O158" s="2524"/>
      <c r="P158" s="2521" t="str">
        <f ca="1">IF(ISBLANK(OFFSET($AP$2,P155,0)),"",OFFSET($AQ$2,P155,0)+OFFSET($AU$2,P155,0))</f>
        <v/>
      </c>
      <c r="Q158" s="2522"/>
      <c r="R158" s="2523" t="str">
        <f ca="1">IF(ISBLANK(OFFSET($AP$2,P155,0)),"",(OFFSET($AQ$2,P155,0)+OFFSET($AU$2,P155,0))-(OFFSET($AW$2,P155,0)+OFFSET($BA$2,P155,0)))</f>
        <v/>
      </c>
      <c r="S158" s="2524"/>
      <c r="T158" s="2521" t="str">
        <f ca="1">IF(ISBLANK(OFFSET($AP$2,T155,0)),"",OFFSET($AQ$2,T155,0)+OFFSET($AU$2,T155,0))</f>
        <v/>
      </c>
      <c r="U158" s="2522"/>
      <c r="V158" s="2523" t="str">
        <f ca="1">IF(ISBLANK(OFFSET($AP$2,T155,0)),"",(OFFSET($AQ$2,T155,0)+OFFSET($AU$2,T155,0))-(OFFSET($AW$2,T155,0)+OFFSET($BA$2,T155,0)))</f>
        <v/>
      </c>
      <c r="W158" s="2524"/>
      <c r="X158" s="2521" t="str">
        <f ca="1">IF(ISBLANK(OFFSET($AP$2,X155,0)),"",OFFSET($AQ$2,X155,0)+OFFSET($AU$2,X155,0))</f>
        <v/>
      </c>
      <c r="Y158" s="2522"/>
      <c r="Z158" s="2523" t="str">
        <f ca="1">IF(ISBLANK(OFFSET($AP$2,X155,0)),"",(OFFSET($AQ$2,X155,0)+OFFSET($AU$2,X155,0))-(OFFSET($AW$2,X155,0)+OFFSET($BA$2,X155,0)))</f>
        <v/>
      </c>
      <c r="AA158" s="2524"/>
      <c r="AB158" s="57"/>
    </row>
    <row r="159" spans="1:28" ht="12.95" hidden="1" customHeight="1" x14ac:dyDescent="0.2">
      <c r="A159" s="57"/>
      <c r="B159" s="2525" t="s">
        <v>437</v>
      </c>
      <c r="C159" s="2526"/>
      <c r="D159" s="2521" t="str">
        <f ca="1">IF(ISBLANK(OFFSET($AP$2,D155,0)),"",OFFSET($AR$2,D155,0))</f>
        <v/>
      </c>
      <c r="E159" s="2522"/>
      <c r="F159" s="2523" t="str">
        <f ca="1">IF(ISBLANK(OFFSET($AP$2,D155,0)),"",OFFSET($AR$2,D155,0)-OFFSET($AX$2,D155,0))</f>
        <v/>
      </c>
      <c r="G159" s="2524"/>
      <c r="H159" s="2521" t="str">
        <f ca="1">IF(ISBLANK(OFFSET($AP$2,H155,0)),"",OFFSET($AR$2,H155,0))</f>
        <v/>
      </c>
      <c r="I159" s="2522"/>
      <c r="J159" s="2523" t="str">
        <f ca="1">IF(ISBLANK(OFFSET($AP$2,H155,0)),"",OFFSET($AR$2,H155,0)-OFFSET($AX$2,H155,0))</f>
        <v/>
      </c>
      <c r="K159" s="2524"/>
      <c r="L159" s="2521" t="str">
        <f ca="1">IF(ISBLANK(OFFSET($AP$2,L155,0)),"",OFFSET($AR$2,L155,0))</f>
        <v/>
      </c>
      <c r="M159" s="2522"/>
      <c r="N159" s="2523" t="str">
        <f ca="1">IF(ISBLANK(OFFSET($AP$2,L155,0)),"",OFFSET($AR$2,L155,0)-OFFSET($AX$2,L155,0))</f>
        <v/>
      </c>
      <c r="O159" s="2524"/>
      <c r="P159" s="2521" t="str">
        <f ca="1">IF(ISBLANK(OFFSET($AP$2,P155,0)),"",OFFSET($AR$2,P155,0))</f>
        <v/>
      </c>
      <c r="Q159" s="2522"/>
      <c r="R159" s="2523" t="str">
        <f ca="1">IF(ISBLANK(OFFSET($AP$2,P155,0)),"",OFFSET($AR$2,P155,0)-OFFSET($AX$2,P155,0))</f>
        <v/>
      </c>
      <c r="S159" s="2524"/>
      <c r="T159" s="2521" t="str">
        <f ca="1">IF(ISBLANK(OFFSET($AP$2,T155,0)),"",OFFSET($AR$2,T155,0))</f>
        <v/>
      </c>
      <c r="U159" s="2522"/>
      <c r="V159" s="2523" t="str">
        <f ca="1">IF(ISBLANK(OFFSET($AP$2,T155,0)),"",OFFSET($AR$2,T155,0)-OFFSET($AX$2,T155,0))</f>
        <v/>
      </c>
      <c r="W159" s="2524"/>
      <c r="X159" s="2521" t="str">
        <f ca="1">IF(ISBLANK(OFFSET($AP$2,X155,0)),"",OFFSET($AR$2,X155,0))</f>
        <v/>
      </c>
      <c r="Y159" s="2522"/>
      <c r="Z159" s="2523" t="str">
        <f ca="1">IF(ISBLANK(OFFSET($AP$2,X155,0)),"",OFFSET($AR$2,X155,0)-OFFSET($AX$2,X155,0))</f>
        <v/>
      </c>
      <c r="AA159" s="2524"/>
      <c r="AB159" s="57"/>
    </row>
    <row r="160" spans="1:28" ht="12.95" hidden="1" customHeight="1" x14ac:dyDescent="0.2">
      <c r="A160" s="57"/>
      <c r="B160" s="2525" t="s">
        <v>438</v>
      </c>
      <c r="C160" s="2526"/>
      <c r="D160" s="2521" t="str">
        <f ca="1">IF(ISBLANK(OFFSET($AP$2,D155,0)),"",OFFSET($AS$2,D155,0))</f>
        <v/>
      </c>
      <c r="E160" s="2522"/>
      <c r="F160" s="2523" t="str">
        <f ca="1">IF(ISBLANK(OFFSET($AP$2,D155,0)),"",OFFSET($AS$2,D155,0)-OFFSET($AY$2,D155,0))</f>
        <v/>
      </c>
      <c r="G160" s="2524"/>
      <c r="H160" s="2521" t="str">
        <f ca="1">IF(ISBLANK(OFFSET($AP$2,H155,0)),"",OFFSET($AS$2,H155,0))</f>
        <v/>
      </c>
      <c r="I160" s="2522"/>
      <c r="J160" s="2523" t="str">
        <f ca="1">IF(ISBLANK(OFFSET($AP$2,H155,0)),"",OFFSET($AS$2,H155,0)-OFFSET($AY$2,H155,0))</f>
        <v/>
      </c>
      <c r="K160" s="2524"/>
      <c r="L160" s="2521" t="str">
        <f ca="1">IF(ISBLANK(OFFSET($AP$2,L155,0)),"",OFFSET($AS$2,L155,0))</f>
        <v/>
      </c>
      <c r="M160" s="2522"/>
      <c r="N160" s="2523" t="str">
        <f ca="1">IF(ISBLANK(OFFSET($AP$2,L155,0)),"",OFFSET($AS$2,L155,0)-OFFSET($AY$2,L155,0))</f>
        <v/>
      </c>
      <c r="O160" s="2524"/>
      <c r="P160" s="2521" t="str">
        <f ca="1">IF(ISBLANK(OFFSET($AP$2,P155,0)),"",OFFSET($AS$2,P155,0))</f>
        <v/>
      </c>
      <c r="Q160" s="2522"/>
      <c r="R160" s="2523" t="str">
        <f ca="1">IF(ISBLANK(OFFSET($AP$2,P155,0)),"",OFFSET($AS$2,P155,0)-OFFSET($AY$2,P155,0))</f>
        <v/>
      </c>
      <c r="S160" s="2524"/>
      <c r="T160" s="2521" t="str">
        <f ca="1">IF(ISBLANK(OFFSET($AP$2,T155,0)),"",OFFSET($AS$2,T155,0))</f>
        <v/>
      </c>
      <c r="U160" s="2522"/>
      <c r="V160" s="2523" t="str">
        <f ca="1">IF(ISBLANK(OFFSET($AP$2,T155,0)),"",OFFSET($AS$2,T155,0)-OFFSET($AY$2,T155,0))</f>
        <v/>
      </c>
      <c r="W160" s="2524"/>
      <c r="X160" s="2521" t="str">
        <f ca="1">IF(ISBLANK(OFFSET($AP$2,X155,0)),"",OFFSET($AS$2,X155,0))</f>
        <v/>
      </c>
      <c r="Y160" s="2522"/>
      <c r="Z160" s="2523" t="str">
        <f ca="1">IF(ISBLANK(OFFSET($AP$2,X155,0)),"",OFFSET($AS$2,X155,0)-OFFSET($AY$2,X155,0))</f>
        <v/>
      </c>
      <c r="AA160" s="2524"/>
      <c r="AB160" s="57"/>
    </row>
    <row r="161" spans="1:28" ht="12.95" hidden="1" customHeight="1" x14ac:dyDescent="0.2">
      <c r="A161" s="57"/>
      <c r="B161" s="2525" t="s">
        <v>75</v>
      </c>
      <c r="C161" s="2526"/>
      <c r="D161" s="2521" t="str">
        <f ca="1">IF(ISBLANK(OFFSET($AP$2,D155,0)),"",OFFSET($AT$2,D155,0))</f>
        <v/>
      </c>
      <c r="E161" s="2522"/>
      <c r="F161" s="2523" t="str">
        <f ca="1">IF(ISBLANK(OFFSET($AP$2,D155,0)),"",OFFSET($AT$2,D155,0)-OFFSET($AZ$2,D155,0))</f>
        <v/>
      </c>
      <c r="G161" s="2524"/>
      <c r="H161" s="2521" t="str">
        <f ca="1">IF(ISBLANK(OFFSET($AP$2,H155,0)),"",OFFSET($AT$2,H155,0))</f>
        <v/>
      </c>
      <c r="I161" s="2522"/>
      <c r="J161" s="2523" t="str">
        <f ca="1">IF(ISBLANK(OFFSET($AP$2,H155,0)),"",OFFSET($AT$2,H155,0)-OFFSET($AZ$2,H155,0))</f>
        <v/>
      </c>
      <c r="K161" s="2524"/>
      <c r="L161" s="2521" t="str">
        <f ca="1">IF(ISBLANK(OFFSET($AP$2,L155,0)),"",OFFSET($AT$2,L155,0))</f>
        <v/>
      </c>
      <c r="M161" s="2522"/>
      <c r="N161" s="2523" t="str">
        <f ca="1">IF(ISBLANK(OFFSET($AP$2,L155,0)),"",OFFSET($AT$2,L155,0)-OFFSET($AZ$2,L155,0))</f>
        <v/>
      </c>
      <c r="O161" s="2524"/>
      <c r="P161" s="2521" t="str">
        <f ca="1">IF(ISBLANK(OFFSET($AP$2,P155,0)),"",OFFSET($AT$2,P155,0))</f>
        <v/>
      </c>
      <c r="Q161" s="2522"/>
      <c r="R161" s="2523" t="str">
        <f ca="1">IF(ISBLANK(OFFSET($AP$2,P155,0)),"",OFFSET($AT$2,P155,0)-OFFSET($AZ$2,P155,0))</f>
        <v/>
      </c>
      <c r="S161" s="2524"/>
      <c r="T161" s="2521" t="str">
        <f ca="1">IF(ISBLANK(OFFSET($AP$2,T155,0)),"",OFFSET($AT$2,T155,0))</f>
        <v/>
      </c>
      <c r="U161" s="2522"/>
      <c r="V161" s="2523" t="str">
        <f ca="1">IF(ISBLANK(OFFSET($AP$2,T155,0)),"",OFFSET($AT$2,T155,0)-OFFSET($AZ$2,T155,0))</f>
        <v/>
      </c>
      <c r="W161" s="2524"/>
      <c r="X161" s="2521" t="str">
        <f ca="1">IF(ISBLANK(OFFSET($AP$2,X155,0)),"",OFFSET($AT$2,X155,0))</f>
        <v/>
      </c>
      <c r="Y161" s="2522"/>
      <c r="Z161" s="2523" t="str">
        <f ca="1">IF(ISBLANK(OFFSET($AP$2,X155,0)),"",OFFSET($AT$2,X155,0)-OFFSET($AZ$2,X155,0))</f>
        <v/>
      </c>
      <c r="AA161" s="2524"/>
      <c r="AB161" s="57"/>
    </row>
    <row r="162" spans="1:28" ht="12.95" hidden="1" customHeight="1" thickBot="1" x14ac:dyDescent="0.25">
      <c r="A162" s="57"/>
      <c r="B162" s="2527" t="s">
        <v>439</v>
      </c>
      <c r="C162" s="2528"/>
      <c r="D162" s="2529" t="str">
        <f ca="1">IF(ISBLANK(OFFSET($AP$2,D155,0)),"",OFFSET($AV$2,D155,0))</f>
        <v/>
      </c>
      <c r="E162" s="2530"/>
      <c r="F162" s="2531" t="str">
        <f ca="1">IF(ISBLANK(OFFSET($AP$2,D155,0)),"",OFFSET($AV$2,D155,0)-OFFSET($BB$2,D155,0))</f>
        <v/>
      </c>
      <c r="G162" s="2532"/>
      <c r="H162" s="2529" t="str">
        <f ca="1">IF(ISBLANK(OFFSET($AP$2,H155,0)),"",OFFSET($AV$2,H155,0))</f>
        <v/>
      </c>
      <c r="I162" s="2530"/>
      <c r="J162" s="2531" t="str">
        <f ca="1">IF(ISBLANK(OFFSET($AP$2,H155,0)),"",OFFSET($AV$2,H155,0)-OFFSET($BB$2,H155,0))</f>
        <v/>
      </c>
      <c r="K162" s="2532"/>
      <c r="L162" s="2529" t="str">
        <f ca="1">IF(ISBLANK(OFFSET($AP$2,L155,0)),"",OFFSET($AV$2,L155,0))</f>
        <v/>
      </c>
      <c r="M162" s="2530"/>
      <c r="N162" s="2531" t="str">
        <f ca="1">IF(ISBLANK(OFFSET($AP$2,L155,0)),"",OFFSET($AV$2,L155,0)-OFFSET($BB$2,L155,0))</f>
        <v/>
      </c>
      <c r="O162" s="2532"/>
      <c r="P162" s="2529" t="str">
        <f ca="1">IF(ISBLANK(OFFSET($AP$2,P155,0)),"",OFFSET($AV$2,P155,0))</f>
        <v/>
      </c>
      <c r="Q162" s="2530"/>
      <c r="R162" s="2531" t="str">
        <f ca="1">IF(ISBLANK(OFFSET($AP$2,P155,0)),"",OFFSET($AV$2,P155,0)-OFFSET($BB$2,P155,0))</f>
        <v/>
      </c>
      <c r="S162" s="2532"/>
      <c r="T162" s="2529" t="str">
        <f ca="1">IF(ISBLANK(OFFSET($AP$2,T155,0)),"",OFFSET($AV$2,T155,0))</f>
        <v/>
      </c>
      <c r="U162" s="2530"/>
      <c r="V162" s="2531" t="str">
        <f ca="1">IF(ISBLANK(OFFSET($AP$2,T155,0)),"",OFFSET($AV$2,T155,0)-OFFSET($BB$2,T155,0))</f>
        <v/>
      </c>
      <c r="W162" s="2532"/>
      <c r="X162" s="2529" t="str">
        <f ca="1">IF(ISBLANK(OFFSET($AP$2,X155,0)),"",OFFSET($AV$2,X155,0))</f>
        <v/>
      </c>
      <c r="Y162" s="2530"/>
      <c r="Z162" s="2531" t="str">
        <f ca="1">IF(ISBLANK(OFFSET($AP$2,X155,0)),"",OFFSET($AV$2,X155,0)-OFFSET($BB$2,X155,0))</f>
        <v/>
      </c>
      <c r="AA162" s="2532"/>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33" t="str">
        <f ca="1">IF(ISBLANK(OFFSET($AP$2,D163,0)),"",CONCATENATE("Seq. ",OFFSET($AP$2,D163,0)))</f>
        <v/>
      </c>
      <c r="E164" s="2534"/>
      <c r="F164" s="2534"/>
      <c r="G164" s="2535"/>
      <c r="H164" s="2533" t="str">
        <f ca="1">IF(ISBLANK(OFFSET($AP$2,H163,0)),"",CONCATENATE("Seq. ",OFFSET($AP$2,H163,0)))</f>
        <v/>
      </c>
      <c r="I164" s="2534"/>
      <c r="J164" s="2534"/>
      <c r="K164" s="2535"/>
      <c r="L164" s="2533" t="str">
        <f ca="1">IF(ISBLANK(OFFSET($AP$2,L163,0)),"",CONCATENATE("Seq. ",OFFSET($AP$2,L163,0)))</f>
        <v/>
      </c>
      <c r="M164" s="2534"/>
      <c r="N164" s="2534"/>
      <c r="O164" s="2535"/>
      <c r="P164" s="2533" t="str">
        <f ca="1">IF(ISBLANK(OFFSET($AP$2,P163,0)),"",CONCATENATE("Seq. ",OFFSET($AP$2,P163,0)))</f>
        <v/>
      </c>
      <c r="Q164" s="2534"/>
      <c r="R164" s="2534"/>
      <c r="S164" s="2535"/>
      <c r="T164" s="2533" t="str">
        <f ca="1">IF(ISBLANK(OFFSET($AP$2,T163,0)),"",CONCATENATE("Seq. ",OFFSET($AP$2,T163,0)))</f>
        <v/>
      </c>
      <c r="U164" s="2534"/>
      <c r="V164" s="2534"/>
      <c r="W164" s="2535"/>
      <c r="X164" s="2533" t="str">
        <f ca="1">IF(ISBLANK(OFFSET($AP$2,X163,0)),"",CONCATENATE("Seq. ",OFFSET($AP$2,X163,0)))</f>
        <v/>
      </c>
      <c r="Y164" s="2534"/>
      <c r="Z164" s="2534"/>
      <c r="AA164" s="2535"/>
      <c r="AB164" s="57"/>
    </row>
    <row r="165" spans="1:28" ht="12.95" hidden="1" customHeight="1" thickBot="1" x14ac:dyDescent="0.25">
      <c r="A165" s="57"/>
      <c r="B165" s="41"/>
      <c r="C165" s="42"/>
      <c r="D165" s="2536" t="s">
        <v>440</v>
      </c>
      <c r="E165" s="2537"/>
      <c r="F165" s="2537" t="s">
        <v>441</v>
      </c>
      <c r="G165" s="2538"/>
      <c r="H165" s="2536" t="s">
        <v>440</v>
      </c>
      <c r="I165" s="2537"/>
      <c r="J165" s="2537" t="s">
        <v>441</v>
      </c>
      <c r="K165" s="2538"/>
      <c r="L165" s="2536" t="s">
        <v>440</v>
      </c>
      <c r="M165" s="2537"/>
      <c r="N165" s="2537" t="s">
        <v>441</v>
      </c>
      <c r="O165" s="2538"/>
      <c r="P165" s="2536" t="s">
        <v>440</v>
      </c>
      <c r="Q165" s="2537"/>
      <c r="R165" s="2537" t="s">
        <v>441</v>
      </c>
      <c r="S165" s="2538"/>
      <c r="T165" s="2536" t="s">
        <v>440</v>
      </c>
      <c r="U165" s="2537"/>
      <c r="V165" s="2537" t="s">
        <v>441</v>
      </c>
      <c r="W165" s="2538"/>
      <c r="X165" s="2536" t="s">
        <v>440</v>
      </c>
      <c r="Y165" s="2537"/>
      <c r="Z165" s="2537" t="s">
        <v>441</v>
      </c>
      <c r="AA165" s="2538"/>
      <c r="AB165" s="57"/>
    </row>
    <row r="166" spans="1:28" ht="12.95" hidden="1" customHeight="1" x14ac:dyDescent="0.2">
      <c r="A166" s="57"/>
      <c r="B166" s="2539" t="s">
        <v>73</v>
      </c>
      <c r="C166" s="2540"/>
      <c r="D166" s="2521" t="str">
        <f ca="1">IF(ISBLANK(OFFSET($AP$2,D163,0)),"",OFFSET($AQ$2,D163,0)+OFFSET($AU$2,D163,0))</f>
        <v/>
      </c>
      <c r="E166" s="2522"/>
      <c r="F166" s="2523" t="str">
        <f ca="1">IF(ISBLANK(OFFSET($AP$2,D163,0)),"",(OFFSET($AQ$2,D163,0)+OFFSET($AU$2,D163,0))-(OFFSET($AW$2,D163,0)+OFFSET($BA$2,D163,0)))</f>
        <v/>
      </c>
      <c r="G166" s="2524"/>
      <c r="H166" s="2521" t="str">
        <f ca="1">IF(ISBLANK(OFFSET($AP$2,H163,0)),"",OFFSET($AQ$2,H163,0)+OFFSET($AU$2,H163,0))</f>
        <v/>
      </c>
      <c r="I166" s="2522"/>
      <c r="J166" s="2523" t="str">
        <f ca="1">IF(ISBLANK(OFFSET($AP$2,H163,0)),"",(OFFSET($AQ$2,H163,0)+OFFSET($AU$2,H163,0))-(OFFSET($AW$2,H163,0)+OFFSET($BA$2,H163,0)))</f>
        <v/>
      </c>
      <c r="K166" s="2524"/>
      <c r="L166" s="2521" t="str">
        <f ca="1">IF(ISBLANK(OFFSET($AP$2,L163,0)),"",OFFSET($AQ$2,L163,0)+OFFSET($AU$2,L163,0))</f>
        <v/>
      </c>
      <c r="M166" s="2522"/>
      <c r="N166" s="2523" t="str">
        <f ca="1">IF(ISBLANK(OFFSET($AP$2,L163,0)),"",(OFFSET($AQ$2,L163,0)+OFFSET($AU$2,L163,0))-(OFFSET($AW$2,L163,0)+OFFSET($BA$2,L163,0)))</f>
        <v/>
      </c>
      <c r="O166" s="2524"/>
      <c r="P166" s="2521" t="str">
        <f ca="1">IF(ISBLANK(OFFSET($AP$2,P163,0)),"",OFFSET($AQ$2,P163,0)+OFFSET($AU$2,P163,0))</f>
        <v/>
      </c>
      <c r="Q166" s="2522"/>
      <c r="R166" s="2523" t="str">
        <f ca="1">IF(ISBLANK(OFFSET($AP$2,P163,0)),"",(OFFSET($AQ$2,P163,0)+OFFSET($AU$2,P163,0))-(OFFSET($AW$2,P163,0)+OFFSET($BA$2,P163,0)))</f>
        <v/>
      </c>
      <c r="S166" s="2524"/>
      <c r="T166" s="2521" t="str">
        <f ca="1">IF(ISBLANK(OFFSET($AP$2,T163,0)),"",OFFSET($AQ$2,T163,0)+OFFSET($AU$2,T163,0))</f>
        <v/>
      </c>
      <c r="U166" s="2522"/>
      <c r="V166" s="2523" t="str">
        <f ca="1">IF(ISBLANK(OFFSET($AP$2,T163,0)),"",(OFFSET($AQ$2,T163,0)+OFFSET($AU$2,T163,0))-(OFFSET($AW$2,T163,0)+OFFSET($BA$2,T163,0)))</f>
        <v/>
      </c>
      <c r="W166" s="2524"/>
      <c r="X166" s="2521" t="str">
        <f ca="1">IF(ISBLANK(OFFSET($AP$2,X163,0)),"",OFFSET($AQ$2,X163,0)+OFFSET($AU$2,X163,0))</f>
        <v/>
      </c>
      <c r="Y166" s="2522"/>
      <c r="Z166" s="2523" t="str">
        <f ca="1">IF(ISBLANK(OFFSET($AP$2,X163,0)),"",(OFFSET($AQ$2,X163,0)+OFFSET($AU$2,X163,0))-(OFFSET($AW$2,X163,0)+OFFSET($BA$2,X163,0)))</f>
        <v/>
      </c>
      <c r="AA166" s="2524"/>
      <c r="AB166" s="57"/>
    </row>
    <row r="167" spans="1:28" ht="12.95" hidden="1" customHeight="1" x14ac:dyDescent="0.2">
      <c r="A167" s="57"/>
      <c r="B167" s="2525" t="s">
        <v>437</v>
      </c>
      <c r="C167" s="2526"/>
      <c r="D167" s="2521" t="str">
        <f ca="1">IF(ISBLANK(OFFSET($AP$2,D163,0)),"",OFFSET($AR$2,D163,0))</f>
        <v/>
      </c>
      <c r="E167" s="2522"/>
      <c r="F167" s="2523" t="str">
        <f ca="1">IF(ISBLANK(OFFSET($AP$2,D163,0)),"",OFFSET($AR$2,D163,0)-OFFSET($AX$2,D163,0))</f>
        <v/>
      </c>
      <c r="G167" s="2524"/>
      <c r="H167" s="2521" t="str">
        <f ca="1">IF(ISBLANK(OFFSET($AP$2,H163,0)),"",OFFSET($AR$2,H163,0))</f>
        <v/>
      </c>
      <c r="I167" s="2522"/>
      <c r="J167" s="2523" t="str">
        <f ca="1">IF(ISBLANK(OFFSET($AP$2,H163,0)),"",OFFSET($AR$2,H163,0)-OFFSET($AX$2,H163,0))</f>
        <v/>
      </c>
      <c r="K167" s="2524"/>
      <c r="L167" s="2521" t="str">
        <f ca="1">IF(ISBLANK(OFFSET($AP$2,L163,0)),"",OFFSET($AR$2,L163,0))</f>
        <v/>
      </c>
      <c r="M167" s="2522"/>
      <c r="N167" s="2523" t="str">
        <f ca="1">IF(ISBLANK(OFFSET($AP$2,L163,0)),"",OFFSET($AR$2,L163,0)-OFFSET($AX$2,L163,0))</f>
        <v/>
      </c>
      <c r="O167" s="2524"/>
      <c r="P167" s="2521" t="str">
        <f ca="1">IF(ISBLANK(OFFSET($AP$2,P163,0)),"",OFFSET($AR$2,P163,0))</f>
        <v/>
      </c>
      <c r="Q167" s="2522"/>
      <c r="R167" s="2523" t="str">
        <f ca="1">IF(ISBLANK(OFFSET($AP$2,P163,0)),"",OFFSET($AR$2,P163,0)-OFFSET($AX$2,P163,0))</f>
        <v/>
      </c>
      <c r="S167" s="2524"/>
      <c r="T167" s="2521" t="str">
        <f ca="1">IF(ISBLANK(OFFSET($AP$2,T163,0)),"",OFFSET($AR$2,T163,0))</f>
        <v/>
      </c>
      <c r="U167" s="2522"/>
      <c r="V167" s="2523" t="str">
        <f ca="1">IF(ISBLANK(OFFSET($AP$2,T163,0)),"",OFFSET($AR$2,T163,0)-OFFSET($AX$2,T163,0))</f>
        <v/>
      </c>
      <c r="W167" s="2524"/>
      <c r="X167" s="2521" t="str">
        <f ca="1">IF(ISBLANK(OFFSET($AP$2,X163,0)),"",OFFSET($AR$2,X163,0))</f>
        <v/>
      </c>
      <c r="Y167" s="2522"/>
      <c r="Z167" s="2523" t="str">
        <f ca="1">IF(ISBLANK(OFFSET($AP$2,X163,0)),"",OFFSET($AR$2,X163,0)-OFFSET($AX$2,X163,0))</f>
        <v/>
      </c>
      <c r="AA167" s="2524"/>
      <c r="AB167" s="57"/>
    </row>
    <row r="168" spans="1:28" ht="12.95" hidden="1" customHeight="1" x14ac:dyDescent="0.2">
      <c r="A168" s="57"/>
      <c r="B168" s="2525" t="s">
        <v>438</v>
      </c>
      <c r="C168" s="2526"/>
      <c r="D168" s="2521" t="str">
        <f ca="1">IF(ISBLANK(OFFSET($AP$2,D163,0)),"",OFFSET($AS$2,D163,0))</f>
        <v/>
      </c>
      <c r="E168" s="2522"/>
      <c r="F168" s="2523" t="str">
        <f ca="1">IF(ISBLANK(OFFSET($AP$2,D163,0)),"",OFFSET($AS$2,D163,0)-OFFSET($AY$2,D163,0))</f>
        <v/>
      </c>
      <c r="G168" s="2524"/>
      <c r="H168" s="2521" t="str">
        <f ca="1">IF(ISBLANK(OFFSET($AP$2,H163,0)),"",OFFSET($AS$2,H163,0))</f>
        <v/>
      </c>
      <c r="I168" s="2522"/>
      <c r="J168" s="2523" t="str">
        <f ca="1">IF(ISBLANK(OFFSET($AP$2,H163,0)),"",OFFSET($AS$2,H163,0)-OFFSET($AY$2,H163,0))</f>
        <v/>
      </c>
      <c r="K168" s="2524"/>
      <c r="L168" s="2521" t="str">
        <f ca="1">IF(ISBLANK(OFFSET($AP$2,L163,0)),"",OFFSET($AS$2,L163,0))</f>
        <v/>
      </c>
      <c r="M168" s="2522"/>
      <c r="N168" s="2523" t="str">
        <f ca="1">IF(ISBLANK(OFFSET($AP$2,L163,0)),"",OFFSET($AS$2,L163,0)-OFFSET($AY$2,L163,0))</f>
        <v/>
      </c>
      <c r="O168" s="2524"/>
      <c r="P168" s="2521" t="str">
        <f ca="1">IF(ISBLANK(OFFSET($AP$2,P163,0)),"",OFFSET($AS$2,P163,0))</f>
        <v/>
      </c>
      <c r="Q168" s="2522"/>
      <c r="R168" s="2523" t="str">
        <f ca="1">IF(ISBLANK(OFFSET($AP$2,P163,0)),"",OFFSET($AS$2,P163,0)-OFFSET($AY$2,P163,0))</f>
        <v/>
      </c>
      <c r="S168" s="2524"/>
      <c r="T168" s="2521" t="str">
        <f ca="1">IF(ISBLANK(OFFSET($AP$2,T163,0)),"",OFFSET($AS$2,T163,0))</f>
        <v/>
      </c>
      <c r="U168" s="2522"/>
      <c r="V168" s="2523" t="str">
        <f ca="1">IF(ISBLANK(OFFSET($AP$2,T163,0)),"",OFFSET($AS$2,T163,0)-OFFSET($AY$2,T163,0))</f>
        <v/>
      </c>
      <c r="W168" s="2524"/>
      <c r="X168" s="2521" t="str">
        <f ca="1">IF(ISBLANK(OFFSET($AP$2,X163,0)),"",OFFSET($AS$2,X163,0))</f>
        <v/>
      </c>
      <c r="Y168" s="2522"/>
      <c r="Z168" s="2523" t="str">
        <f ca="1">IF(ISBLANK(OFFSET($AP$2,X163,0)),"",OFFSET($AS$2,X163,0)-OFFSET($AY$2,X163,0))</f>
        <v/>
      </c>
      <c r="AA168" s="2524"/>
      <c r="AB168" s="57"/>
    </row>
    <row r="169" spans="1:28" ht="12.95" hidden="1" customHeight="1" x14ac:dyDescent="0.2">
      <c r="A169" s="57"/>
      <c r="B169" s="2525" t="s">
        <v>75</v>
      </c>
      <c r="C169" s="2526"/>
      <c r="D169" s="2521" t="str">
        <f ca="1">IF(ISBLANK(OFFSET($AP$2,D163,0)),"",OFFSET($AT$2,D163,0))</f>
        <v/>
      </c>
      <c r="E169" s="2522"/>
      <c r="F169" s="2523" t="str">
        <f ca="1">IF(ISBLANK(OFFSET($AP$2,D163,0)),"",OFFSET($AT$2,D163,0)-OFFSET($AZ$2,D163,0))</f>
        <v/>
      </c>
      <c r="G169" s="2524"/>
      <c r="H169" s="2521" t="str">
        <f ca="1">IF(ISBLANK(OFFSET($AP$2,H163,0)),"",OFFSET($AT$2,H163,0))</f>
        <v/>
      </c>
      <c r="I169" s="2522"/>
      <c r="J169" s="2523" t="str">
        <f ca="1">IF(ISBLANK(OFFSET($AP$2,H163,0)),"",OFFSET($AT$2,H163,0)-OFFSET($AZ$2,H163,0))</f>
        <v/>
      </c>
      <c r="K169" s="2524"/>
      <c r="L169" s="2521" t="str">
        <f ca="1">IF(ISBLANK(OFFSET($AP$2,L163,0)),"",OFFSET($AT$2,L163,0))</f>
        <v/>
      </c>
      <c r="M169" s="2522"/>
      <c r="N169" s="2523" t="str">
        <f ca="1">IF(ISBLANK(OFFSET($AP$2,L163,0)),"",OFFSET($AT$2,L163,0)-OFFSET($AZ$2,L163,0))</f>
        <v/>
      </c>
      <c r="O169" s="2524"/>
      <c r="P169" s="2521" t="str">
        <f ca="1">IF(ISBLANK(OFFSET($AP$2,P163,0)),"",OFFSET($AT$2,P163,0))</f>
        <v/>
      </c>
      <c r="Q169" s="2522"/>
      <c r="R169" s="2523" t="str">
        <f ca="1">IF(ISBLANK(OFFSET($AP$2,P163,0)),"",OFFSET($AT$2,P163,0)-OFFSET($AZ$2,P163,0))</f>
        <v/>
      </c>
      <c r="S169" s="2524"/>
      <c r="T169" s="2521" t="str">
        <f ca="1">IF(ISBLANK(OFFSET($AP$2,T163,0)),"",OFFSET($AT$2,T163,0))</f>
        <v/>
      </c>
      <c r="U169" s="2522"/>
      <c r="V169" s="2523" t="str">
        <f ca="1">IF(ISBLANK(OFFSET($AP$2,T163,0)),"",OFFSET($AT$2,T163,0)-OFFSET($AZ$2,T163,0))</f>
        <v/>
      </c>
      <c r="W169" s="2524"/>
      <c r="X169" s="2521" t="str">
        <f ca="1">IF(ISBLANK(OFFSET($AP$2,X163,0)),"",OFFSET($AT$2,X163,0))</f>
        <v/>
      </c>
      <c r="Y169" s="2522"/>
      <c r="Z169" s="2523" t="str">
        <f ca="1">IF(ISBLANK(OFFSET($AP$2,X163,0)),"",OFFSET($AT$2,X163,0)-OFFSET($AZ$2,X163,0))</f>
        <v/>
      </c>
      <c r="AA169" s="2524"/>
      <c r="AB169" s="57"/>
    </row>
    <row r="170" spans="1:28" ht="12.95" hidden="1" customHeight="1" thickBot="1" x14ac:dyDescent="0.25">
      <c r="A170" s="57"/>
      <c r="B170" s="2527" t="s">
        <v>439</v>
      </c>
      <c r="C170" s="2528"/>
      <c r="D170" s="2529" t="str">
        <f ca="1">IF(ISBLANK(OFFSET($AP$2,D163,0)),"",OFFSET($AV$2,D163,0))</f>
        <v/>
      </c>
      <c r="E170" s="2530"/>
      <c r="F170" s="2531" t="str">
        <f ca="1">IF(ISBLANK(OFFSET($AP$2,D163,0)),"",OFFSET($AV$2,D163,0)-OFFSET($BB$2,D163,0))</f>
        <v/>
      </c>
      <c r="G170" s="2532"/>
      <c r="H170" s="2529" t="str">
        <f ca="1">IF(ISBLANK(OFFSET($AP$2,H163,0)),"",OFFSET($AV$2,H163,0))</f>
        <v/>
      </c>
      <c r="I170" s="2530"/>
      <c r="J170" s="2531" t="str">
        <f ca="1">IF(ISBLANK(OFFSET($AP$2,H163,0)),"",OFFSET($AV$2,H163,0)-OFFSET($BB$2,H163,0))</f>
        <v/>
      </c>
      <c r="K170" s="2532"/>
      <c r="L170" s="2529" t="str">
        <f ca="1">IF(ISBLANK(OFFSET($AP$2,L163,0)),"",OFFSET($AV$2,L163,0))</f>
        <v/>
      </c>
      <c r="M170" s="2530"/>
      <c r="N170" s="2531" t="str">
        <f ca="1">IF(ISBLANK(OFFSET($AP$2,L163,0)),"",OFFSET($AV$2,L163,0)-OFFSET($BB$2,L163,0))</f>
        <v/>
      </c>
      <c r="O170" s="2532"/>
      <c r="P170" s="2529" t="str">
        <f ca="1">IF(ISBLANK(OFFSET($AP$2,P163,0)),"",OFFSET($AV$2,P163,0))</f>
        <v/>
      </c>
      <c r="Q170" s="2530"/>
      <c r="R170" s="2531" t="str">
        <f ca="1">IF(ISBLANK(OFFSET($AP$2,P163,0)),"",OFFSET($AV$2,P163,0)-OFFSET($BB$2,P163,0))</f>
        <v/>
      </c>
      <c r="S170" s="2532"/>
      <c r="T170" s="2529" t="str">
        <f ca="1">IF(ISBLANK(OFFSET($AP$2,T163,0)),"",OFFSET($AV$2,T163,0))</f>
        <v/>
      </c>
      <c r="U170" s="2530"/>
      <c r="V170" s="2531" t="str">
        <f ca="1">IF(ISBLANK(OFFSET($AP$2,T163,0)),"",OFFSET($AV$2,T163,0)-OFFSET($BB$2,T163,0))</f>
        <v/>
      </c>
      <c r="W170" s="2532"/>
      <c r="X170" s="2529" t="str">
        <f ca="1">IF(ISBLANK(OFFSET($AP$2,X163,0)),"",OFFSET($AV$2,X163,0))</f>
        <v/>
      </c>
      <c r="Y170" s="2530"/>
      <c r="Z170" s="2531" t="str">
        <f ca="1">IF(ISBLANK(OFFSET($AP$2,X163,0)),"",OFFSET($AV$2,X163,0)-OFFSET($BB$2,X163,0))</f>
        <v/>
      </c>
      <c r="AA170" s="2532"/>
      <c r="AB170" s="57"/>
    </row>
    <row r="179" ht="12.95" customHeight="1" x14ac:dyDescent="0.2"/>
    <row r="180" ht="12.95" customHeight="1" x14ac:dyDescent="0.2"/>
    <row r="181" ht="12.95" customHeight="1" x14ac:dyDescent="0.2"/>
    <row r="182" ht="12.95" customHeight="1" x14ac:dyDescent="0.2"/>
  </sheetData>
  <sheetProtection algorithmName="SHA-512" hashValue="m+x4fbbrZhBM5E24gz3/f5PVy6cL8Cdr9AcfEZpOf/bmB4k9+CXr3ZQOwbfs3/2ncMGCNRAZt8xwsWkGiSsfYA==" saltValue="jjsecBH5l8nvjw/cuAAJcA=="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992" priority="1" stopIfTrue="1" operator="equal">
      <formula>0</formula>
    </cfRule>
    <cfRule type="expression" dxfId="991" priority="2" stopIfTrue="1">
      <formula>ISBLANK(OFFSET($AP$2,$H22,0))</formula>
    </cfRule>
  </conditionalFormatting>
  <conditionalFormatting sqref="L25:O25 L33:O33 L41:O41 L49:O49 L68:O68 L76:O76 L84:O84 L92:O92 L100:O100 L108:O108 L126:O126 L134:O134 L142:O142 L150:O150 L158:O158 L166:O166">
    <cfRule type="cellIs" dxfId="990" priority="3" stopIfTrue="1" operator="equal">
      <formula>0</formula>
    </cfRule>
    <cfRule type="expression" dxfId="989" priority="4" stopIfTrue="1">
      <formula>ISBLANK(OFFSET($AP$2,$L22,0))</formula>
    </cfRule>
  </conditionalFormatting>
  <conditionalFormatting sqref="P25:S25 P33:S33 P41:S41 P49:S49 P68:S68 P76:S76 P84:S84 P92:S92 P100:S100 P108:S108 P126:S126 P134:S134 P142:S142 P150:S150 P158:S158 P166:S166">
    <cfRule type="cellIs" dxfId="988" priority="5" stopIfTrue="1" operator="equal">
      <formula>0</formula>
    </cfRule>
    <cfRule type="expression" dxfId="987" priority="6" stopIfTrue="1">
      <formula>ISBLANK(OFFSET($AP$2,$P22,0))</formula>
    </cfRule>
  </conditionalFormatting>
  <conditionalFormatting sqref="T25:W25 T33:W33 T41:W41 T49:W49 T68:W68 T76:W76 T84:W84 T92:W92 T100:W100 T108:W108 T126:W126 T134:W134 T142:W142 T150:W150 T158:W158 T166:W166">
    <cfRule type="cellIs" dxfId="986" priority="7" stopIfTrue="1" operator="equal">
      <formula>0</formula>
    </cfRule>
    <cfRule type="expression" dxfId="98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984" priority="9" stopIfTrue="1" operator="equal">
      <formula>0</formula>
    </cfRule>
    <cfRule type="expression" dxfId="983" priority="10" stopIfTrue="1">
      <formula>ISBLANK(OFFSET($AP$2,$X22,0))</formula>
    </cfRule>
  </conditionalFormatting>
  <conditionalFormatting sqref="H26:K26 H34:K34 H42:K42 H50:K50 H69:K69 H77:K77 H85:K85 H93:K93 H101:K101 H109:K109 H127:K127 H135:K135 H143:K143 H151:K151 H159:K159 H167:K167">
    <cfRule type="cellIs" dxfId="982" priority="11" stopIfTrue="1" operator="equal">
      <formula>0</formula>
    </cfRule>
    <cfRule type="expression" dxfId="981" priority="12" stopIfTrue="1">
      <formula>ISBLANK(OFFSET($AP$2,$H22,0))</formula>
    </cfRule>
  </conditionalFormatting>
  <conditionalFormatting sqref="L26:O26 L34:O34 L42:O42 L50:O50 L69:O69 L77:O77 L85:O85 L93:O93 L101:O101 L109:O109 L127:O127 L135:O135 L143:O143 L151:O151 L159:O159 L167:O167">
    <cfRule type="cellIs" dxfId="980" priority="13" stopIfTrue="1" operator="equal">
      <formula>0</formula>
    </cfRule>
    <cfRule type="expression" dxfId="979" priority="14" stopIfTrue="1">
      <formula>ISBLANK(OFFSET($AP$2,$L22,0))</formula>
    </cfRule>
  </conditionalFormatting>
  <conditionalFormatting sqref="P26:S26 P34:S34 P42:S42 P50:S50 P69:S69 P77:S77 P85:S85 P93:S93 P101:S101 P109:S109 P127:S127 P135:S135 P143:S143 P151:S151 P159:S159 P167:S167">
    <cfRule type="cellIs" dxfId="978" priority="15" stopIfTrue="1" operator="equal">
      <formula>0</formula>
    </cfRule>
    <cfRule type="expression" dxfId="977" priority="16" stopIfTrue="1">
      <formula>ISBLANK(OFFSET($AP$2,$P22,0))</formula>
    </cfRule>
  </conditionalFormatting>
  <conditionalFormatting sqref="T26:W26 T34:W34 T42:W42 T50:W50 T69:W69 T77:W77 T85:W85 T93:W93 T101:W101 T109:W109 T127:W127 T135:W135 T143:W143 T151:W151 T159:W159 T167:W167">
    <cfRule type="cellIs" dxfId="976" priority="17" stopIfTrue="1" operator="equal">
      <formula>0</formula>
    </cfRule>
    <cfRule type="expression" dxfId="97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974" priority="19" stopIfTrue="1" operator="equal">
      <formula>0</formula>
    </cfRule>
    <cfRule type="expression" dxfId="973" priority="20" stopIfTrue="1">
      <formula>ISBLANK(OFFSET($AP$2,$X22,0))</formula>
    </cfRule>
  </conditionalFormatting>
  <conditionalFormatting sqref="H23:K23 H31:K31 H39:K39 H47:K47 H66:K66 H74:K74 H82:K82 H90:K90 H98:K98 H106:K106 H124:K124 H132:K132 H140:K140 H148:K148 H156:K156 H164:K164">
    <cfRule type="cellIs" dxfId="972" priority="21" stopIfTrue="1" operator="equal">
      <formula>0</formula>
    </cfRule>
    <cfRule type="expression" dxfId="971" priority="22" stopIfTrue="1">
      <formula>ISBLANK(OFFSET($AP$2,$H22,0))</formula>
    </cfRule>
  </conditionalFormatting>
  <conditionalFormatting sqref="H24:K24 H32:K32 H40:K40 H48:K48 H67:K67 H75:K75 H83:K83 H91:K91 H99:K99 H107:K107 H125:K125 H133:K133 H141:K141 H149:K149 H157:K157 H165:K165">
    <cfRule type="cellIs" dxfId="970" priority="23" stopIfTrue="1" operator="equal">
      <formula>0</formula>
    </cfRule>
    <cfRule type="expression" dxfId="969" priority="24" stopIfTrue="1">
      <formula>ISBLANK(OFFSET($AP$2,$H22,0))</formula>
    </cfRule>
  </conditionalFormatting>
  <conditionalFormatting sqref="L23:O23 L31:O31 L39:O39 L47:O47 L66:O66 L74:O74 L82:O82 L90:O90 L98:O98 L106:O106 L124:O124 L132:O132 L140:O140 L148:O148 L156:O156 L164:O164">
    <cfRule type="cellIs" dxfId="968" priority="25" stopIfTrue="1" operator="equal">
      <formula>0</formula>
    </cfRule>
    <cfRule type="expression" dxfId="967" priority="26" stopIfTrue="1">
      <formula>ISBLANK(OFFSET($AP$2,$L22,0))</formula>
    </cfRule>
  </conditionalFormatting>
  <conditionalFormatting sqref="L24:O24 L32:O32 L40:O40 L48:O48 L67:O67 L75:O75 L83:O83 L91:O91 L99:O99 L107:O107 L125:O125 L133:O133 L141:O141 L149:O149 L157:O157 L165:O165">
    <cfRule type="cellIs" dxfId="966" priority="27" stopIfTrue="1" operator="equal">
      <formula>0</formula>
    </cfRule>
    <cfRule type="expression" dxfId="965" priority="28" stopIfTrue="1">
      <formula>ISBLANK(OFFSET($AP$2,$L22,0))</formula>
    </cfRule>
  </conditionalFormatting>
  <conditionalFormatting sqref="P23:S23 P31:S31 P39:S39 P47:S47 P66:S66 P74:S74 P82:S82 P90:S90 P98:S98 P106:S106 P124:S124 P132:S132 P140:S140 P148:S148 P156:S156 P164:S164">
    <cfRule type="cellIs" dxfId="964" priority="29" stopIfTrue="1" operator="equal">
      <formula>0</formula>
    </cfRule>
    <cfRule type="expression" dxfId="963" priority="30" stopIfTrue="1">
      <formula>ISBLANK(OFFSET($AP$2,$P22,0))</formula>
    </cfRule>
  </conditionalFormatting>
  <conditionalFormatting sqref="P24:S24 P32:S32 P40:S40 P48:S48 P67:S67 P75:S75 P83:S83 P91:S91 P99:S99 P107:S107 P125:S125 P133:S133 P141:S141 P149:S149 P157:S157 P165:S165">
    <cfRule type="cellIs" dxfId="962" priority="31" stopIfTrue="1" operator="equal">
      <formula>0</formula>
    </cfRule>
    <cfRule type="expression" dxfId="961" priority="32" stopIfTrue="1">
      <formula>ISBLANK(OFFSET($AP$2,$P22,0))</formula>
    </cfRule>
  </conditionalFormatting>
  <conditionalFormatting sqref="T23:W23 T31:W31 T39:W39 T47:W47 T66:W66 T74:W74 T82:W82 T90:W90 T98:W98 T106:W106 T124:W124 T132:W132 T140:W140 T148:W148 T156:W156 T164:W164">
    <cfRule type="cellIs" dxfId="960" priority="33" stopIfTrue="1" operator="equal">
      <formula>0</formula>
    </cfRule>
    <cfRule type="expression" dxfId="959" priority="34" stopIfTrue="1">
      <formula>ISBLANK(OFFSET($AP$2,$T22,0))</formula>
    </cfRule>
  </conditionalFormatting>
  <conditionalFormatting sqref="T24:W24 T32:W32 T40:W40 T48:W48 T67:W67 T75:W75 T83:W83 T91:W91 T99:W99 T107:W107 T125:W125 T133:W133 T141:W141 T149:W149 T157:W157 T165:W165">
    <cfRule type="cellIs" dxfId="958" priority="35" stopIfTrue="1" operator="equal">
      <formula>0</formula>
    </cfRule>
    <cfRule type="expression" dxfId="95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956" priority="37" stopIfTrue="1" operator="equal">
      <formula>0</formula>
    </cfRule>
    <cfRule type="expression" dxfId="95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954" priority="39" stopIfTrue="1" operator="equal">
      <formula>0</formula>
    </cfRule>
    <cfRule type="expression" dxfId="953" priority="40" stopIfTrue="1">
      <formula>ISBLANK(OFFSET($AP$2,$X22,0))</formula>
    </cfRule>
  </conditionalFormatting>
  <conditionalFormatting sqref="H27:K27 H35:K35 H43:K43 H51:K51 H70:K70 H78:K78 H86:K86 H94:K94 H102:K102 H110:K110 H128:K128 H136:K136 H144:K144 H152:K152 H160:K160 H168:K168">
    <cfRule type="cellIs" dxfId="952" priority="41" stopIfTrue="1" operator="equal">
      <formula>0</formula>
    </cfRule>
    <cfRule type="expression" dxfId="951" priority="42" stopIfTrue="1">
      <formula>ISBLANK(OFFSET($AP$2,$H22,0))</formula>
    </cfRule>
  </conditionalFormatting>
  <conditionalFormatting sqref="L27:O27 L35:O35 L43:O43 L51:O51 L70:O70 L78:O78 L86:O86 L94:O94 L102:O102 L110:O110 L128:O128 L136:O136 L144:O144 L152:O152 L160:O160 L168:O168">
    <cfRule type="cellIs" dxfId="950" priority="43" stopIfTrue="1" operator="equal">
      <formula>0</formula>
    </cfRule>
    <cfRule type="expression" dxfId="949" priority="44" stopIfTrue="1">
      <formula>ISBLANK(OFFSET($AP$2,$L22,0))</formula>
    </cfRule>
  </conditionalFormatting>
  <conditionalFormatting sqref="P27:S27 P35:S35 P43:S43 P51:S51 P70:S70 P78:S78 P86:S86 P94:S94 P102:S102 P110:S110 P128:S128 P136:S136 P144:S144 P152:S152 P160:S160 P168:S168">
    <cfRule type="cellIs" dxfId="948" priority="45" stopIfTrue="1" operator="equal">
      <formula>0</formula>
    </cfRule>
    <cfRule type="expression" dxfId="947" priority="46" stopIfTrue="1">
      <formula>ISBLANK(OFFSET($AP$2,$P22,0))</formula>
    </cfRule>
  </conditionalFormatting>
  <conditionalFormatting sqref="T27:W27 T35:W35 T43:W43 T51:W51 T70:W70 T78:W78 T86:W86 T94:W94 T102:W102 T110:W110 T128:W128 T136:W136 T144:W144 T152:W152 T160:W160 T168:W168">
    <cfRule type="cellIs" dxfId="946" priority="47" stopIfTrue="1" operator="equal">
      <formula>0</formula>
    </cfRule>
    <cfRule type="expression" dxfId="94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944" priority="49" stopIfTrue="1" operator="equal">
      <formula>0</formula>
    </cfRule>
    <cfRule type="expression" dxfId="943" priority="50" stopIfTrue="1">
      <formula>ISBLANK(OFFSET($AP$2,$X22,0))</formula>
    </cfRule>
  </conditionalFormatting>
  <conditionalFormatting sqref="H28:K28 H36:K36 H44:K44 H52:K52 H71:K71 H79:K79 H87:K87 H95:K95 H103:K103 H111:K111 H129:K129 H137:K137 H145:K145 H153:K153 H161:K161 H169:K169">
    <cfRule type="cellIs" dxfId="942" priority="51" stopIfTrue="1" operator="equal">
      <formula>0</formula>
    </cfRule>
    <cfRule type="expression" dxfId="941" priority="52" stopIfTrue="1">
      <formula>ISBLANK(OFFSET($AP$2,$H22,0))</formula>
    </cfRule>
  </conditionalFormatting>
  <conditionalFormatting sqref="H29:K29 H37:K37 H45:K45 H53:K53 H72:K72 H80:K80 H88:K88 H96:K96 H104:K104 H112:K112 H130:K130 H138:K138 H146:K146 H154:K154 H162:K162 H170:K170">
    <cfRule type="cellIs" dxfId="940" priority="53" stopIfTrue="1" operator="equal">
      <formula>0</formula>
    </cfRule>
    <cfRule type="expression" dxfId="939" priority="54" stopIfTrue="1">
      <formula>ISBLANK(OFFSET($AP$2,$H22,0))</formula>
    </cfRule>
  </conditionalFormatting>
  <conditionalFormatting sqref="L28:O28 L36:O36 L44:O44 L52:O52 L71:O71 L79:O79 L87:O87 L95:O95 L103:O103 L111:O111 L129:O129 L137:O137 L145:O145 L153:O153 L161:O161 L169:O169">
    <cfRule type="cellIs" dxfId="938" priority="55" stopIfTrue="1" operator="equal">
      <formula>0</formula>
    </cfRule>
    <cfRule type="expression" dxfId="937" priority="56" stopIfTrue="1">
      <formula>ISBLANK(OFFSET($AP$2,$L22,0))</formula>
    </cfRule>
  </conditionalFormatting>
  <conditionalFormatting sqref="L29:O29 L37:O37 L45:O45 L53:O53 L72:O72 L80:O80 L88:O88 L96:O96 L104:O104 L112:O112 L130:O130 L138:O138 L146:O146 L154:O154 L162:O162 L170:O170">
    <cfRule type="cellIs" dxfId="936" priority="57" stopIfTrue="1" operator="equal">
      <formula>0</formula>
    </cfRule>
    <cfRule type="expression" dxfId="935" priority="58" stopIfTrue="1">
      <formula>ISBLANK(OFFSET($AP$2,$L22,0))</formula>
    </cfRule>
  </conditionalFormatting>
  <conditionalFormatting sqref="P28:S28 P36:S36 P44:S44 P52:S52 P71:S71 P79:S79 P87:S87 P95:S95 P103:S103 P111:S111 P129:S129 P137:S137 P145:S145 P153:S153 P161:S161 P169:S169">
    <cfRule type="cellIs" dxfId="934" priority="59" stopIfTrue="1" operator="equal">
      <formula>0</formula>
    </cfRule>
    <cfRule type="expression" dxfId="933" priority="60" stopIfTrue="1">
      <formula>ISBLANK(OFFSET($AP$2,$P22,0))</formula>
    </cfRule>
  </conditionalFormatting>
  <conditionalFormatting sqref="P29:S29 P37:S37 P45:S45 P53:S53 P72:S72 P80:S80 P88:S88 P96:S96 P104:S104 P112:S112 P130:S130 P138:S138 P146:S146 P154:S154 P162:S162 P170:S170">
    <cfRule type="cellIs" dxfId="932" priority="61" stopIfTrue="1" operator="equal">
      <formula>0</formula>
    </cfRule>
    <cfRule type="expression" dxfId="931" priority="62" stopIfTrue="1">
      <formula>ISBLANK(OFFSET($AP$2,$P22,0))</formula>
    </cfRule>
  </conditionalFormatting>
  <conditionalFormatting sqref="T28:W28 T36:W36 T44:W44 T52:W52 T71:W71 T79:W79 T87:W87 T95:W95 T103:W103 T111:W111 T129:W129 T137:W137 T145:W145 T153:W153 T161:W161 T169:W169">
    <cfRule type="cellIs" dxfId="930" priority="63" stopIfTrue="1" operator="equal">
      <formula>0</formula>
    </cfRule>
    <cfRule type="expression" dxfId="929" priority="64" stopIfTrue="1">
      <formula>ISBLANK(OFFSET($AP$2,$T22,0))</formula>
    </cfRule>
  </conditionalFormatting>
  <conditionalFormatting sqref="T29:W29 T37:W37 T45:W45 T53:W53 T72:W72 T80:W80 T88:W88 T96:W96 T104:W104 T112:W112 T130:W130 T138:W138 T146:W146 T154:W154 T162:W162 T170:W170">
    <cfRule type="cellIs" dxfId="928" priority="65" stopIfTrue="1" operator="equal">
      <formula>0</formula>
    </cfRule>
    <cfRule type="expression" dxfId="92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926" priority="67" stopIfTrue="1" operator="equal">
      <formula>0</formula>
    </cfRule>
    <cfRule type="expression" dxfId="92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924" priority="69" stopIfTrue="1" operator="equal">
      <formula>0</formula>
    </cfRule>
    <cfRule type="expression" dxfId="923" priority="70" stopIfTrue="1">
      <formula>ISBLANK(OFFSET($AP$2,$X22,0))</formula>
    </cfRule>
  </conditionalFormatting>
  <conditionalFormatting sqref="D166:G166 D33:G33 D41:G41 D49:G49 D68:G68 D76:G76 D84:G84 D92:G92 D100:G100 D108:G108 D126:G126 D134:G134 D142:G142 D150:G150 D158:G158">
    <cfRule type="cellIs" dxfId="922" priority="71" stopIfTrue="1" operator="equal">
      <formula>0</formula>
    </cfRule>
    <cfRule type="expression" dxfId="921" priority="72" stopIfTrue="1">
      <formula>ISBLANK(OFFSET($AP$2,$D30,0))</formula>
    </cfRule>
  </conditionalFormatting>
  <conditionalFormatting sqref="D167:G167 D34:G34 D42:G42 D50:G50 D69:G69 D77:G77 D85:G85 D93:G93 D101:G101 D109:G109 D127:G127 D135:G135 D143:G143 D151:G151 D159:G159">
    <cfRule type="cellIs" dxfId="920" priority="73" stopIfTrue="1" operator="equal">
      <formula>0</formula>
    </cfRule>
    <cfRule type="expression" dxfId="919" priority="74" stopIfTrue="1">
      <formula>ISBLANK(OFFSET($AP$2,$D30,0))</formula>
    </cfRule>
  </conditionalFormatting>
  <conditionalFormatting sqref="D164:G164 D31:G31 D39:G39 D47:G47 D66:G66 D74:G74 D82:G82 D90:G90 D98:G98 D106:G106 D124:G124 D132:G132 D140:G140 D148:G148 D156:G156">
    <cfRule type="cellIs" dxfId="918" priority="75" stopIfTrue="1" operator="equal">
      <formula>0</formula>
    </cfRule>
    <cfRule type="expression" dxfId="917" priority="76" stopIfTrue="1">
      <formula>ISBLANK(OFFSET($AP$2,$D30,0))</formula>
    </cfRule>
  </conditionalFormatting>
  <conditionalFormatting sqref="D165:G165 D32:G32 D40:G40 D48:G48 D67:G67 D75:G75 D83:G83 D91:G91 D99:G99 D107:G107 D125:G125 D133:G133 D141:G141 D149:G149 D157:G157">
    <cfRule type="cellIs" dxfId="916" priority="77" stopIfTrue="1" operator="equal">
      <formula>0</formula>
    </cfRule>
    <cfRule type="expression" dxfId="915" priority="78" stopIfTrue="1">
      <formula>ISBLANK(OFFSET($AP$2,$D30,0))</formula>
    </cfRule>
  </conditionalFormatting>
  <conditionalFormatting sqref="D168:G168 D35:G35 D43:G43 D51:G51 D70:G70 D78:G78 D86:G86 D94:G94 D102:G102 D110:G110 D128:G128 D136:G136 D144:G144 D152:G152 D160:G160">
    <cfRule type="cellIs" dxfId="914" priority="79" stopIfTrue="1" operator="equal">
      <formula>0</formula>
    </cfRule>
    <cfRule type="expression" dxfId="913" priority="80" stopIfTrue="1">
      <formula>ISBLANK(OFFSET($AP$2,$D30,0))</formula>
    </cfRule>
  </conditionalFormatting>
  <conditionalFormatting sqref="D169:G169 D36:G36 D44:G44 D52:G52 D71:G71 D79:G79 D87:G87 D95:G95 D103:G103 D111:G111 D129:G129 D137:G137 D145:G145 D153:G153 D161:G161">
    <cfRule type="cellIs" dxfId="912" priority="81" stopIfTrue="1" operator="equal">
      <formula>0</formula>
    </cfRule>
    <cfRule type="expression" dxfId="911" priority="82" stopIfTrue="1">
      <formula>ISBLANK(OFFSET($AP$2,$D30,0))</formula>
    </cfRule>
  </conditionalFormatting>
  <conditionalFormatting sqref="D170:G170 D37:G37 D45:G45 D53:G53 D72:G72 D80:G80 D88:G88 D96:G96 D104:G104 D112:G112 D130:G130 D138:G138 D146:G146 D154:G154 D162:G162">
    <cfRule type="cellIs" dxfId="910" priority="83" stopIfTrue="1" operator="equal">
      <formula>0</formula>
    </cfRule>
    <cfRule type="expression" dxfId="909" priority="84" stopIfTrue="1">
      <formula>ISBLANK(OFFSET($AP$2,$D30,0))</formula>
    </cfRule>
  </conditionalFormatting>
  <conditionalFormatting sqref="N2:R4">
    <cfRule type="cellIs" dxfId="908" priority="85" stopIfTrue="1" operator="equal">
      <formula>""</formula>
    </cfRule>
  </conditionalFormatting>
  <conditionalFormatting sqref="B33:C37">
    <cfRule type="expression" dxfId="907" priority="86" stopIfTrue="1">
      <formula>ISBLANK($AP$9)</formula>
    </cfRule>
  </conditionalFormatting>
  <conditionalFormatting sqref="B41:C45">
    <cfRule type="expression" dxfId="906" priority="87" stopIfTrue="1">
      <formula>ISBLANK($AP$15)</formula>
    </cfRule>
  </conditionalFormatting>
  <conditionalFormatting sqref="B49:C53">
    <cfRule type="expression" dxfId="905" priority="88" stopIfTrue="1">
      <formula>ISBLANK($AP$21)</formula>
    </cfRule>
  </conditionalFormatting>
  <conditionalFormatting sqref="B68:C72">
    <cfRule type="expression" dxfId="904" priority="89" stopIfTrue="1">
      <formula>ISBLANK($AP$27)</formula>
    </cfRule>
  </conditionalFormatting>
  <conditionalFormatting sqref="B76:C80">
    <cfRule type="expression" dxfId="903" priority="90" stopIfTrue="1">
      <formula>ISBLANK($AP$33)</formula>
    </cfRule>
  </conditionalFormatting>
  <conditionalFormatting sqref="B84:C88">
    <cfRule type="expression" dxfId="902" priority="91" stopIfTrue="1">
      <formula>ISBLANK($AP$39)</formula>
    </cfRule>
  </conditionalFormatting>
  <conditionalFormatting sqref="B92:C96">
    <cfRule type="expression" dxfId="901" priority="92" stopIfTrue="1">
      <formula>ISBLANK($AP$45)</formula>
    </cfRule>
  </conditionalFormatting>
  <conditionalFormatting sqref="B100:C104">
    <cfRule type="expression" dxfId="900" priority="93" stopIfTrue="1">
      <formula>ISBLANK($AP$51)</formula>
    </cfRule>
  </conditionalFormatting>
  <conditionalFormatting sqref="B108:C112">
    <cfRule type="expression" dxfId="899" priority="94" stopIfTrue="1">
      <formula>ISBLANK($AP$57)</formula>
    </cfRule>
  </conditionalFormatting>
  <conditionalFormatting sqref="B166:C170">
    <cfRule type="expression" dxfId="898" priority="95" stopIfTrue="1">
      <formula>ISBLANK($AP$93)</formula>
    </cfRule>
  </conditionalFormatting>
  <conditionalFormatting sqref="B158:C162">
    <cfRule type="expression" dxfId="897" priority="96" stopIfTrue="1">
      <formula>ISBLANK($AP$87)</formula>
    </cfRule>
  </conditionalFormatting>
  <conditionalFormatting sqref="B150:C154">
    <cfRule type="expression" dxfId="896" priority="97" stopIfTrue="1">
      <formula>ISBLANK($AP$81)</formula>
    </cfRule>
  </conditionalFormatting>
  <conditionalFormatting sqref="B142:C146">
    <cfRule type="expression" dxfId="895" priority="98" stopIfTrue="1">
      <formula>ISBLANK($AP$75)</formula>
    </cfRule>
  </conditionalFormatting>
  <conditionalFormatting sqref="B134:C138">
    <cfRule type="expression" dxfId="894" priority="99" stopIfTrue="1">
      <formula>ISBLANK($AP$69)</formula>
    </cfRule>
  </conditionalFormatting>
  <conditionalFormatting sqref="B126:C130">
    <cfRule type="expression" dxfId="893" priority="100" stopIfTrue="1">
      <formula>ISBLANK($AP$63)</formula>
    </cfRule>
  </conditionalFormatting>
  <conditionalFormatting sqref="D25:G29">
    <cfRule type="cellIs" dxfId="89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22.0922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9122-0050</v>
      </c>
      <c r="G1" s="768"/>
      <c r="H1" s="769" t="str">
        <f>CONCATENATE("Job Name: ", 'Job Info.'!D3)</f>
        <v>Job Name: SUNCAP CHEYENNE&amp;COMMERCE BLDG A&amp;B PP</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599" t="s">
        <v>558</v>
      </c>
      <c r="E2" s="2600"/>
      <c r="F2" s="152" t="s">
        <v>559</v>
      </c>
      <c r="G2" s="153" t="s">
        <v>577</v>
      </c>
      <c r="H2" s="153" t="s">
        <v>593</v>
      </c>
      <c r="I2" s="153" t="s">
        <v>634</v>
      </c>
      <c r="J2" s="153" t="s">
        <v>594</v>
      </c>
      <c r="K2" s="154" t="s">
        <v>560</v>
      </c>
      <c r="L2" s="155" t="s">
        <v>635</v>
      </c>
      <c r="M2" s="897"/>
      <c r="N2" s="897"/>
      <c r="O2"/>
      <c r="P2"/>
      <c r="Q2"/>
      <c r="R2"/>
      <c r="S2"/>
      <c r="T2"/>
      <c r="AB2" s="188" t="s">
        <v>556</v>
      </c>
      <c r="AC2" s="189" t="s">
        <v>557</v>
      </c>
      <c r="AD2" s="2601" t="s">
        <v>558</v>
      </c>
      <c r="AE2" s="2602"/>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36">
        <v>1</v>
      </c>
      <c r="C3" s="2637" t="s">
        <v>118</v>
      </c>
      <c r="D3" s="2638">
        <v>-9.9999999999999995E-8</v>
      </c>
      <c r="E3" s="2639">
        <v>-1.625</v>
      </c>
      <c r="F3" s="2640" t="s">
        <v>113</v>
      </c>
      <c r="G3" s="2641">
        <v>3</v>
      </c>
      <c r="H3" s="2641">
        <v>3.75</v>
      </c>
      <c r="I3" s="2641">
        <v>4</v>
      </c>
      <c r="J3" s="2641">
        <v>6.25</v>
      </c>
      <c r="K3" s="2641"/>
      <c r="L3" s="2642"/>
      <c r="M3" s="897" t="str">
        <f t="shared" ref="M3:M34" si="0">UPPER(C3)</f>
        <v>M</v>
      </c>
      <c r="N3" s="898">
        <f>IF(AND(ISBLANK(D3),ISBLANK(E3)),"",TRUNC(D3)*12+IF(OR(D3&lt;0,AND(D3=0,E3&lt;0)),-1*ABS(E3),ABS(E3)))</f>
        <v>-1.625</v>
      </c>
      <c r="O3"/>
      <c r="P3"/>
      <c r="Q3"/>
      <c r="R3"/>
      <c r="S3"/>
      <c r="T3"/>
      <c r="AB3" s="783">
        <v>1</v>
      </c>
      <c r="AC3" s="783" t="s">
        <v>118</v>
      </c>
      <c r="AD3" s="194">
        <v>-9.9999999999999995E-8</v>
      </c>
      <c r="AE3" s="195">
        <v>-1.625</v>
      </c>
      <c r="AF3" s="783" t="s">
        <v>113</v>
      </c>
      <c r="AG3" s="193">
        <v>3</v>
      </c>
      <c r="AH3" s="193">
        <v>3.75</v>
      </c>
      <c r="AI3" s="193">
        <v>4</v>
      </c>
      <c r="AJ3" s="193">
        <v>6.25</v>
      </c>
      <c r="AK3" s="193"/>
      <c r="AL3" s="193"/>
      <c r="AZ3" s="196">
        <v>1</v>
      </c>
      <c r="BA3" s="196" t="s">
        <v>118</v>
      </c>
      <c r="BB3" s="196">
        <v>-9.9999999999999995E-8</v>
      </c>
      <c r="BC3" s="196">
        <v>-1.625</v>
      </c>
      <c r="BD3" s="196" t="s">
        <v>113</v>
      </c>
      <c r="BE3" s="196">
        <v>3</v>
      </c>
      <c r="BF3" s="196">
        <v>3.75</v>
      </c>
      <c r="BG3" s="196">
        <v>4</v>
      </c>
      <c r="BH3" s="196">
        <v>6.25</v>
      </c>
      <c r="BI3" s="196"/>
      <c r="BJ3" s="196"/>
      <c r="BK3" s="196" t="b">
        <v>0</v>
      </c>
    </row>
    <row r="4" spans="1:64" ht="15" customHeight="1" x14ac:dyDescent="0.2">
      <c r="A4"/>
      <c r="B4" s="2636">
        <v>2</v>
      </c>
      <c r="C4" s="2637" t="s">
        <v>118</v>
      </c>
      <c r="D4" s="2638">
        <v>-9.9999999999999995E-8</v>
      </c>
      <c r="E4" s="2639">
        <v>-1</v>
      </c>
      <c r="F4" s="2640" t="s">
        <v>113</v>
      </c>
      <c r="G4" s="2641">
        <v>7.5</v>
      </c>
      <c r="H4" s="2641">
        <v>4.5</v>
      </c>
      <c r="I4" s="2641">
        <v>5</v>
      </c>
      <c r="J4" s="2641">
        <v>6</v>
      </c>
      <c r="K4" s="2641">
        <v>2</v>
      </c>
      <c r="L4" s="2642">
        <v>2</v>
      </c>
      <c r="M4" s="897" t="str">
        <f t="shared" si="0"/>
        <v>M</v>
      </c>
      <c r="N4" s="898">
        <f t="shared" ref="N4:N67" si="1">IF(AND(ISBLANK(D4),ISBLANK(E4)),"",TRUNC(D4)*12+IF(OR(D4&lt;0,AND(D4=0,E4&lt;0)),-1*ABS(E4),ABS(E4)))</f>
        <v>-1</v>
      </c>
      <c r="O4"/>
      <c r="P4"/>
      <c r="Q4"/>
      <c r="R4"/>
      <c r="S4"/>
      <c r="T4"/>
      <c r="AB4" s="193">
        <v>2</v>
      </c>
      <c r="AC4" s="783" t="s">
        <v>118</v>
      </c>
      <c r="AD4" s="194">
        <v>-9.9999999999999995E-8</v>
      </c>
      <c r="AE4" s="195">
        <v>-1</v>
      </c>
      <c r="AF4" s="193" t="s">
        <v>113</v>
      </c>
      <c r="AG4" s="193">
        <v>7.5</v>
      </c>
      <c r="AH4" s="193">
        <v>4.5</v>
      </c>
      <c r="AI4" s="193">
        <v>5</v>
      </c>
      <c r="AJ4" s="193">
        <v>6</v>
      </c>
      <c r="AK4" s="193">
        <v>2</v>
      </c>
      <c r="AL4" s="193">
        <v>2</v>
      </c>
      <c r="AZ4" s="196">
        <v>2</v>
      </c>
      <c r="BA4" s="196" t="s">
        <v>118</v>
      </c>
      <c r="BB4" s="196">
        <v>-9.9999999999999995E-8</v>
      </c>
      <c r="BC4" s="196">
        <v>-1</v>
      </c>
      <c r="BD4" s="196" t="s">
        <v>113</v>
      </c>
      <c r="BE4" s="196">
        <v>7.5</v>
      </c>
      <c r="BF4" s="196">
        <v>4.5</v>
      </c>
      <c r="BG4" s="196">
        <v>5</v>
      </c>
      <c r="BH4" s="196">
        <v>6</v>
      </c>
      <c r="BI4" s="196">
        <v>2</v>
      </c>
      <c r="BJ4" s="196">
        <v>2</v>
      </c>
      <c r="BK4" s="196" t="b">
        <v>0</v>
      </c>
    </row>
    <row r="5" spans="1:64" ht="15" customHeight="1" x14ac:dyDescent="0.2">
      <c r="A5"/>
      <c r="B5" s="2636">
        <v>3</v>
      </c>
      <c r="C5" s="2637" t="s">
        <v>118</v>
      </c>
      <c r="D5" s="2638">
        <v>-9.9999999999999995E-8</v>
      </c>
      <c r="E5" s="2639">
        <v>-1</v>
      </c>
      <c r="F5" s="2640" t="s">
        <v>113</v>
      </c>
      <c r="G5" s="2641">
        <v>7.5</v>
      </c>
      <c r="H5" s="2641">
        <v>6.5</v>
      </c>
      <c r="I5" s="2641">
        <v>5</v>
      </c>
      <c r="J5" s="2641">
        <v>8</v>
      </c>
      <c r="K5" s="2643">
        <v>4</v>
      </c>
      <c r="L5" s="2642">
        <v>2</v>
      </c>
      <c r="M5" s="897" t="str">
        <f t="shared" si="0"/>
        <v>M</v>
      </c>
      <c r="N5" s="898">
        <f t="shared" si="1"/>
        <v>-1</v>
      </c>
      <c r="O5"/>
      <c r="P5"/>
      <c r="Q5"/>
      <c r="R5"/>
      <c r="S5"/>
      <c r="T5"/>
      <c r="AB5" s="193">
        <v>3</v>
      </c>
      <c r="AC5" s="193" t="s">
        <v>118</v>
      </c>
      <c r="AD5" s="194">
        <v>-9.9999999999999995E-8</v>
      </c>
      <c r="AE5" s="195">
        <v>-1</v>
      </c>
      <c r="AF5" s="193" t="s">
        <v>113</v>
      </c>
      <c r="AG5" s="193">
        <v>7.5</v>
      </c>
      <c r="AH5" s="193">
        <v>6.5</v>
      </c>
      <c r="AI5" s="193">
        <v>5</v>
      </c>
      <c r="AJ5" s="193">
        <v>8</v>
      </c>
      <c r="AK5" s="193">
        <v>2</v>
      </c>
      <c r="AL5" s="193">
        <v>2</v>
      </c>
      <c r="AZ5" s="196">
        <v>3</v>
      </c>
      <c r="BA5" s="196" t="s">
        <v>118</v>
      </c>
      <c r="BB5" s="196">
        <v>-9.9999999999999995E-8</v>
      </c>
      <c r="BC5" s="196">
        <v>-1</v>
      </c>
      <c r="BD5" s="196" t="s">
        <v>113</v>
      </c>
      <c r="BE5" s="196">
        <v>7.5</v>
      </c>
      <c r="BF5" s="196">
        <v>6.5</v>
      </c>
      <c r="BG5" s="196">
        <v>5</v>
      </c>
      <c r="BH5" s="196">
        <v>8</v>
      </c>
      <c r="BI5" s="196">
        <v>2</v>
      </c>
      <c r="BJ5" s="196">
        <v>2</v>
      </c>
      <c r="BK5" s="196" t="b">
        <v>0</v>
      </c>
    </row>
    <row r="6" spans="1:64" ht="15" customHeight="1" x14ac:dyDescent="0.2">
      <c r="A6"/>
      <c r="B6" s="2636">
        <v>4</v>
      </c>
      <c r="C6" s="2637" t="s">
        <v>438</v>
      </c>
      <c r="D6" s="2638">
        <v>-9.9999999999999995E-8</v>
      </c>
      <c r="E6" s="2639">
        <v>-0.25</v>
      </c>
      <c r="F6" s="2640" t="s">
        <v>113</v>
      </c>
      <c r="G6" s="2641">
        <v>3</v>
      </c>
      <c r="H6" s="2641">
        <v>2.5</v>
      </c>
      <c r="I6" s="2641">
        <v>4</v>
      </c>
      <c r="J6" s="2641"/>
      <c r="K6" s="2641"/>
      <c r="L6" s="2642"/>
      <c r="M6" s="897" t="str">
        <f t="shared" si="0"/>
        <v>G</v>
      </c>
      <c r="N6" s="898">
        <f t="shared" si="1"/>
        <v>-0.25</v>
      </c>
      <c r="O6"/>
      <c r="P6"/>
      <c r="Q6"/>
      <c r="R6"/>
      <c r="S6"/>
      <c r="T6"/>
      <c r="AB6" s="193">
        <v>4</v>
      </c>
      <c r="AC6" s="193" t="s">
        <v>438</v>
      </c>
      <c r="AD6" s="194">
        <v>-9.9999999999999995E-8</v>
      </c>
      <c r="AE6" s="195">
        <v>-0.25</v>
      </c>
      <c r="AF6" s="193" t="s">
        <v>113</v>
      </c>
      <c r="AG6" s="193">
        <v>3</v>
      </c>
      <c r="AH6" s="193">
        <v>2.5</v>
      </c>
      <c r="AI6" s="193">
        <v>4</v>
      </c>
      <c r="AJ6" s="193"/>
      <c r="AK6" s="193"/>
      <c r="AL6" s="193"/>
      <c r="AZ6" s="196">
        <v>4</v>
      </c>
      <c r="BA6" s="196" t="s">
        <v>438</v>
      </c>
      <c r="BB6" s="196">
        <v>-9.9999999999999995E-8</v>
      </c>
      <c r="BC6" s="196">
        <v>-0.25</v>
      </c>
      <c r="BD6" s="196" t="s">
        <v>113</v>
      </c>
      <c r="BE6" s="196">
        <v>3</v>
      </c>
      <c r="BF6" s="196">
        <v>2.5</v>
      </c>
      <c r="BG6" s="196">
        <v>4</v>
      </c>
      <c r="BH6" s="196"/>
      <c r="BI6" s="196"/>
      <c r="BJ6" s="196"/>
      <c r="BK6" s="196" t="b">
        <v>0</v>
      </c>
    </row>
    <row r="7" spans="1:64" ht="15" customHeight="1" x14ac:dyDescent="0.2">
      <c r="A7"/>
      <c r="B7" s="2636">
        <v>5</v>
      </c>
      <c r="C7" s="2637" t="s">
        <v>438</v>
      </c>
      <c r="D7" s="2638">
        <v>-9.9999999999999995E-8</v>
      </c>
      <c r="E7" s="2639">
        <v>-1</v>
      </c>
      <c r="F7" s="2640" t="s">
        <v>113</v>
      </c>
      <c r="G7" s="2641">
        <v>3</v>
      </c>
      <c r="H7" s="2641">
        <v>2.5</v>
      </c>
      <c r="I7" s="2641">
        <v>4</v>
      </c>
      <c r="J7" s="2641"/>
      <c r="K7" s="2641">
        <v>7</v>
      </c>
      <c r="L7" s="2642">
        <v>2</v>
      </c>
      <c r="M7" s="897" t="str">
        <f t="shared" si="0"/>
        <v>G</v>
      </c>
      <c r="N7" s="898">
        <f t="shared" si="1"/>
        <v>-1</v>
      </c>
      <c r="O7"/>
      <c r="P7"/>
      <c r="Q7"/>
      <c r="R7"/>
      <c r="S7"/>
      <c r="T7"/>
      <c r="AB7" s="193">
        <v>5</v>
      </c>
      <c r="AC7" s="193" t="s">
        <v>438</v>
      </c>
      <c r="AD7" s="194">
        <v>-9.9999999999999995E-8</v>
      </c>
      <c r="AE7" s="195">
        <v>-1</v>
      </c>
      <c r="AF7" s="193" t="s">
        <v>113</v>
      </c>
      <c r="AG7" s="193">
        <v>3</v>
      </c>
      <c r="AH7" s="193">
        <v>2.5</v>
      </c>
      <c r="AI7" s="193">
        <v>4</v>
      </c>
      <c r="AJ7" s="193"/>
      <c r="AK7" s="193">
        <v>7</v>
      </c>
      <c r="AL7" s="193">
        <v>2</v>
      </c>
      <c r="AZ7" s="196">
        <v>5</v>
      </c>
      <c r="BA7" s="196" t="s">
        <v>438</v>
      </c>
      <c r="BB7" s="806">
        <v>-9.9999999999999995E-8</v>
      </c>
      <c r="BC7" s="806">
        <v>-1</v>
      </c>
      <c r="BD7" s="196" t="s">
        <v>113</v>
      </c>
      <c r="BE7" s="196">
        <v>3</v>
      </c>
      <c r="BF7" s="196">
        <v>2.5</v>
      </c>
      <c r="BG7" s="196">
        <v>4</v>
      </c>
      <c r="BH7" s="196"/>
      <c r="BI7" s="196">
        <v>7</v>
      </c>
      <c r="BJ7" s="196">
        <v>2</v>
      </c>
      <c r="BK7" s="196" t="b">
        <v>0</v>
      </c>
    </row>
    <row r="8" spans="1:64" ht="15" customHeight="1" x14ac:dyDescent="0.2">
      <c r="A8"/>
      <c r="B8" s="2636">
        <v>6</v>
      </c>
      <c r="C8" s="2637" t="s">
        <v>148</v>
      </c>
      <c r="D8" s="2638">
        <v>-9.9999999999999995E-8</v>
      </c>
      <c r="E8" s="2639">
        <v>-0.25</v>
      </c>
      <c r="F8" s="2640" t="s">
        <v>113</v>
      </c>
      <c r="G8" s="2641">
        <v>7.5</v>
      </c>
      <c r="H8" s="2641">
        <v>6.5</v>
      </c>
      <c r="I8" s="2641">
        <v>5</v>
      </c>
      <c r="J8" s="2641">
        <v>8</v>
      </c>
      <c r="K8" s="2641">
        <v>7</v>
      </c>
      <c r="L8" s="2642">
        <v>2</v>
      </c>
      <c r="M8" s="897" t="str">
        <f t="shared" si="0"/>
        <v>C</v>
      </c>
      <c r="N8" s="898">
        <f t="shared" si="1"/>
        <v>-0.25</v>
      </c>
      <c r="O8"/>
      <c r="P8"/>
      <c r="Q8"/>
      <c r="R8"/>
      <c r="S8"/>
      <c r="T8"/>
      <c r="AB8" s="193">
        <v>6</v>
      </c>
      <c r="AC8" s="193" t="s">
        <v>148</v>
      </c>
      <c r="AD8" s="194">
        <v>-9.9999999999999995E-8</v>
      </c>
      <c r="AE8" s="195">
        <v>-0.25</v>
      </c>
      <c r="AF8" s="193" t="s">
        <v>113</v>
      </c>
      <c r="AG8" s="193">
        <v>7.5</v>
      </c>
      <c r="AH8" s="193">
        <v>6.5</v>
      </c>
      <c r="AI8" s="193">
        <v>5</v>
      </c>
      <c r="AJ8" s="193">
        <v>8</v>
      </c>
      <c r="AK8" s="193">
        <v>7</v>
      </c>
      <c r="AL8" s="193">
        <v>2</v>
      </c>
      <c r="AZ8" s="196">
        <v>6</v>
      </c>
      <c r="BA8" s="196" t="s">
        <v>148</v>
      </c>
      <c r="BB8" s="196">
        <v>-9.9999999999999995E-8</v>
      </c>
      <c r="BC8" s="196">
        <v>-0.25</v>
      </c>
      <c r="BD8" s="196" t="s">
        <v>113</v>
      </c>
      <c r="BE8" s="196">
        <v>7.5</v>
      </c>
      <c r="BF8" s="196">
        <v>6.5</v>
      </c>
      <c r="BG8" s="196">
        <v>5</v>
      </c>
      <c r="BH8" s="196">
        <v>8</v>
      </c>
      <c r="BI8" s="196">
        <v>7</v>
      </c>
      <c r="BJ8" s="196">
        <v>2</v>
      </c>
      <c r="BK8" s="196" t="b">
        <v>0</v>
      </c>
    </row>
    <row r="9" spans="1:64" ht="15" customHeight="1" x14ac:dyDescent="0.2">
      <c r="A9"/>
      <c r="B9" s="2636">
        <v>7</v>
      </c>
      <c r="C9" s="2637" t="s">
        <v>148</v>
      </c>
      <c r="D9" s="2638">
        <v>-9.9999999999999995E-8</v>
      </c>
      <c r="E9" s="2639">
        <v>-0.25</v>
      </c>
      <c r="F9" s="2640" t="s">
        <v>113</v>
      </c>
      <c r="G9" s="2641">
        <v>7.5</v>
      </c>
      <c r="H9" s="2641">
        <v>7.5</v>
      </c>
      <c r="I9" s="2641">
        <v>5</v>
      </c>
      <c r="J9" s="2641">
        <v>9</v>
      </c>
      <c r="K9" s="2641">
        <v>8</v>
      </c>
      <c r="L9" s="2642">
        <v>2</v>
      </c>
      <c r="M9" s="897" t="str">
        <f t="shared" si="0"/>
        <v>C</v>
      </c>
      <c r="N9" s="898">
        <f t="shared" si="1"/>
        <v>-0.25</v>
      </c>
      <c r="O9"/>
      <c r="P9"/>
      <c r="Q9"/>
      <c r="R9"/>
      <c r="S9"/>
      <c r="T9"/>
      <c r="AB9" s="193">
        <v>7</v>
      </c>
      <c r="AC9" s="193" t="s">
        <v>148</v>
      </c>
      <c r="AD9" s="194">
        <v>-9.9999999999999995E-8</v>
      </c>
      <c r="AE9" s="195">
        <v>-0.25</v>
      </c>
      <c r="AF9" s="193" t="s">
        <v>113</v>
      </c>
      <c r="AG9" s="193">
        <v>7.5</v>
      </c>
      <c r="AH9" s="193">
        <v>7.5</v>
      </c>
      <c r="AI9" s="193">
        <v>5</v>
      </c>
      <c r="AJ9" s="193">
        <v>9</v>
      </c>
      <c r="AK9" s="193">
        <v>8</v>
      </c>
      <c r="AL9" s="193">
        <v>2</v>
      </c>
      <c r="AZ9" s="196">
        <v>7</v>
      </c>
      <c r="BA9" s="196" t="s">
        <v>148</v>
      </c>
      <c r="BB9" s="196">
        <v>-9.9999999999999995E-8</v>
      </c>
      <c r="BC9" s="196">
        <v>-0.25</v>
      </c>
      <c r="BD9" s="196" t="s">
        <v>113</v>
      </c>
      <c r="BE9" s="196">
        <v>7.5</v>
      </c>
      <c r="BF9" s="196">
        <v>7.5</v>
      </c>
      <c r="BG9" s="196">
        <v>5</v>
      </c>
      <c r="BH9" s="196">
        <v>9</v>
      </c>
      <c r="BI9" s="196">
        <v>8</v>
      </c>
      <c r="BJ9" s="196">
        <v>2</v>
      </c>
      <c r="BK9" s="196" t="b">
        <v>0</v>
      </c>
    </row>
    <row r="10" spans="1:64" ht="15" customHeight="1" x14ac:dyDescent="0.2">
      <c r="A10"/>
      <c r="B10" s="2636">
        <v>8</v>
      </c>
      <c r="C10" s="2637" t="s">
        <v>438</v>
      </c>
      <c r="D10" s="2638">
        <v>-9.9999999999999995E-8</v>
      </c>
      <c r="E10" s="2639">
        <v>-0.25</v>
      </c>
      <c r="F10" s="2640" t="s">
        <v>113</v>
      </c>
      <c r="G10" s="2641">
        <v>3</v>
      </c>
      <c r="H10" s="2641">
        <v>2.5</v>
      </c>
      <c r="I10" s="2641">
        <v>4</v>
      </c>
      <c r="J10" s="2641"/>
      <c r="K10" s="2641"/>
      <c r="L10" s="2642"/>
      <c r="M10" s="897" t="str">
        <f t="shared" si="0"/>
        <v>G</v>
      </c>
      <c r="N10" s="898">
        <f t="shared" si="1"/>
        <v>-0.25</v>
      </c>
      <c r="O10"/>
      <c r="P10"/>
      <c r="Q10"/>
      <c r="R10"/>
      <c r="S10"/>
      <c r="T10"/>
      <c r="AB10" s="193">
        <v>8</v>
      </c>
      <c r="AC10" s="193" t="s">
        <v>438</v>
      </c>
      <c r="AD10" s="194">
        <v>-9.9999999999999995E-8</v>
      </c>
      <c r="AE10" s="195">
        <v>-0.25</v>
      </c>
      <c r="AF10" s="193" t="s">
        <v>113</v>
      </c>
      <c r="AG10" s="193">
        <v>3</v>
      </c>
      <c r="AH10" s="193">
        <v>2.5</v>
      </c>
      <c r="AI10" s="193">
        <v>4</v>
      </c>
      <c r="AJ10" s="193"/>
      <c r="AK10" s="193"/>
      <c r="AL10" s="193"/>
      <c r="AZ10" s="196">
        <v>8</v>
      </c>
      <c r="BA10" s="196" t="s">
        <v>438</v>
      </c>
      <c r="BB10" s="196">
        <v>-9.9999999999999995E-8</v>
      </c>
      <c r="BC10" s="196">
        <v>-0.25</v>
      </c>
      <c r="BD10" s="196" t="s">
        <v>113</v>
      </c>
      <c r="BE10" s="196">
        <v>3</v>
      </c>
      <c r="BF10" s="196">
        <v>2.5</v>
      </c>
      <c r="BG10" s="196">
        <v>4</v>
      </c>
      <c r="BH10" s="196"/>
      <c r="BI10" s="196"/>
      <c r="BJ10" s="196"/>
      <c r="BK10" s="196" t="b">
        <v>0</v>
      </c>
    </row>
    <row r="11" spans="1:64" ht="15" customHeight="1" x14ac:dyDescent="0.2">
      <c r="A11"/>
      <c r="B11" s="2636">
        <v>9</v>
      </c>
      <c r="C11" s="2637" t="s">
        <v>438</v>
      </c>
      <c r="D11" s="2638">
        <v>-9.9999999999999995E-8</v>
      </c>
      <c r="E11" s="2639">
        <v>-1</v>
      </c>
      <c r="F11" s="2640" t="s">
        <v>113</v>
      </c>
      <c r="G11" s="2641">
        <v>3</v>
      </c>
      <c r="H11" s="2641">
        <v>2.5</v>
      </c>
      <c r="I11" s="2641">
        <v>4</v>
      </c>
      <c r="J11" s="2641"/>
      <c r="K11" s="2641">
        <v>7</v>
      </c>
      <c r="L11" s="2642">
        <v>2</v>
      </c>
      <c r="M11" s="897" t="str">
        <f t="shared" si="0"/>
        <v>G</v>
      </c>
      <c r="N11" s="898">
        <f t="shared" si="1"/>
        <v>-1</v>
      </c>
      <c r="O11"/>
      <c r="P11"/>
      <c r="Q11"/>
      <c r="R11"/>
      <c r="S11"/>
      <c r="T11"/>
      <c r="AB11" s="193">
        <v>9</v>
      </c>
      <c r="AC11" s="193" t="s">
        <v>438</v>
      </c>
      <c r="AD11" s="194">
        <v>-9.9999999999999995E-8</v>
      </c>
      <c r="AE11" s="195">
        <v>-1</v>
      </c>
      <c r="AF11" s="193" t="s">
        <v>113</v>
      </c>
      <c r="AG11" s="193">
        <v>3</v>
      </c>
      <c r="AH11" s="193">
        <v>2.5</v>
      </c>
      <c r="AI11" s="193">
        <v>4</v>
      </c>
      <c r="AJ11" s="193"/>
      <c r="AK11" s="193">
        <v>7</v>
      </c>
      <c r="AL11" s="193">
        <v>2</v>
      </c>
      <c r="AZ11" s="196">
        <v>9</v>
      </c>
      <c r="BA11" s="196" t="s">
        <v>438</v>
      </c>
      <c r="BB11" s="196">
        <v>-9.9999999999999995E-8</v>
      </c>
      <c r="BC11" s="196">
        <v>-1</v>
      </c>
      <c r="BD11" s="196" t="s">
        <v>113</v>
      </c>
      <c r="BE11" s="196">
        <v>3</v>
      </c>
      <c r="BF11" s="196">
        <v>2.5</v>
      </c>
      <c r="BG11" s="196">
        <v>4</v>
      </c>
      <c r="BH11" s="196"/>
      <c r="BI11" s="196">
        <v>7</v>
      </c>
      <c r="BJ11" s="196">
        <v>2</v>
      </c>
      <c r="BK11" s="196" t="b">
        <v>0</v>
      </c>
    </row>
    <row r="12" spans="1:64" ht="15" customHeight="1" x14ac:dyDescent="0.2">
      <c r="A12"/>
      <c r="B12" s="2636">
        <v>10</v>
      </c>
      <c r="C12" s="2637" t="s">
        <v>118</v>
      </c>
      <c r="D12" s="2638">
        <v>-9.9999999999999995E-8</v>
      </c>
      <c r="E12" s="2639">
        <v>-1.5</v>
      </c>
      <c r="F12" s="2640" t="s">
        <v>113</v>
      </c>
      <c r="G12" s="2641">
        <v>3</v>
      </c>
      <c r="H12" s="2641">
        <v>2.75</v>
      </c>
      <c r="I12" s="2641">
        <v>4</v>
      </c>
      <c r="J12" s="2641">
        <v>4.25</v>
      </c>
      <c r="K12" s="2641"/>
      <c r="L12" s="2642"/>
      <c r="M12" s="897" t="str">
        <f t="shared" si="0"/>
        <v>M</v>
      </c>
      <c r="N12" s="898">
        <f t="shared" si="1"/>
        <v>-1.5</v>
      </c>
      <c r="O12"/>
      <c r="P12"/>
      <c r="Q12"/>
      <c r="R12"/>
      <c r="S12"/>
      <c r="T12"/>
      <c r="AB12" s="193">
        <v>10</v>
      </c>
      <c r="AC12" s="193" t="s">
        <v>118</v>
      </c>
      <c r="AD12" s="194">
        <v>-9.9999999999999995E-8</v>
      </c>
      <c r="AE12" s="195">
        <v>-1.5</v>
      </c>
      <c r="AF12" s="193" t="s">
        <v>113</v>
      </c>
      <c r="AG12" s="193">
        <v>3</v>
      </c>
      <c r="AH12" s="193">
        <v>2.75</v>
      </c>
      <c r="AI12" s="193">
        <v>4</v>
      </c>
      <c r="AJ12" s="193">
        <v>4.25</v>
      </c>
      <c r="AK12" s="193"/>
      <c r="AL12" s="193"/>
      <c r="AZ12" s="196">
        <v>10</v>
      </c>
      <c r="BA12" s="196" t="s">
        <v>118</v>
      </c>
      <c r="BB12" s="196">
        <v>-9.9999999999999995E-8</v>
      </c>
      <c r="BC12" s="196">
        <v>-1.5</v>
      </c>
      <c r="BD12" s="196" t="s">
        <v>113</v>
      </c>
      <c r="BE12" s="196">
        <v>3</v>
      </c>
      <c r="BF12" s="196">
        <v>2.75</v>
      </c>
      <c r="BG12" s="196">
        <v>4</v>
      </c>
      <c r="BH12" s="196">
        <v>4.25</v>
      </c>
      <c r="BI12" s="196"/>
      <c r="BJ12" s="196"/>
      <c r="BK12" s="196" t="b">
        <v>0</v>
      </c>
    </row>
    <row r="13" spans="1:64" ht="15" customHeight="1" x14ac:dyDescent="0.2">
      <c r="A13"/>
      <c r="B13" s="2636">
        <v>11</v>
      </c>
      <c r="C13" s="2637" t="s">
        <v>148</v>
      </c>
      <c r="D13" s="2638">
        <v>-9.9999999999999995E-8</v>
      </c>
      <c r="E13" s="2639">
        <v>-8.375</v>
      </c>
      <c r="F13" s="2640" t="s">
        <v>113</v>
      </c>
      <c r="G13" s="2641">
        <v>7.5</v>
      </c>
      <c r="H13" s="2641">
        <v>9.875</v>
      </c>
      <c r="I13" s="2641">
        <v>5</v>
      </c>
      <c r="J13" s="2641">
        <v>13.375</v>
      </c>
      <c r="K13" s="2641">
        <v>9.375</v>
      </c>
      <c r="L13" s="2642">
        <v>2</v>
      </c>
      <c r="M13" s="897" t="str">
        <f t="shared" si="0"/>
        <v>C</v>
      </c>
      <c r="N13" s="898">
        <f t="shared" si="1"/>
        <v>-8.375</v>
      </c>
      <c r="O13"/>
      <c r="P13"/>
      <c r="Q13"/>
      <c r="R13"/>
      <c r="S13"/>
      <c r="T13"/>
      <c r="AB13" s="193">
        <v>11</v>
      </c>
      <c r="AC13" s="193" t="s">
        <v>148</v>
      </c>
      <c r="AD13" s="194">
        <v>-9.9999999999999995E-8</v>
      </c>
      <c r="AE13" s="195">
        <v>-8.375</v>
      </c>
      <c r="AF13" s="193" t="s">
        <v>113</v>
      </c>
      <c r="AG13" s="193">
        <v>7.5</v>
      </c>
      <c r="AH13" s="193">
        <v>9.875</v>
      </c>
      <c r="AI13" s="193">
        <v>5</v>
      </c>
      <c r="AJ13" s="193">
        <v>13.375</v>
      </c>
      <c r="AK13" s="193">
        <v>9.375</v>
      </c>
      <c r="AL13" s="193">
        <v>2</v>
      </c>
      <c r="AZ13" s="196">
        <v>11</v>
      </c>
      <c r="BA13" s="196" t="s">
        <v>148</v>
      </c>
      <c r="BB13" s="196">
        <v>-9.9999999999999995E-8</v>
      </c>
      <c r="BC13" s="196">
        <v>-8.375</v>
      </c>
      <c r="BD13" s="196" t="s">
        <v>113</v>
      </c>
      <c r="BE13" s="196">
        <v>7.5</v>
      </c>
      <c r="BF13" s="196">
        <v>9.875</v>
      </c>
      <c r="BG13" s="196">
        <v>5</v>
      </c>
      <c r="BH13" s="196">
        <v>13.375</v>
      </c>
      <c r="BI13" s="196">
        <v>9.375</v>
      </c>
      <c r="BJ13" s="196">
        <v>2</v>
      </c>
      <c r="BK13" s="196" t="b">
        <v>0</v>
      </c>
    </row>
    <row r="14" spans="1:64" ht="15" customHeight="1" x14ac:dyDescent="0.2">
      <c r="A14"/>
      <c r="B14" s="2636">
        <v>12</v>
      </c>
      <c r="C14" s="2637" t="s">
        <v>118</v>
      </c>
      <c r="D14" s="2638">
        <v>-9.9999999999999995E-8</v>
      </c>
      <c r="E14" s="2639">
        <v>-2.5</v>
      </c>
      <c r="F14" s="2640" t="s">
        <v>113</v>
      </c>
      <c r="G14" s="2641">
        <v>3</v>
      </c>
      <c r="H14" s="2641">
        <v>4.625</v>
      </c>
      <c r="I14" s="2641">
        <v>4</v>
      </c>
      <c r="J14" s="2641">
        <v>7.125</v>
      </c>
      <c r="K14" s="2641"/>
      <c r="L14" s="2642"/>
      <c r="M14" s="897" t="str">
        <f t="shared" si="0"/>
        <v>M</v>
      </c>
      <c r="N14" s="898">
        <f t="shared" si="1"/>
        <v>-2.5</v>
      </c>
      <c r="O14"/>
      <c r="P14"/>
      <c r="Q14"/>
      <c r="R14"/>
      <c r="S14"/>
      <c r="T14"/>
      <c r="AB14" s="193">
        <v>12</v>
      </c>
      <c r="AC14" s="193" t="s">
        <v>118</v>
      </c>
      <c r="AD14" s="194">
        <v>-9.9999999999999995E-8</v>
      </c>
      <c r="AE14" s="195">
        <v>-2.5</v>
      </c>
      <c r="AF14" s="193" t="s">
        <v>113</v>
      </c>
      <c r="AG14" s="193">
        <v>3</v>
      </c>
      <c r="AH14" s="193">
        <v>4.625</v>
      </c>
      <c r="AI14" s="193">
        <v>4</v>
      </c>
      <c r="AJ14" s="193">
        <v>7.125</v>
      </c>
      <c r="AK14" s="193"/>
      <c r="AL14" s="193"/>
      <c r="AZ14" s="196">
        <v>12</v>
      </c>
      <c r="BA14" s="196" t="s">
        <v>118</v>
      </c>
      <c r="BB14" s="196">
        <v>-9.9999999999999995E-8</v>
      </c>
      <c r="BC14" s="196">
        <v>-2.5</v>
      </c>
      <c r="BD14" s="196" t="s">
        <v>113</v>
      </c>
      <c r="BE14" s="196">
        <v>3</v>
      </c>
      <c r="BF14" s="196">
        <v>4.625</v>
      </c>
      <c r="BG14" s="196">
        <v>4</v>
      </c>
      <c r="BH14" s="196">
        <v>7.125</v>
      </c>
      <c r="BI14" s="196"/>
      <c r="BJ14" s="196"/>
      <c r="BK14" s="196" t="b">
        <v>0</v>
      </c>
    </row>
    <row r="15" spans="1:64" ht="15" customHeight="1" x14ac:dyDescent="0.2">
      <c r="A15"/>
      <c r="B15" s="2636">
        <v>13</v>
      </c>
      <c r="C15" s="2637" t="s">
        <v>118</v>
      </c>
      <c r="D15" s="2638">
        <v>-9.9999999999999995E-8</v>
      </c>
      <c r="E15" s="2639">
        <v>-2.375</v>
      </c>
      <c r="F15" s="2640" t="s">
        <v>113</v>
      </c>
      <c r="G15" s="2641">
        <v>3</v>
      </c>
      <c r="H15" s="2641">
        <v>3.625</v>
      </c>
      <c r="I15" s="2641">
        <v>4</v>
      </c>
      <c r="J15" s="2641">
        <v>5.125</v>
      </c>
      <c r="K15" s="2641"/>
      <c r="L15" s="2642"/>
      <c r="M15" s="897" t="str">
        <f t="shared" si="0"/>
        <v>M</v>
      </c>
      <c r="N15" s="898">
        <f t="shared" si="1"/>
        <v>-2.375</v>
      </c>
      <c r="O15"/>
      <c r="P15"/>
      <c r="Q15"/>
      <c r="R15"/>
      <c r="S15"/>
      <c r="T15"/>
      <c r="AB15" s="193">
        <v>13</v>
      </c>
      <c r="AC15" s="193" t="s">
        <v>118</v>
      </c>
      <c r="AD15" s="194">
        <v>-9.9999999999999995E-8</v>
      </c>
      <c r="AE15" s="195">
        <v>-2.375</v>
      </c>
      <c r="AF15" s="193" t="s">
        <v>113</v>
      </c>
      <c r="AG15" s="193">
        <v>3</v>
      </c>
      <c r="AH15" s="193">
        <v>3.625</v>
      </c>
      <c r="AI15" s="193">
        <v>4</v>
      </c>
      <c r="AJ15" s="193">
        <v>5.125</v>
      </c>
      <c r="AK15" s="193"/>
      <c r="AL15" s="193"/>
      <c r="AZ15" s="196">
        <v>13</v>
      </c>
      <c r="BA15" s="196" t="s">
        <v>118</v>
      </c>
      <c r="BB15" s="196">
        <v>-9.9999999999999995E-8</v>
      </c>
      <c r="BC15" s="196">
        <v>-2.375</v>
      </c>
      <c r="BD15" s="196" t="s">
        <v>113</v>
      </c>
      <c r="BE15" s="196">
        <v>3</v>
      </c>
      <c r="BF15" s="196">
        <v>3.625</v>
      </c>
      <c r="BG15" s="196">
        <v>4</v>
      </c>
      <c r="BH15" s="196">
        <v>5.125</v>
      </c>
      <c r="BI15" s="196"/>
      <c r="BJ15" s="196"/>
      <c r="BK15" s="196" t="b">
        <v>0</v>
      </c>
    </row>
    <row r="16" spans="1:64" ht="15" customHeight="1" x14ac:dyDescent="0.2">
      <c r="A16"/>
      <c r="B16" s="2636">
        <v>14</v>
      </c>
      <c r="C16" s="2637" t="s">
        <v>35</v>
      </c>
      <c r="D16" s="2638">
        <v>-9.9999999999999995E-8</v>
      </c>
      <c r="E16" s="2639">
        <v>-0.25</v>
      </c>
      <c r="F16" s="2640" t="s">
        <v>113</v>
      </c>
      <c r="G16" s="2641">
        <v>3</v>
      </c>
      <c r="H16" s="2641"/>
      <c r="I16" s="2641">
        <v>4</v>
      </c>
      <c r="J16" s="2641"/>
      <c r="K16" s="2641"/>
      <c r="L16" s="2642"/>
      <c r="M16" s="897" t="str">
        <f t="shared" si="0"/>
        <v>B</v>
      </c>
      <c r="N16" s="898">
        <f t="shared" si="1"/>
        <v>-0.25</v>
      </c>
      <c r="O16"/>
      <c r="P16"/>
      <c r="Q16"/>
      <c r="R16"/>
      <c r="S16"/>
      <c r="T16"/>
      <c r="AB16" s="193">
        <v>14</v>
      </c>
      <c r="AC16" s="193" t="s">
        <v>35</v>
      </c>
      <c r="AD16" s="194">
        <v>-9.9999999999999995E-8</v>
      </c>
      <c r="AE16" s="195">
        <v>-0.25</v>
      </c>
      <c r="AF16" s="193" t="s">
        <v>113</v>
      </c>
      <c r="AG16" s="193">
        <v>3</v>
      </c>
      <c r="AH16" s="193"/>
      <c r="AI16" s="193">
        <v>4</v>
      </c>
      <c r="AJ16" s="193"/>
      <c r="AK16" s="193"/>
      <c r="AL16" s="193"/>
      <c r="AZ16" s="196">
        <v>14</v>
      </c>
      <c r="BA16" s="196" t="s">
        <v>35</v>
      </c>
      <c r="BB16" s="196">
        <v>-9.9999999999999995E-8</v>
      </c>
      <c r="BC16" s="196">
        <v>-0.25</v>
      </c>
      <c r="BD16" s="196" t="s">
        <v>113</v>
      </c>
      <c r="BE16" s="196">
        <v>3</v>
      </c>
      <c r="BF16" s="196"/>
      <c r="BG16" s="196">
        <v>4</v>
      </c>
      <c r="BH16" s="196"/>
      <c r="BI16" s="196"/>
      <c r="BJ16" s="196"/>
      <c r="BK16" s="196" t="b">
        <v>0</v>
      </c>
    </row>
    <row r="17" spans="1:63" ht="15" customHeight="1" x14ac:dyDescent="0.2">
      <c r="A17"/>
      <c r="B17" s="2636">
        <v>15</v>
      </c>
      <c r="C17" s="2637" t="s">
        <v>438</v>
      </c>
      <c r="D17" s="2638">
        <v>-9.9999999999999995E-8</v>
      </c>
      <c r="E17" s="2639">
        <v>-1</v>
      </c>
      <c r="F17" s="2640" t="s">
        <v>113</v>
      </c>
      <c r="G17" s="2641">
        <v>3</v>
      </c>
      <c r="H17" s="2641">
        <v>2.5</v>
      </c>
      <c r="I17" s="2641">
        <v>4</v>
      </c>
      <c r="J17" s="2641"/>
      <c r="K17" s="2641">
        <v>8</v>
      </c>
      <c r="L17" s="2642">
        <v>2</v>
      </c>
      <c r="M17" s="897" t="str">
        <f t="shared" si="0"/>
        <v>G</v>
      </c>
      <c r="N17" s="898">
        <f t="shared" si="1"/>
        <v>-1</v>
      </c>
      <c r="O17"/>
      <c r="P17"/>
      <c r="Q17"/>
      <c r="R17"/>
      <c r="S17"/>
      <c r="T17"/>
      <c r="AB17" s="193">
        <v>15</v>
      </c>
      <c r="AC17" s="193" t="s">
        <v>438</v>
      </c>
      <c r="AD17" s="194">
        <v>-9.9999999999999995E-8</v>
      </c>
      <c r="AE17" s="195">
        <v>-1</v>
      </c>
      <c r="AF17" s="193" t="s">
        <v>113</v>
      </c>
      <c r="AG17" s="193">
        <v>3</v>
      </c>
      <c r="AH17" s="193">
        <v>2.5</v>
      </c>
      <c r="AI17" s="193">
        <v>4</v>
      </c>
      <c r="AJ17" s="193"/>
      <c r="AK17" s="193">
        <v>8</v>
      </c>
      <c r="AL17" s="193">
        <v>2</v>
      </c>
      <c r="AZ17" s="196">
        <v>15</v>
      </c>
      <c r="BA17" s="196" t="s">
        <v>438</v>
      </c>
      <c r="BB17" s="196">
        <v>-9.9999999999999995E-8</v>
      </c>
      <c r="BC17" s="196">
        <v>-1</v>
      </c>
      <c r="BD17" s="196" t="s">
        <v>113</v>
      </c>
      <c r="BE17" s="196">
        <v>3</v>
      </c>
      <c r="BF17" s="196">
        <v>2.5</v>
      </c>
      <c r="BG17" s="196">
        <v>4</v>
      </c>
      <c r="BH17" s="196"/>
      <c r="BI17" s="196">
        <v>8</v>
      </c>
      <c r="BJ17" s="196">
        <v>2</v>
      </c>
      <c r="BK17" s="196" t="b">
        <v>0</v>
      </c>
    </row>
    <row r="18" spans="1:63" ht="15" customHeight="1" x14ac:dyDescent="0.2">
      <c r="A18"/>
      <c r="B18" s="2636">
        <v>16</v>
      </c>
      <c r="C18" s="2637" t="s">
        <v>438</v>
      </c>
      <c r="D18" s="2638">
        <v>0</v>
      </c>
      <c r="E18" s="2639">
        <v>0</v>
      </c>
      <c r="F18" s="2640"/>
      <c r="G18" s="2641">
        <v>0</v>
      </c>
      <c r="H18" s="2641"/>
      <c r="I18" s="2641"/>
      <c r="J18" s="2641"/>
      <c r="K18" s="2641"/>
      <c r="L18" s="2642"/>
      <c r="M18" s="897" t="str">
        <f t="shared" si="0"/>
        <v>G</v>
      </c>
      <c r="N18" s="898">
        <f t="shared" si="1"/>
        <v>0</v>
      </c>
      <c r="O18"/>
      <c r="P18"/>
      <c r="Q18"/>
      <c r="R18"/>
      <c r="S18"/>
      <c r="T18"/>
      <c r="AB18" s="193">
        <v>16</v>
      </c>
      <c r="AC18" s="193" t="s">
        <v>438</v>
      </c>
      <c r="AD18" s="194">
        <v>0</v>
      </c>
      <c r="AE18" s="195">
        <v>0</v>
      </c>
      <c r="AF18" s="193"/>
      <c r="AG18" s="193">
        <v>0</v>
      </c>
      <c r="AH18" s="193"/>
      <c r="AI18" s="193"/>
      <c r="AJ18" s="193"/>
      <c r="AK18" s="193"/>
      <c r="AL18" s="193"/>
      <c r="AZ18" s="196">
        <v>16</v>
      </c>
      <c r="BA18" s="196" t="s">
        <v>438</v>
      </c>
      <c r="BB18" s="196">
        <v>0</v>
      </c>
      <c r="BC18" s="196">
        <v>0</v>
      </c>
      <c r="BD18" s="196"/>
      <c r="BE18" s="196">
        <v>0</v>
      </c>
      <c r="BF18" s="196"/>
      <c r="BG18" s="196"/>
      <c r="BH18" s="196"/>
      <c r="BI18" s="196"/>
      <c r="BJ18" s="196"/>
      <c r="BK18" s="196" t="b">
        <v>0</v>
      </c>
    </row>
    <row r="19" spans="1:63" ht="15" customHeight="1" x14ac:dyDescent="0.2">
      <c r="A19"/>
      <c r="B19" s="2636">
        <v>17</v>
      </c>
      <c r="C19" s="2637" t="s">
        <v>148</v>
      </c>
      <c r="D19" s="2638">
        <v>-9.9999999999999995E-8</v>
      </c>
      <c r="E19" s="2639">
        <v>-5.5</v>
      </c>
      <c r="F19" s="2640" t="s">
        <v>113</v>
      </c>
      <c r="G19" s="2641">
        <v>7.5</v>
      </c>
      <c r="H19" s="2641">
        <v>8.5</v>
      </c>
      <c r="I19" s="2641">
        <v>5</v>
      </c>
      <c r="J19" s="2641">
        <v>11</v>
      </c>
      <c r="K19" s="2641">
        <v>7</v>
      </c>
      <c r="L19" s="2642">
        <v>2</v>
      </c>
      <c r="M19" s="897" t="str">
        <f t="shared" si="0"/>
        <v>C</v>
      </c>
      <c r="N19" s="898">
        <f t="shared" si="1"/>
        <v>-5.5</v>
      </c>
      <c r="O19"/>
      <c r="P19"/>
      <c r="Q19"/>
      <c r="R19"/>
      <c r="S19"/>
      <c r="T19"/>
      <c r="AB19" s="193">
        <v>17</v>
      </c>
      <c r="AC19" s="193" t="s">
        <v>148</v>
      </c>
      <c r="AD19" s="194">
        <v>-9.9999999999999995E-8</v>
      </c>
      <c r="AE19" s="195">
        <v>-5.5</v>
      </c>
      <c r="AF19" s="193" t="s">
        <v>113</v>
      </c>
      <c r="AG19" s="193">
        <v>7.5</v>
      </c>
      <c r="AH19" s="193">
        <v>8.5</v>
      </c>
      <c r="AI19" s="193">
        <v>5</v>
      </c>
      <c r="AJ19" s="193">
        <v>11</v>
      </c>
      <c r="AK19" s="193">
        <v>7</v>
      </c>
      <c r="AL19" s="193">
        <v>2</v>
      </c>
      <c r="AZ19" s="196">
        <v>17</v>
      </c>
      <c r="BA19" s="196" t="s">
        <v>148</v>
      </c>
      <c r="BB19" s="196">
        <v>-9.9999999999999995E-8</v>
      </c>
      <c r="BC19" s="196">
        <v>-5.5</v>
      </c>
      <c r="BD19" s="196" t="s">
        <v>113</v>
      </c>
      <c r="BE19" s="196">
        <v>7.5</v>
      </c>
      <c r="BF19" s="196">
        <v>8.5</v>
      </c>
      <c r="BG19" s="196">
        <v>5</v>
      </c>
      <c r="BH19" s="196">
        <v>11</v>
      </c>
      <c r="BI19" s="196">
        <v>7</v>
      </c>
      <c r="BJ19" s="196">
        <v>2</v>
      </c>
      <c r="BK19" s="196" t="b">
        <v>0</v>
      </c>
    </row>
    <row r="20" spans="1:63" ht="15" customHeight="1" x14ac:dyDescent="0.2">
      <c r="A20"/>
      <c r="B20" s="2636">
        <v>18</v>
      </c>
      <c r="C20" s="2637" t="s">
        <v>148</v>
      </c>
      <c r="D20" s="2638">
        <v>-9.9999999999999995E-8</v>
      </c>
      <c r="E20" s="2639">
        <v>-6.5</v>
      </c>
      <c r="F20" s="2640" t="s">
        <v>113</v>
      </c>
      <c r="G20" s="2641">
        <v>7.5</v>
      </c>
      <c r="H20" s="2641">
        <v>9.5</v>
      </c>
      <c r="I20" s="2641">
        <v>5</v>
      </c>
      <c r="J20" s="2641">
        <v>12</v>
      </c>
      <c r="K20" s="2641">
        <v>8</v>
      </c>
      <c r="L20" s="2642">
        <v>2</v>
      </c>
      <c r="M20" s="897" t="str">
        <f t="shared" si="0"/>
        <v>C</v>
      </c>
      <c r="N20" s="898">
        <f t="shared" si="1"/>
        <v>-6.5</v>
      </c>
      <c r="O20"/>
      <c r="P20"/>
      <c r="Q20"/>
      <c r="R20"/>
      <c r="S20"/>
      <c r="T20"/>
      <c r="AB20" s="193">
        <v>18</v>
      </c>
      <c r="AC20" s="193" t="s">
        <v>148</v>
      </c>
      <c r="AD20" s="194">
        <v>-9.9999999999999995E-8</v>
      </c>
      <c r="AE20" s="195">
        <v>-6.5</v>
      </c>
      <c r="AF20" s="193" t="s">
        <v>113</v>
      </c>
      <c r="AG20" s="193">
        <v>7.5</v>
      </c>
      <c r="AH20" s="193">
        <v>9.5</v>
      </c>
      <c r="AI20" s="193">
        <v>5</v>
      </c>
      <c r="AJ20" s="193">
        <v>12</v>
      </c>
      <c r="AK20" s="193">
        <v>8</v>
      </c>
      <c r="AL20" s="193">
        <v>2</v>
      </c>
      <c r="AZ20" s="196">
        <v>18</v>
      </c>
      <c r="BA20" s="196" t="s">
        <v>148</v>
      </c>
      <c r="BB20" s="196">
        <v>-9.9999999999999995E-8</v>
      </c>
      <c r="BC20" s="196">
        <v>-6.5</v>
      </c>
      <c r="BD20" s="196" t="s">
        <v>113</v>
      </c>
      <c r="BE20" s="196">
        <v>7.5</v>
      </c>
      <c r="BF20" s="196">
        <v>9.5</v>
      </c>
      <c r="BG20" s="196">
        <v>5</v>
      </c>
      <c r="BH20" s="196">
        <v>12</v>
      </c>
      <c r="BI20" s="196">
        <v>8</v>
      </c>
      <c r="BJ20" s="196">
        <v>2</v>
      </c>
      <c r="BK20" s="196" t="b">
        <v>0</v>
      </c>
    </row>
    <row r="21" spans="1:63" ht="15" customHeight="1" x14ac:dyDescent="0.2">
      <c r="A21"/>
      <c r="B21" s="2636"/>
      <c r="C21" s="2637"/>
      <c r="D21" s="2638"/>
      <c r="E21" s="2639"/>
      <c r="F21" s="2640"/>
      <c r="G21" s="2641"/>
      <c r="H21" s="2641"/>
      <c r="I21" s="2641"/>
      <c r="J21" s="2641"/>
      <c r="K21" s="2641"/>
      <c r="L21" s="2642"/>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t="e">
        <v>#N/A</v>
      </c>
    </row>
    <row r="22" spans="1:63" ht="15" customHeight="1" x14ac:dyDescent="0.2">
      <c r="A22"/>
      <c r="B22" s="2644" t="s">
        <v>1861</v>
      </c>
      <c r="C22" s="2645" t="s">
        <v>118</v>
      </c>
      <c r="D22" s="2638">
        <v>-9.9999999999999995E-8</v>
      </c>
      <c r="E22" s="2646">
        <v>-1.5</v>
      </c>
      <c r="F22" s="2647" t="s">
        <v>113</v>
      </c>
      <c r="G22" s="2643">
        <v>7.5</v>
      </c>
      <c r="H22" s="2641"/>
      <c r="I22" s="2643">
        <v>5</v>
      </c>
      <c r="J22" s="2643">
        <v>9.875</v>
      </c>
      <c r="K22" s="2643">
        <v>4.5</v>
      </c>
      <c r="L22" s="2648">
        <v>2</v>
      </c>
      <c r="M22" s="897" t="str">
        <f t="shared" si="0"/>
        <v>M</v>
      </c>
      <c r="N22" s="898">
        <f t="shared" si="1"/>
        <v>-1.5</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t="b">
        <v>0</v>
      </c>
    </row>
    <row r="23" spans="1:63" ht="15" customHeight="1" x14ac:dyDescent="0.2">
      <c r="A23"/>
      <c r="B23" s="2644" t="s">
        <v>1862</v>
      </c>
      <c r="C23" s="2645" t="s">
        <v>118</v>
      </c>
      <c r="D23" s="2638">
        <v>-9.9999999999999995E-8</v>
      </c>
      <c r="E23" s="2646">
        <v>-1.5</v>
      </c>
      <c r="F23" s="2647" t="s">
        <v>113</v>
      </c>
      <c r="G23" s="2643">
        <v>3</v>
      </c>
      <c r="H23" s="2641"/>
      <c r="I23" s="2643">
        <v>4</v>
      </c>
      <c r="J23" s="2643">
        <v>4.25</v>
      </c>
      <c r="K23" s="2641"/>
      <c r="L23" s="2642"/>
      <c r="M23" s="897" t="str">
        <f t="shared" si="0"/>
        <v>M</v>
      </c>
      <c r="N23" s="898">
        <f t="shared" si="1"/>
        <v>-1.5</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t="b">
        <v>0</v>
      </c>
    </row>
    <row r="24" spans="1:63" ht="15" customHeight="1" x14ac:dyDescent="0.2">
      <c r="A24"/>
      <c r="B24" s="2636"/>
      <c r="C24" s="2637"/>
      <c r="D24" s="2638"/>
      <c r="E24" s="2639"/>
      <c r="F24" s="2640"/>
      <c r="G24" s="2641"/>
      <c r="H24" s="2641"/>
      <c r="I24" s="2641"/>
      <c r="J24" s="2641"/>
      <c r="K24" s="2641"/>
      <c r="L24" s="2642"/>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t="e">
        <v>#N/A</v>
      </c>
    </row>
    <row r="25" spans="1:63" ht="15" customHeight="1" x14ac:dyDescent="0.2">
      <c r="A25"/>
      <c r="B25" s="2636"/>
      <c r="C25" s="2637"/>
      <c r="D25" s="2638"/>
      <c r="E25" s="2639"/>
      <c r="F25" s="2640"/>
      <c r="G25" s="2641"/>
      <c r="H25" s="2641"/>
      <c r="I25" s="2641"/>
      <c r="J25" s="2641"/>
      <c r="K25" s="2641"/>
      <c r="L25" s="2642"/>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t="e">
        <v>#N/A</v>
      </c>
    </row>
    <row r="26" spans="1:63" ht="15" customHeight="1" x14ac:dyDescent="0.2">
      <c r="A26"/>
      <c r="B26" s="2636"/>
      <c r="C26" s="2637"/>
      <c r="D26" s="2638"/>
      <c r="E26" s="2639"/>
      <c r="F26" s="2640"/>
      <c r="G26" s="2641"/>
      <c r="H26" s="2641"/>
      <c r="I26" s="2641"/>
      <c r="J26" s="2641"/>
      <c r="K26" s="2641"/>
      <c r="L26" s="2642"/>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t="e">
        <v>#N/A</v>
      </c>
    </row>
    <row r="27" spans="1:63" ht="15" customHeight="1" x14ac:dyDescent="0.2">
      <c r="A27"/>
      <c r="B27" s="2636"/>
      <c r="C27" s="2637"/>
      <c r="D27" s="2638"/>
      <c r="E27" s="2639"/>
      <c r="F27" s="2640"/>
      <c r="G27" s="2641"/>
      <c r="H27" s="2641"/>
      <c r="I27" s="2641"/>
      <c r="J27" s="2641"/>
      <c r="K27" s="2641"/>
      <c r="L27" s="2642"/>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t="e">
        <v>#N/A</v>
      </c>
    </row>
    <row r="28" spans="1:63" ht="15" customHeight="1" x14ac:dyDescent="0.2">
      <c r="A28"/>
      <c r="B28" s="2636"/>
      <c r="C28" s="2637"/>
      <c r="D28" s="2638"/>
      <c r="E28" s="2639"/>
      <c r="F28" s="2640"/>
      <c r="G28" s="2641"/>
      <c r="H28" s="2641"/>
      <c r="I28" s="2641"/>
      <c r="J28" s="2641"/>
      <c r="K28" s="2641"/>
      <c r="L28" s="2642"/>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t="e">
        <v>#N/A</v>
      </c>
    </row>
    <row r="29" spans="1:63" ht="15" customHeight="1" x14ac:dyDescent="0.2">
      <c r="A29"/>
      <c r="B29" s="2636"/>
      <c r="C29" s="2637"/>
      <c r="D29" s="2638"/>
      <c r="E29" s="2639"/>
      <c r="F29" s="2640"/>
      <c r="G29" s="2641"/>
      <c r="H29" s="2641"/>
      <c r="I29" s="2641"/>
      <c r="J29" s="2641"/>
      <c r="K29" s="2641"/>
      <c r="L29" s="2642"/>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t="e">
        <v>#N/A</v>
      </c>
    </row>
    <row r="30" spans="1:63" ht="15" customHeight="1" x14ac:dyDescent="0.2">
      <c r="A30"/>
      <c r="B30" s="2636"/>
      <c r="C30" s="2637"/>
      <c r="D30" s="2638"/>
      <c r="E30" s="2639"/>
      <c r="F30" s="2640"/>
      <c r="G30" s="2641"/>
      <c r="H30" s="2641"/>
      <c r="I30" s="2641"/>
      <c r="J30" s="2641"/>
      <c r="K30" s="2641"/>
      <c r="L30" s="2642"/>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t="e">
        <v>#N/A</v>
      </c>
    </row>
    <row r="31" spans="1:63" ht="15" customHeight="1" x14ac:dyDescent="0.2">
      <c r="A31"/>
      <c r="B31" s="2636"/>
      <c r="C31" s="2637"/>
      <c r="D31" s="2638"/>
      <c r="E31" s="2639"/>
      <c r="F31" s="2640"/>
      <c r="G31" s="2641"/>
      <c r="H31" s="2641"/>
      <c r="I31" s="2641"/>
      <c r="J31" s="2641"/>
      <c r="K31" s="2641"/>
      <c r="L31" s="2642"/>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t="e">
        <v>#N/A</v>
      </c>
    </row>
    <row r="32" spans="1:63" ht="15" customHeight="1" x14ac:dyDescent="0.2">
      <c r="A32"/>
      <c r="B32" s="2636"/>
      <c r="C32" s="2637"/>
      <c r="D32" s="2638"/>
      <c r="E32" s="2639"/>
      <c r="F32" s="2640"/>
      <c r="G32" s="2641"/>
      <c r="H32" s="2641"/>
      <c r="I32" s="2641"/>
      <c r="J32" s="2641"/>
      <c r="K32" s="2641"/>
      <c r="L32" s="2642"/>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t="e">
        <v>#N/A</v>
      </c>
    </row>
    <row r="33" spans="1:63" ht="15" customHeight="1" x14ac:dyDescent="0.2">
      <c r="A33"/>
      <c r="B33" s="2636"/>
      <c r="C33" s="2637"/>
      <c r="D33" s="2638"/>
      <c r="E33" s="2639"/>
      <c r="F33" s="2640"/>
      <c r="G33" s="2641"/>
      <c r="H33" s="2641"/>
      <c r="I33" s="2641"/>
      <c r="J33" s="2641"/>
      <c r="K33" s="2641"/>
      <c r="L33" s="2642"/>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t="e">
        <v>#N/A</v>
      </c>
    </row>
    <row r="34" spans="1:63" ht="15" customHeight="1" x14ac:dyDescent="0.2">
      <c r="A34"/>
      <c r="B34" s="2636"/>
      <c r="C34" s="2637"/>
      <c r="D34" s="2638"/>
      <c r="E34" s="2639"/>
      <c r="F34" s="2640"/>
      <c r="G34" s="2641"/>
      <c r="H34" s="2641"/>
      <c r="I34" s="2641"/>
      <c r="J34" s="2641"/>
      <c r="K34" s="2641"/>
      <c r="L34" s="2642"/>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t="e">
        <v>#N/A</v>
      </c>
    </row>
    <row r="35" spans="1:63" ht="15" customHeight="1" x14ac:dyDescent="0.2">
      <c r="A35"/>
      <c r="B35" s="2636"/>
      <c r="C35" s="2637"/>
      <c r="D35" s="2638"/>
      <c r="E35" s="2639"/>
      <c r="F35" s="2640"/>
      <c r="G35" s="2641"/>
      <c r="H35" s="2641"/>
      <c r="I35" s="2641"/>
      <c r="J35" s="2641"/>
      <c r="K35" s="2641"/>
      <c r="L35" s="2642"/>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t="e">
        <v>#N/A</v>
      </c>
    </row>
    <row r="36" spans="1:63" ht="15" customHeight="1" x14ac:dyDescent="0.2">
      <c r="A36"/>
      <c r="B36" s="2636"/>
      <c r="C36" s="2637"/>
      <c r="D36" s="2638"/>
      <c r="E36" s="2639"/>
      <c r="F36" s="2640"/>
      <c r="G36" s="2641"/>
      <c r="H36" s="2641"/>
      <c r="I36" s="2641"/>
      <c r="J36" s="2641"/>
      <c r="K36" s="2641"/>
      <c r="L36" s="2642"/>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t="e">
        <v>#N/A</v>
      </c>
    </row>
    <row r="37" spans="1:63" ht="15" customHeight="1" x14ac:dyDescent="0.2">
      <c r="A37"/>
      <c r="B37" s="2636"/>
      <c r="C37" s="2637"/>
      <c r="D37" s="2638"/>
      <c r="E37" s="2639"/>
      <c r="F37" s="2640"/>
      <c r="G37" s="2641"/>
      <c r="H37" s="2641"/>
      <c r="I37" s="2641"/>
      <c r="J37" s="2641"/>
      <c r="K37" s="2641"/>
      <c r="L37" s="2642"/>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t="e">
        <v>#N/A</v>
      </c>
    </row>
    <row r="38" spans="1:63" ht="15" customHeight="1" x14ac:dyDescent="0.2">
      <c r="A38"/>
      <c r="B38" s="2636"/>
      <c r="C38" s="2637"/>
      <c r="D38" s="2638"/>
      <c r="E38" s="2639"/>
      <c r="F38" s="2640"/>
      <c r="G38" s="2641"/>
      <c r="H38" s="2641"/>
      <c r="I38" s="2641"/>
      <c r="J38" s="2641"/>
      <c r="K38" s="2641"/>
      <c r="L38" s="2642"/>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t="e">
        <v>#N/A</v>
      </c>
    </row>
    <row r="39" spans="1:63" ht="15" customHeight="1" x14ac:dyDescent="0.2">
      <c r="A39"/>
      <c r="B39" s="2636"/>
      <c r="C39" s="2637"/>
      <c r="D39" s="2638"/>
      <c r="E39" s="2639"/>
      <c r="F39" s="2640"/>
      <c r="G39" s="2641"/>
      <c r="H39" s="2641"/>
      <c r="I39" s="2641"/>
      <c r="J39" s="2641"/>
      <c r="K39" s="2641"/>
      <c r="L39" s="2642"/>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t="e">
        <v>#N/A</v>
      </c>
    </row>
    <row r="40" spans="1:63" ht="15" customHeight="1" x14ac:dyDescent="0.2">
      <c r="A40"/>
      <c r="B40" s="2636"/>
      <c r="C40" s="2637"/>
      <c r="D40" s="2638"/>
      <c r="E40" s="2639"/>
      <c r="F40" s="2640"/>
      <c r="G40" s="2641"/>
      <c r="H40" s="2641"/>
      <c r="I40" s="2641"/>
      <c r="J40" s="2641"/>
      <c r="K40" s="2641"/>
      <c r="L40" s="2642"/>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t="e">
        <v>#N/A</v>
      </c>
    </row>
    <row r="41" spans="1:63" ht="15" customHeight="1" x14ac:dyDescent="0.2">
      <c r="A41"/>
      <c r="B41" s="2636"/>
      <c r="C41" s="2637"/>
      <c r="D41" s="2638"/>
      <c r="E41" s="2639"/>
      <c r="F41" s="2640"/>
      <c r="G41" s="2641"/>
      <c r="H41" s="2641"/>
      <c r="I41" s="2641"/>
      <c r="J41" s="2641"/>
      <c r="K41" s="2641"/>
      <c r="L41" s="2642"/>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t="e">
        <v>#N/A</v>
      </c>
    </row>
    <row r="42" spans="1:63" ht="15" customHeight="1" x14ac:dyDescent="0.2">
      <c r="A42"/>
      <c r="B42" s="2636"/>
      <c r="C42" s="2637"/>
      <c r="D42" s="2638"/>
      <c r="E42" s="2639"/>
      <c r="F42" s="2640"/>
      <c r="G42" s="2641"/>
      <c r="H42" s="2641"/>
      <c r="I42" s="2641"/>
      <c r="J42" s="2641"/>
      <c r="K42" s="2641"/>
      <c r="L42" s="2642"/>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t="e">
        <v>#N/A</v>
      </c>
    </row>
    <row r="43" spans="1:63" ht="15" customHeight="1" x14ac:dyDescent="0.2">
      <c r="A43"/>
      <c r="B43" s="2636"/>
      <c r="C43" s="2637"/>
      <c r="D43" s="2638"/>
      <c r="E43" s="2639"/>
      <c r="F43" s="2640"/>
      <c r="G43" s="2641"/>
      <c r="H43" s="2641"/>
      <c r="I43" s="2641"/>
      <c r="J43" s="2641"/>
      <c r="K43" s="2641"/>
      <c r="L43" s="2642"/>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t="e">
        <v>#N/A</v>
      </c>
    </row>
    <row r="44" spans="1:63" ht="15" customHeight="1" x14ac:dyDescent="0.2">
      <c r="A44"/>
      <c r="B44" s="2636"/>
      <c r="C44" s="2637"/>
      <c r="D44" s="2638"/>
      <c r="E44" s="2639"/>
      <c r="F44" s="2640"/>
      <c r="G44" s="2641"/>
      <c r="H44" s="2641"/>
      <c r="I44" s="2641"/>
      <c r="J44" s="2641"/>
      <c r="K44" s="2641"/>
      <c r="L44" s="2642"/>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t="e">
        <v>#N/A</v>
      </c>
    </row>
    <row r="45" spans="1:63" ht="15" customHeight="1" x14ac:dyDescent="0.2">
      <c r="A45"/>
      <c r="B45" s="2636"/>
      <c r="C45" s="2637"/>
      <c r="D45" s="2638"/>
      <c r="E45" s="2639"/>
      <c r="F45" s="2640"/>
      <c r="G45" s="2641"/>
      <c r="H45" s="2641"/>
      <c r="I45" s="2641"/>
      <c r="J45" s="2641"/>
      <c r="K45" s="2641"/>
      <c r="L45" s="2642"/>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t="e">
        <v>#N/A</v>
      </c>
    </row>
    <row r="46" spans="1:63" ht="15" customHeight="1" x14ac:dyDescent="0.2">
      <c r="A46"/>
      <c r="B46" s="2636"/>
      <c r="C46" s="2637"/>
      <c r="D46" s="2638"/>
      <c r="E46" s="2639"/>
      <c r="F46" s="2640"/>
      <c r="G46" s="2641"/>
      <c r="H46" s="2641"/>
      <c r="I46" s="2641"/>
      <c r="J46" s="2641"/>
      <c r="K46" s="2641"/>
      <c r="L46" s="2642"/>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t="e">
        <v>#N/A</v>
      </c>
    </row>
    <row r="47" spans="1:63" ht="15" customHeight="1" x14ac:dyDescent="0.2">
      <c r="A47"/>
      <c r="B47" s="2636"/>
      <c r="C47" s="2637"/>
      <c r="D47" s="2638"/>
      <c r="E47" s="2639"/>
      <c r="F47" s="2640"/>
      <c r="G47" s="2641"/>
      <c r="H47" s="2641"/>
      <c r="I47" s="2641"/>
      <c r="J47" s="2641"/>
      <c r="K47" s="2641"/>
      <c r="L47" s="2642"/>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t="e">
        <v>#N/A</v>
      </c>
    </row>
    <row r="48" spans="1:63" ht="15" customHeight="1" x14ac:dyDescent="0.2">
      <c r="A48"/>
      <c r="B48" s="2636"/>
      <c r="C48" s="2637"/>
      <c r="D48" s="2638"/>
      <c r="E48" s="2639"/>
      <c r="F48" s="2640"/>
      <c r="G48" s="2641"/>
      <c r="H48" s="2641"/>
      <c r="I48" s="2641"/>
      <c r="J48" s="2641"/>
      <c r="K48" s="2641"/>
      <c r="L48" s="2642"/>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t="e">
        <v>#N/A</v>
      </c>
    </row>
    <row r="49" spans="1:63" ht="15" customHeight="1" x14ac:dyDescent="0.2">
      <c r="A49"/>
      <c r="B49" s="2636"/>
      <c r="C49" s="2637"/>
      <c r="D49" s="2638"/>
      <c r="E49" s="2639"/>
      <c r="F49" s="2640"/>
      <c r="G49" s="2641"/>
      <c r="H49" s="2641"/>
      <c r="I49" s="2641"/>
      <c r="J49" s="2641"/>
      <c r="K49" s="2641"/>
      <c r="L49" s="2642"/>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t="e">
        <v>#N/A</v>
      </c>
    </row>
    <row r="50" spans="1:63" ht="15" customHeight="1" x14ac:dyDescent="0.2">
      <c r="A50"/>
      <c r="B50" s="2636"/>
      <c r="C50" s="2637"/>
      <c r="D50" s="2638"/>
      <c r="E50" s="2639"/>
      <c r="F50" s="2640"/>
      <c r="G50" s="2641"/>
      <c r="H50" s="2641"/>
      <c r="I50" s="2641"/>
      <c r="J50" s="2641"/>
      <c r="K50" s="2641"/>
      <c r="L50" s="2642"/>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t="e">
        <v>#N/A</v>
      </c>
    </row>
    <row r="51" spans="1:63" ht="15" customHeight="1" x14ac:dyDescent="0.2">
      <c r="A51"/>
      <c r="B51" s="2636"/>
      <c r="C51" s="2637"/>
      <c r="D51" s="2638"/>
      <c r="E51" s="2639"/>
      <c r="F51" s="2640"/>
      <c r="G51" s="2641"/>
      <c r="H51" s="2641"/>
      <c r="I51" s="2641"/>
      <c r="J51" s="2641"/>
      <c r="K51" s="2641"/>
      <c r="L51" s="2642"/>
      <c r="M51" s="897" t="str">
        <f t="shared" si="2"/>
        <v/>
      </c>
      <c r="N51" s="898" t="str">
        <f t="shared" si="1"/>
        <v/>
      </c>
      <c r="O51"/>
      <c r="P51"/>
      <c r="Q51" s="94"/>
      <c r="R51"/>
      <c r="S51"/>
      <c r="T51"/>
      <c r="AZ51" s="196"/>
      <c r="BA51" s="196"/>
      <c r="BB51" s="196"/>
      <c r="BC51" s="196"/>
      <c r="BD51" s="196"/>
      <c r="BE51" s="196"/>
      <c r="BF51" s="196"/>
      <c r="BG51" s="196"/>
      <c r="BH51" s="196"/>
      <c r="BI51" s="196"/>
      <c r="BJ51" s="196"/>
      <c r="BK51" s="196" t="e">
        <v>#N/A</v>
      </c>
    </row>
    <row r="52" spans="1:63" ht="15" customHeight="1" x14ac:dyDescent="0.2">
      <c r="A52"/>
      <c r="B52" s="2636"/>
      <c r="C52" s="2637"/>
      <c r="D52" s="2638"/>
      <c r="E52" s="2639"/>
      <c r="F52" s="2640"/>
      <c r="G52" s="2641"/>
      <c r="H52" s="2641"/>
      <c r="I52" s="2641"/>
      <c r="J52" s="2641"/>
      <c r="K52" s="2641"/>
      <c r="L52" s="2642"/>
      <c r="M52" s="897" t="str">
        <f t="shared" si="2"/>
        <v/>
      </c>
      <c r="N52" s="898" t="str">
        <f t="shared" si="1"/>
        <v/>
      </c>
      <c r="O52"/>
      <c r="P52"/>
      <c r="Q52" s="94"/>
      <c r="R52"/>
      <c r="S52"/>
      <c r="T52"/>
      <c r="AZ52" s="196"/>
      <c r="BA52" s="196"/>
      <c r="BB52" s="196"/>
      <c r="BC52" s="196"/>
      <c r="BD52" s="196"/>
      <c r="BE52" s="196"/>
      <c r="BF52" s="196"/>
      <c r="BG52" s="196"/>
      <c r="BH52" s="196"/>
      <c r="BI52" s="196"/>
      <c r="BJ52" s="196"/>
      <c r="BK52" s="196" t="e">
        <v>#N/A</v>
      </c>
    </row>
    <row r="53" spans="1:63" ht="15" customHeight="1" x14ac:dyDescent="0.2">
      <c r="A53"/>
      <c r="B53" s="2636"/>
      <c r="C53" s="2637"/>
      <c r="D53" s="2638"/>
      <c r="E53" s="2639"/>
      <c r="F53" s="2640"/>
      <c r="G53" s="2641"/>
      <c r="H53" s="2641"/>
      <c r="I53" s="2641"/>
      <c r="J53" s="2641"/>
      <c r="K53" s="2641"/>
      <c r="L53" s="2642"/>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t="e">
        <v>#N/A</v>
      </c>
    </row>
    <row r="54" spans="1:63" ht="15" customHeight="1" x14ac:dyDescent="0.2">
      <c r="A54"/>
      <c r="B54" s="2636"/>
      <c r="C54" s="2637"/>
      <c r="D54" s="2638"/>
      <c r="E54" s="2639"/>
      <c r="F54" s="2640"/>
      <c r="G54" s="2641"/>
      <c r="H54" s="2641"/>
      <c r="I54" s="2641"/>
      <c r="J54" s="2641"/>
      <c r="K54" s="2641"/>
      <c r="L54" s="2642"/>
      <c r="M54" s="897" t="str">
        <f t="shared" si="2"/>
        <v/>
      </c>
      <c r="N54" s="898" t="str">
        <f t="shared" si="1"/>
        <v/>
      </c>
      <c r="O54"/>
      <c r="P54"/>
      <c r="Q54" s="94"/>
      <c r="R54"/>
      <c r="S54"/>
      <c r="T54"/>
      <c r="AZ54" s="196"/>
      <c r="BA54" s="196"/>
      <c r="BB54" s="196"/>
      <c r="BC54" s="196"/>
      <c r="BD54" s="196"/>
      <c r="BE54" s="196"/>
      <c r="BF54" s="196"/>
      <c r="BG54" s="196"/>
      <c r="BH54" s="196"/>
      <c r="BI54" s="196"/>
      <c r="BJ54" s="196"/>
      <c r="BK54" s="196" t="e">
        <v>#N/A</v>
      </c>
    </row>
    <row r="55" spans="1:63" ht="15" customHeight="1" x14ac:dyDescent="0.2">
      <c r="A55"/>
      <c r="B55" s="2636"/>
      <c r="C55" s="2637"/>
      <c r="D55" s="2638"/>
      <c r="E55" s="2639"/>
      <c r="F55" s="2640"/>
      <c r="G55" s="2641"/>
      <c r="H55" s="2641"/>
      <c r="I55" s="2641"/>
      <c r="J55" s="2641"/>
      <c r="K55" s="2641"/>
      <c r="L55" s="2642"/>
      <c r="M55" s="897" t="str">
        <f t="shared" si="2"/>
        <v/>
      </c>
      <c r="N55" s="898" t="str">
        <f t="shared" si="1"/>
        <v/>
      </c>
      <c r="O55"/>
      <c r="P55"/>
      <c r="Q55" s="94"/>
      <c r="R55"/>
      <c r="S55"/>
      <c r="T55"/>
      <c r="AZ55" s="196"/>
      <c r="BA55" s="196"/>
      <c r="BB55" s="196"/>
      <c r="BC55" s="196"/>
      <c r="BD55" s="196"/>
      <c r="BE55" s="196"/>
      <c r="BF55" s="196"/>
      <c r="BG55" s="196"/>
      <c r="BH55" s="196"/>
      <c r="BI55" s="196"/>
      <c r="BJ55" s="196"/>
      <c r="BK55" s="196" t="e">
        <v>#N/A</v>
      </c>
    </row>
    <row r="56" spans="1:63" ht="15" customHeight="1" x14ac:dyDescent="0.2">
      <c r="A56"/>
      <c r="B56" s="2636"/>
      <c r="C56" s="2637"/>
      <c r="D56" s="2638"/>
      <c r="E56" s="2639"/>
      <c r="F56" s="2640"/>
      <c r="G56" s="2641"/>
      <c r="H56" s="2641"/>
      <c r="I56" s="2641"/>
      <c r="J56" s="2641"/>
      <c r="K56" s="2641"/>
      <c r="L56" s="2642"/>
      <c r="M56" s="897" t="str">
        <f t="shared" si="2"/>
        <v/>
      </c>
      <c r="N56" s="898" t="str">
        <f t="shared" si="1"/>
        <v/>
      </c>
      <c r="O56"/>
      <c r="P56"/>
      <c r="Q56" s="94"/>
      <c r="R56"/>
      <c r="S56"/>
      <c r="T56"/>
      <c r="AZ56" s="196"/>
      <c r="BA56" s="196"/>
      <c r="BB56" s="196"/>
      <c r="BC56" s="196"/>
      <c r="BD56" s="196"/>
      <c r="BE56" s="196"/>
      <c r="BF56" s="196"/>
      <c r="BG56" s="196"/>
      <c r="BH56" s="196"/>
      <c r="BI56" s="196"/>
      <c r="BJ56" s="196"/>
      <c r="BK56" s="196" t="e">
        <v>#N/A</v>
      </c>
    </row>
    <row r="57" spans="1:63" ht="15" customHeight="1" x14ac:dyDescent="0.2">
      <c r="A57"/>
      <c r="B57" s="2636"/>
      <c r="C57" s="2637"/>
      <c r="D57" s="2638"/>
      <c r="E57" s="2639"/>
      <c r="F57" s="2640"/>
      <c r="G57" s="2641"/>
      <c r="H57" s="2641"/>
      <c r="I57" s="2641"/>
      <c r="J57" s="2641"/>
      <c r="K57" s="2641"/>
      <c r="L57" s="2642"/>
      <c r="M57" s="897" t="str">
        <f t="shared" si="2"/>
        <v/>
      </c>
      <c r="N57" s="898" t="str">
        <f t="shared" si="1"/>
        <v/>
      </c>
      <c r="O57"/>
      <c r="P57"/>
      <c r="Q57"/>
      <c r="R57"/>
      <c r="S57"/>
      <c r="T57"/>
      <c r="AZ57" s="196"/>
      <c r="BA57" s="196"/>
      <c r="BB57" s="196"/>
      <c r="BC57" s="196"/>
      <c r="BD57" s="196"/>
      <c r="BE57" s="196"/>
      <c r="BF57" s="196"/>
      <c r="BG57" s="196"/>
      <c r="BH57" s="196"/>
      <c r="BI57" s="196"/>
      <c r="BJ57" s="196"/>
      <c r="BK57" s="196" t="e">
        <v>#N/A</v>
      </c>
    </row>
    <row r="58" spans="1:63" ht="15" customHeight="1" x14ac:dyDescent="0.2">
      <c r="A58"/>
      <c r="B58" s="2636"/>
      <c r="C58" s="2637"/>
      <c r="D58" s="2638"/>
      <c r="E58" s="2639"/>
      <c r="F58" s="2640"/>
      <c r="G58" s="2641"/>
      <c r="H58" s="2641"/>
      <c r="I58" s="2641"/>
      <c r="J58" s="2641"/>
      <c r="K58" s="2641"/>
      <c r="L58" s="2642"/>
      <c r="M58" s="897" t="str">
        <f t="shared" si="2"/>
        <v/>
      </c>
      <c r="N58" s="898" t="str">
        <f t="shared" si="1"/>
        <v/>
      </c>
      <c r="O58"/>
      <c r="P58"/>
      <c r="Q58" s="94"/>
      <c r="R58"/>
      <c r="S58"/>
      <c r="T58"/>
      <c r="AZ58" s="196"/>
      <c r="BA58" s="196"/>
      <c r="BB58" s="196"/>
      <c r="BC58" s="196"/>
      <c r="BD58" s="196"/>
      <c r="BE58" s="196"/>
      <c r="BF58" s="196"/>
      <c r="BG58" s="196"/>
      <c r="BH58" s="196"/>
      <c r="BI58" s="196"/>
      <c r="BJ58" s="196"/>
      <c r="BK58" s="196" t="e">
        <v>#N/A</v>
      </c>
    </row>
    <row r="59" spans="1:63" ht="15" customHeight="1" x14ac:dyDescent="0.2">
      <c r="A59"/>
      <c r="B59" s="2636"/>
      <c r="C59" s="2637"/>
      <c r="D59" s="2638"/>
      <c r="E59" s="2639"/>
      <c r="F59" s="2640"/>
      <c r="G59" s="2641"/>
      <c r="H59" s="2641"/>
      <c r="I59" s="2641"/>
      <c r="J59" s="2641"/>
      <c r="K59" s="2641"/>
      <c r="L59" s="2642"/>
      <c r="M59" s="897" t="str">
        <f t="shared" si="2"/>
        <v/>
      </c>
      <c r="N59" s="898" t="str">
        <f t="shared" si="1"/>
        <v/>
      </c>
      <c r="O59"/>
      <c r="P59"/>
      <c r="Q59" s="94"/>
      <c r="R59"/>
      <c r="S59"/>
      <c r="T59"/>
      <c r="AZ59" s="196"/>
      <c r="BA59" s="196"/>
      <c r="BB59" s="196"/>
      <c r="BC59" s="196"/>
      <c r="BD59" s="196"/>
      <c r="BE59" s="196"/>
      <c r="BF59" s="196"/>
      <c r="BG59" s="196"/>
      <c r="BH59" s="196"/>
      <c r="BI59" s="196"/>
      <c r="BJ59" s="196"/>
      <c r="BK59" s="196" t="e">
        <v>#N/A</v>
      </c>
    </row>
    <row r="60" spans="1:63" ht="15" customHeight="1" x14ac:dyDescent="0.2">
      <c r="A60"/>
      <c r="B60" s="2636"/>
      <c r="C60" s="2637"/>
      <c r="D60" s="2638"/>
      <c r="E60" s="2639"/>
      <c r="F60" s="2640"/>
      <c r="G60" s="2641"/>
      <c r="H60" s="2641"/>
      <c r="I60" s="2641"/>
      <c r="J60" s="2641"/>
      <c r="K60" s="2641"/>
      <c r="L60" s="2642"/>
      <c r="M60" s="897" t="str">
        <f t="shared" si="2"/>
        <v/>
      </c>
      <c r="N60" s="898" t="str">
        <f t="shared" si="1"/>
        <v/>
      </c>
      <c r="O60"/>
      <c r="P60"/>
      <c r="Q60" s="94"/>
      <c r="R60"/>
      <c r="S60"/>
      <c r="T60"/>
      <c r="AZ60" s="196"/>
      <c r="BA60" s="196"/>
      <c r="BB60" s="196"/>
      <c r="BC60" s="196"/>
      <c r="BD60" s="196"/>
      <c r="BE60" s="196"/>
      <c r="BF60" s="196"/>
      <c r="BG60" s="196"/>
      <c r="BH60" s="196"/>
      <c r="BI60" s="196"/>
      <c r="BJ60" s="196"/>
      <c r="BK60" s="196" t="e">
        <v>#N/A</v>
      </c>
    </row>
    <row r="61" spans="1:63" ht="15" customHeight="1" x14ac:dyDescent="0.2">
      <c r="A61" s="1199" t="s">
        <v>1172</v>
      </c>
      <c r="B61" s="2636"/>
      <c r="C61" s="2637"/>
      <c r="D61" s="2638"/>
      <c r="E61" s="2639"/>
      <c r="F61" s="2640"/>
      <c r="G61" s="2641"/>
      <c r="H61" s="2641"/>
      <c r="I61" s="2641"/>
      <c r="J61" s="2641"/>
      <c r="K61" s="2641"/>
      <c r="L61" s="2642"/>
      <c r="M61" s="897" t="str">
        <f t="shared" si="2"/>
        <v/>
      </c>
      <c r="N61" s="898" t="str">
        <f t="shared" si="1"/>
        <v/>
      </c>
      <c r="O61"/>
      <c r="P61"/>
      <c r="Q61" s="94"/>
      <c r="R61"/>
      <c r="S61"/>
      <c r="T61"/>
      <c r="AZ61" s="196"/>
      <c r="BA61" s="196"/>
      <c r="BB61" s="196"/>
      <c r="BC61" s="196"/>
      <c r="BD61" s="196"/>
      <c r="BE61" s="196"/>
      <c r="BF61" s="196"/>
      <c r="BG61" s="196"/>
      <c r="BH61" s="196"/>
      <c r="BI61" s="196"/>
      <c r="BJ61" s="196"/>
      <c r="BK61" s="196" t="e">
        <v>#N/A</v>
      </c>
    </row>
    <row r="62" spans="1:63" ht="15" customHeight="1" x14ac:dyDescent="0.2">
      <c r="A62"/>
      <c r="B62" s="2636"/>
      <c r="C62" s="2637"/>
      <c r="D62" s="2638"/>
      <c r="E62" s="2639"/>
      <c r="F62" s="2640"/>
      <c r="G62" s="2641"/>
      <c r="H62" s="2641"/>
      <c r="I62" s="2641"/>
      <c r="J62" s="2641"/>
      <c r="K62" s="2641"/>
      <c r="L62" s="2642"/>
      <c r="M62" s="897" t="str">
        <f t="shared" si="2"/>
        <v/>
      </c>
      <c r="N62" s="898" t="str">
        <f t="shared" si="1"/>
        <v/>
      </c>
      <c r="O62"/>
      <c r="P62"/>
      <c r="Q62" s="94"/>
      <c r="R62"/>
      <c r="S62"/>
      <c r="T62"/>
      <c r="AZ62" s="196"/>
      <c r="BA62" s="196"/>
      <c r="BB62" s="196"/>
      <c r="BC62" s="196"/>
      <c r="BD62" s="196"/>
      <c r="BE62" s="196"/>
      <c r="BF62" s="196"/>
      <c r="BG62" s="196"/>
      <c r="BH62" s="196"/>
      <c r="BI62" s="196"/>
      <c r="BJ62" s="196"/>
      <c r="BK62" s="196" t="e">
        <v>#N/A</v>
      </c>
    </row>
    <row r="63" spans="1:63" ht="15" customHeight="1" x14ac:dyDescent="0.2">
      <c r="A63"/>
      <c r="B63" s="2636"/>
      <c r="C63" s="2637"/>
      <c r="D63" s="2638"/>
      <c r="E63" s="2639"/>
      <c r="F63" s="2640"/>
      <c r="G63" s="2641"/>
      <c r="H63" s="2641"/>
      <c r="I63" s="2641"/>
      <c r="J63" s="2641"/>
      <c r="K63" s="2641"/>
      <c r="L63" s="2642"/>
      <c r="M63" s="897" t="str">
        <f t="shared" si="2"/>
        <v/>
      </c>
      <c r="N63" s="898" t="str">
        <f t="shared" si="1"/>
        <v/>
      </c>
      <c r="O63"/>
      <c r="P63"/>
      <c r="Q63" s="94"/>
      <c r="R63"/>
      <c r="S63"/>
      <c r="T63"/>
      <c r="AZ63" s="196"/>
      <c r="BA63" s="196"/>
      <c r="BB63" s="196"/>
      <c r="BC63" s="196"/>
      <c r="BD63" s="196"/>
      <c r="BE63" s="196"/>
      <c r="BF63" s="196"/>
      <c r="BG63" s="196"/>
      <c r="BH63" s="196"/>
      <c r="BI63" s="196"/>
      <c r="BJ63" s="196"/>
      <c r="BK63" s="196" t="e">
        <v>#N/A</v>
      </c>
    </row>
    <row r="64" spans="1:63" ht="15" customHeight="1" x14ac:dyDescent="0.25">
      <c r="A64"/>
      <c r="B64" s="2636"/>
      <c r="C64" s="2637"/>
      <c r="D64" s="2638"/>
      <c r="E64" s="2639"/>
      <c r="F64" s="2640"/>
      <c r="G64" s="2641"/>
      <c r="H64" s="2641"/>
      <c r="I64" s="2641"/>
      <c r="J64" s="2641"/>
      <c r="K64" s="2641"/>
      <c r="L64" s="2642"/>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t="e">
        <v>#N/A</v>
      </c>
    </row>
    <row r="65" spans="1:63" ht="15" customHeight="1" x14ac:dyDescent="0.2">
      <c r="A65"/>
      <c r="B65" s="2636"/>
      <c r="C65" s="2637"/>
      <c r="D65" s="2638"/>
      <c r="E65" s="2639"/>
      <c r="F65" s="2640"/>
      <c r="G65" s="2641"/>
      <c r="H65" s="2641"/>
      <c r="I65" s="2641"/>
      <c r="J65" s="2641"/>
      <c r="K65" s="2641"/>
      <c r="L65" s="2642"/>
      <c r="M65" s="897" t="str">
        <f t="shared" si="2"/>
        <v/>
      </c>
      <c r="N65" s="898" t="str">
        <f t="shared" si="1"/>
        <v/>
      </c>
      <c r="O65"/>
      <c r="P65"/>
      <c r="Q65" s="94"/>
      <c r="R65"/>
      <c r="S65"/>
      <c r="T65"/>
      <c r="AZ65" s="196"/>
      <c r="BA65" s="196"/>
      <c r="BB65" s="196"/>
      <c r="BC65" s="196"/>
      <c r="BD65" s="196"/>
      <c r="BE65" s="196"/>
      <c r="BF65" s="196"/>
      <c r="BG65" s="196"/>
      <c r="BH65" s="196"/>
      <c r="BI65" s="196"/>
      <c r="BJ65" s="196"/>
      <c r="BK65" s="196" t="e">
        <v>#N/A</v>
      </c>
    </row>
    <row r="66" spans="1:63" ht="15" customHeight="1" x14ac:dyDescent="0.2">
      <c r="A66"/>
      <c r="B66" s="2636"/>
      <c r="C66" s="2637"/>
      <c r="D66" s="2638"/>
      <c r="E66" s="2639"/>
      <c r="F66" s="2640"/>
      <c r="G66" s="2641"/>
      <c r="H66" s="2641"/>
      <c r="I66" s="2641"/>
      <c r="J66" s="2641"/>
      <c r="K66" s="2641"/>
      <c r="L66" s="2642"/>
      <c r="M66" s="897" t="str">
        <f t="shared" si="2"/>
        <v/>
      </c>
      <c r="N66" s="898" t="str">
        <f t="shared" si="1"/>
        <v/>
      </c>
      <c r="O66"/>
      <c r="P66"/>
      <c r="Q66" s="94"/>
      <c r="R66"/>
      <c r="S66"/>
      <c r="T66"/>
      <c r="AZ66" s="196"/>
      <c r="BA66" s="196"/>
      <c r="BB66" s="196"/>
      <c r="BC66" s="196"/>
      <c r="BD66" s="196"/>
      <c r="BE66" s="196"/>
      <c r="BF66" s="196"/>
      <c r="BG66" s="196"/>
      <c r="BH66" s="196"/>
      <c r="BI66" s="196"/>
      <c r="BJ66" s="196"/>
      <c r="BK66" s="196" t="e">
        <v>#N/A</v>
      </c>
    </row>
    <row r="67" spans="1:63" ht="15" customHeight="1" x14ac:dyDescent="0.2">
      <c r="A67"/>
      <c r="B67" s="2636"/>
      <c r="C67" s="2637"/>
      <c r="D67" s="2638"/>
      <c r="E67" s="2639"/>
      <c r="F67" s="2640"/>
      <c r="G67" s="2641"/>
      <c r="H67" s="2641"/>
      <c r="I67" s="2641"/>
      <c r="J67" s="2641"/>
      <c r="K67" s="2641"/>
      <c r="L67" s="2642"/>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t="e">
        <v>#N/A</v>
      </c>
    </row>
    <row r="68" spans="1:63" ht="15" customHeight="1" x14ac:dyDescent="0.2">
      <c r="A68"/>
      <c r="B68" s="2636"/>
      <c r="C68" s="2637"/>
      <c r="D68" s="2638"/>
      <c r="E68" s="2639"/>
      <c r="F68" s="2640"/>
      <c r="G68" s="2641"/>
      <c r="H68" s="2641"/>
      <c r="I68" s="2641"/>
      <c r="J68" s="2641"/>
      <c r="K68" s="2641"/>
      <c r="L68" s="2642"/>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t="e">
        <v>#N/A</v>
      </c>
    </row>
    <row r="69" spans="1:63" ht="15" customHeight="1" x14ac:dyDescent="0.2">
      <c r="A69"/>
      <c r="B69" s="2636"/>
      <c r="C69" s="2637"/>
      <c r="D69" s="2638"/>
      <c r="E69" s="2639"/>
      <c r="F69" s="2640"/>
      <c r="G69" s="2641"/>
      <c r="H69" s="2641"/>
      <c r="I69" s="2641"/>
      <c r="J69" s="2641"/>
      <c r="K69" s="2641"/>
      <c r="L69" s="2642"/>
      <c r="M69" s="897" t="str">
        <f t="shared" si="3"/>
        <v/>
      </c>
      <c r="N69" s="898" t="str">
        <f t="shared" si="4"/>
        <v/>
      </c>
      <c r="O69"/>
      <c r="P69"/>
      <c r="Q69" s="94"/>
      <c r="R69"/>
      <c r="S69"/>
      <c r="T69"/>
      <c r="AZ69" s="196"/>
      <c r="BA69" s="196"/>
      <c r="BB69" s="196"/>
      <c r="BC69" s="196"/>
      <c r="BD69" s="196"/>
      <c r="BE69" s="196"/>
      <c r="BF69" s="196"/>
      <c r="BG69" s="196"/>
      <c r="BH69" s="196"/>
      <c r="BI69" s="196"/>
      <c r="BJ69" s="196"/>
      <c r="BK69" s="196" t="e">
        <v>#N/A</v>
      </c>
    </row>
    <row r="70" spans="1:63" ht="15" customHeight="1" x14ac:dyDescent="0.2">
      <c r="A70"/>
      <c r="B70" s="2636"/>
      <c r="C70" s="2637"/>
      <c r="D70" s="2638"/>
      <c r="E70" s="2639"/>
      <c r="F70" s="2640"/>
      <c r="G70" s="2641"/>
      <c r="H70" s="2641"/>
      <c r="I70" s="2641"/>
      <c r="J70" s="2641"/>
      <c r="K70" s="2641"/>
      <c r="L70" s="2642"/>
      <c r="M70" s="897" t="str">
        <f t="shared" si="3"/>
        <v/>
      </c>
      <c r="N70" s="898" t="str">
        <f t="shared" si="4"/>
        <v/>
      </c>
      <c r="O70"/>
      <c r="P70"/>
      <c r="Q70"/>
      <c r="R70"/>
      <c r="S70"/>
      <c r="T70"/>
      <c r="AZ70" s="196"/>
      <c r="BA70" s="196"/>
      <c r="BB70" s="196"/>
      <c r="BC70" s="196"/>
      <c r="BD70" s="196"/>
      <c r="BE70" s="196"/>
      <c r="BF70" s="196"/>
      <c r="BG70" s="196"/>
      <c r="BH70" s="196"/>
      <c r="BI70" s="196"/>
      <c r="BJ70" s="196"/>
      <c r="BK70" s="196" t="e">
        <v>#N/A</v>
      </c>
    </row>
    <row r="71" spans="1:63" ht="15" customHeight="1" x14ac:dyDescent="0.2">
      <c r="A71"/>
      <c r="B71" s="2636"/>
      <c r="C71" s="2637"/>
      <c r="D71" s="2638"/>
      <c r="E71" s="2639"/>
      <c r="F71" s="2640"/>
      <c r="G71" s="2641"/>
      <c r="H71" s="2641"/>
      <c r="I71" s="2641"/>
      <c r="J71" s="2641"/>
      <c r="K71" s="2641"/>
      <c r="L71" s="2642"/>
      <c r="M71" s="897" t="str">
        <f t="shared" si="3"/>
        <v/>
      </c>
      <c r="N71" s="898" t="str">
        <f t="shared" si="4"/>
        <v/>
      </c>
      <c r="O71"/>
      <c r="P71"/>
      <c r="Q71" s="94"/>
      <c r="R71"/>
      <c r="S71"/>
      <c r="T71"/>
      <c r="AZ71" s="196"/>
      <c r="BA71" s="196"/>
      <c r="BB71" s="196"/>
      <c r="BC71" s="196"/>
      <c r="BD71" s="196"/>
      <c r="BE71" s="196"/>
      <c r="BF71" s="196"/>
      <c r="BG71" s="196"/>
      <c r="BH71" s="196"/>
      <c r="BI71" s="196"/>
      <c r="BJ71" s="196"/>
      <c r="BK71" s="196" t="e">
        <v>#N/A</v>
      </c>
    </row>
    <row r="72" spans="1:63" ht="15" customHeight="1" x14ac:dyDescent="0.2">
      <c r="A72"/>
      <c r="B72" s="2636"/>
      <c r="C72" s="2637"/>
      <c r="D72" s="2638"/>
      <c r="E72" s="2639"/>
      <c r="F72" s="2640"/>
      <c r="G72" s="2641"/>
      <c r="H72" s="2641"/>
      <c r="I72" s="2641"/>
      <c r="J72" s="2641"/>
      <c r="K72" s="2641"/>
      <c r="L72" s="2642"/>
      <c r="M72" s="897" t="str">
        <f t="shared" si="3"/>
        <v/>
      </c>
      <c r="N72" s="898" t="str">
        <f t="shared" si="4"/>
        <v/>
      </c>
      <c r="O72"/>
      <c r="P72"/>
      <c r="Q72" s="94"/>
      <c r="R72"/>
      <c r="S72"/>
      <c r="T72"/>
      <c r="AZ72" s="196"/>
      <c r="BA72" s="196"/>
      <c r="BB72" s="196"/>
      <c r="BC72" s="196"/>
      <c r="BD72" s="196"/>
      <c r="BE72" s="196"/>
      <c r="BF72" s="196"/>
      <c r="BG72" s="196"/>
      <c r="BH72" s="196"/>
      <c r="BI72" s="196"/>
      <c r="BJ72" s="196"/>
      <c r="BK72" s="196" t="e">
        <v>#N/A</v>
      </c>
    </row>
    <row r="73" spans="1:63" ht="15" customHeight="1" x14ac:dyDescent="0.2">
      <c r="A73"/>
      <c r="B73" s="2636"/>
      <c r="C73" s="2637"/>
      <c r="D73" s="2638"/>
      <c r="E73" s="2639"/>
      <c r="F73" s="2640"/>
      <c r="G73" s="2641"/>
      <c r="H73" s="2641"/>
      <c r="I73" s="2641"/>
      <c r="J73" s="2641"/>
      <c r="K73" s="2641"/>
      <c r="L73" s="2642"/>
      <c r="M73" s="897" t="str">
        <f t="shared" si="3"/>
        <v/>
      </c>
      <c r="N73" s="898" t="str">
        <f t="shared" si="4"/>
        <v/>
      </c>
      <c r="O73"/>
      <c r="P73"/>
      <c r="Q73"/>
      <c r="R73"/>
      <c r="S73"/>
      <c r="T73"/>
      <c r="AZ73" s="196"/>
      <c r="BA73" s="196"/>
      <c r="BB73" s="196"/>
      <c r="BC73" s="196"/>
      <c r="BD73" s="196"/>
      <c r="BE73" s="196"/>
      <c r="BF73" s="196"/>
      <c r="BG73" s="196"/>
      <c r="BH73" s="196"/>
      <c r="BI73" s="196"/>
      <c r="BJ73" s="196"/>
      <c r="BK73" s="196" t="e">
        <v>#N/A</v>
      </c>
    </row>
    <row r="74" spans="1:63" ht="15" customHeight="1" x14ac:dyDescent="0.2">
      <c r="A74"/>
      <c r="B74" s="2636"/>
      <c r="C74" s="2637"/>
      <c r="D74" s="2638"/>
      <c r="E74" s="2639"/>
      <c r="F74" s="2640"/>
      <c r="G74" s="2641"/>
      <c r="H74" s="2641"/>
      <c r="I74" s="2641"/>
      <c r="J74" s="2641"/>
      <c r="K74" s="2641"/>
      <c r="L74" s="2642"/>
      <c r="M74" s="897" t="str">
        <f t="shared" si="3"/>
        <v/>
      </c>
      <c r="N74" s="898" t="str">
        <f t="shared" si="4"/>
        <v/>
      </c>
      <c r="O74"/>
      <c r="P74"/>
      <c r="Q74"/>
      <c r="R74"/>
      <c r="S74"/>
      <c r="T74"/>
      <c r="AZ74" s="196"/>
      <c r="BA74" s="196"/>
      <c r="BB74" s="196"/>
      <c r="BC74" s="196"/>
      <c r="BD74" s="196"/>
      <c r="BE74" s="196"/>
      <c r="BF74" s="196"/>
      <c r="BG74" s="196"/>
      <c r="BH74" s="196"/>
      <c r="BI74" s="196"/>
      <c r="BJ74" s="196"/>
      <c r="BK74" s="196" t="e">
        <v>#N/A</v>
      </c>
    </row>
    <row r="75" spans="1:63" ht="15" customHeight="1" x14ac:dyDescent="0.2">
      <c r="A75"/>
      <c r="B75" s="2636"/>
      <c r="C75" s="2637"/>
      <c r="D75" s="2638"/>
      <c r="E75" s="2639"/>
      <c r="F75" s="2640"/>
      <c r="G75" s="2641"/>
      <c r="H75" s="2641"/>
      <c r="I75" s="2641"/>
      <c r="J75" s="2641"/>
      <c r="K75" s="2641"/>
      <c r="L75" s="2642"/>
      <c r="M75" s="897" t="str">
        <f t="shared" si="3"/>
        <v/>
      </c>
      <c r="N75" s="898" t="str">
        <f t="shared" si="4"/>
        <v/>
      </c>
      <c r="O75"/>
      <c r="P75"/>
      <c r="Q75"/>
      <c r="R75"/>
      <c r="S75"/>
      <c r="T75"/>
      <c r="AZ75" s="196"/>
      <c r="BA75" s="196"/>
      <c r="BB75" s="196"/>
      <c r="BC75" s="196"/>
      <c r="BD75" s="196"/>
      <c r="BE75" s="196"/>
      <c r="BF75" s="196"/>
      <c r="BG75" s="196"/>
      <c r="BH75" s="196"/>
      <c r="BI75" s="196"/>
      <c r="BJ75" s="196"/>
      <c r="BK75" s="196" t="e">
        <v>#N/A</v>
      </c>
    </row>
    <row r="76" spans="1:63" ht="15" customHeight="1" x14ac:dyDescent="0.2">
      <c r="A76"/>
      <c r="B76" s="2636"/>
      <c r="C76" s="2637"/>
      <c r="D76" s="2638"/>
      <c r="E76" s="2639"/>
      <c r="F76" s="2640"/>
      <c r="G76" s="2641"/>
      <c r="H76" s="2641"/>
      <c r="I76" s="2641"/>
      <c r="J76" s="2641"/>
      <c r="K76" s="2641"/>
      <c r="L76" s="2642"/>
      <c r="M76" s="897" t="str">
        <f t="shared" si="3"/>
        <v/>
      </c>
      <c r="N76" s="898" t="str">
        <f t="shared" si="4"/>
        <v/>
      </c>
      <c r="O76"/>
      <c r="P76"/>
      <c r="Q76"/>
      <c r="R76"/>
      <c r="S76"/>
      <c r="T76"/>
      <c r="AZ76" s="196"/>
      <c r="BA76" s="196"/>
      <c r="BB76" s="196"/>
      <c r="BC76" s="196"/>
      <c r="BD76" s="196"/>
      <c r="BE76" s="196"/>
      <c r="BF76" s="196"/>
      <c r="BG76" s="196"/>
      <c r="BH76" s="196"/>
      <c r="BI76" s="196"/>
      <c r="BJ76" s="196"/>
      <c r="BK76" s="196" t="e">
        <v>#N/A</v>
      </c>
    </row>
    <row r="77" spans="1:63" ht="15" customHeight="1" x14ac:dyDescent="0.2">
      <c r="A77"/>
      <c r="B77" s="2636"/>
      <c r="C77" s="2637"/>
      <c r="D77" s="2638"/>
      <c r="E77" s="2639"/>
      <c r="F77" s="2640"/>
      <c r="G77" s="2641"/>
      <c r="H77" s="2641"/>
      <c r="I77" s="2641"/>
      <c r="J77" s="2641"/>
      <c r="K77" s="2641"/>
      <c r="L77" s="2642"/>
      <c r="M77" s="897" t="str">
        <f t="shared" si="3"/>
        <v/>
      </c>
      <c r="N77" s="898" t="str">
        <f t="shared" si="4"/>
        <v/>
      </c>
      <c r="O77"/>
      <c r="P77"/>
      <c r="Q77"/>
      <c r="R77"/>
      <c r="S77"/>
      <c r="T77"/>
      <c r="AZ77" s="196"/>
      <c r="BA77" s="196"/>
      <c r="BB77" s="196"/>
      <c r="BC77" s="196"/>
      <c r="BD77" s="196"/>
      <c r="BE77" s="196"/>
      <c r="BF77" s="196"/>
      <c r="BG77" s="196"/>
      <c r="BH77" s="196"/>
      <c r="BI77" s="196"/>
      <c r="BJ77" s="196"/>
      <c r="BK77" s="196" t="e">
        <v>#N/A</v>
      </c>
    </row>
    <row r="78" spans="1:63" ht="15" customHeight="1" x14ac:dyDescent="0.2">
      <c r="A78"/>
      <c r="B78" s="2636"/>
      <c r="C78" s="2637"/>
      <c r="D78" s="2638"/>
      <c r="E78" s="2639"/>
      <c r="F78" s="2640"/>
      <c r="G78" s="2641"/>
      <c r="H78" s="2641"/>
      <c r="I78" s="2641"/>
      <c r="J78" s="2641"/>
      <c r="K78" s="2641"/>
      <c r="L78" s="2642"/>
      <c r="M78" s="897" t="str">
        <f t="shared" si="3"/>
        <v/>
      </c>
      <c r="N78" s="898" t="str">
        <f t="shared" si="4"/>
        <v/>
      </c>
      <c r="O78"/>
      <c r="P78"/>
      <c r="Q78"/>
      <c r="R78"/>
      <c r="S78"/>
      <c r="T78"/>
      <c r="AZ78" s="196"/>
      <c r="BA78" s="196"/>
      <c r="BB78" s="196"/>
      <c r="BC78" s="196"/>
      <c r="BD78" s="196"/>
      <c r="BE78" s="196"/>
      <c r="BF78" s="196"/>
      <c r="BG78" s="196"/>
      <c r="BH78" s="196"/>
      <c r="BI78" s="196"/>
      <c r="BJ78" s="196"/>
      <c r="BK78" s="196" t="e">
        <v>#N/A</v>
      </c>
    </row>
    <row r="79" spans="1:63" ht="15" customHeight="1" x14ac:dyDescent="0.2">
      <c r="A79"/>
      <c r="B79" s="2636"/>
      <c r="C79" s="2637"/>
      <c r="D79" s="2638"/>
      <c r="E79" s="2639"/>
      <c r="F79" s="2640"/>
      <c r="G79" s="2641"/>
      <c r="H79" s="2641"/>
      <c r="I79" s="2641"/>
      <c r="J79" s="2641"/>
      <c r="K79" s="2641"/>
      <c r="L79" s="2642"/>
      <c r="M79" s="897" t="str">
        <f t="shared" si="3"/>
        <v/>
      </c>
      <c r="N79" s="898" t="str">
        <f t="shared" si="4"/>
        <v/>
      </c>
      <c r="O79"/>
      <c r="P79"/>
      <c r="Q79"/>
      <c r="R79"/>
      <c r="S79"/>
      <c r="T79"/>
      <c r="AZ79" s="196"/>
      <c r="BA79" s="196"/>
      <c r="BB79" s="196"/>
      <c r="BC79" s="196"/>
      <c r="BD79" s="196"/>
      <c r="BE79" s="196"/>
      <c r="BF79" s="196"/>
      <c r="BG79" s="196"/>
      <c r="BH79" s="196"/>
      <c r="BI79" s="196"/>
      <c r="BJ79" s="196"/>
      <c r="BK79" s="196" t="e">
        <v>#N/A</v>
      </c>
    </row>
    <row r="80" spans="1:63" ht="15" customHeight="1" x14ac:dyDescent="0.2">
      <c r="A80"/>
      <c r="B80" s="2636"/>
      <c r="C80" s="2637"/>
      <c r="D80" s="2638"/>
      <c r="E80" s="2639"/>
      <c r="F80" s="2640"/>
      <c r="G80" s="2641"/>
      <c r="H80" s="2641"/>
      <c r="I80" s="2641"/>
      <c r="J80" s="2641"/>
      <c r="K80" s="2641"/>
      <c r="L80" s="2642"/>
      <c r="M80" s="897" t="str">
        <f t="shared" si="3"/>
        <v/>
      </c>
      <c r="N80" s="898" t="str">
        <f t="shared" si="4"/>
        <v/>
      </c>
      <c r="O80"/>
      <c r="P80"/>
      <c r="Q80"/>
      <c r="R80"/>
      <c r="S80"/>
      <c r="T80"/>
      <c r="AZ80" s="196"/>
      <c r="BA80" s="196"/>
      <c r="BB80" s="196"/>
      <c r="BC80" s="196"/>
      <c r="BD80" s="196"/>
      <c r="BE80" s="196"/>
      <c r="BF80" s="196"/>
      <c r="BG80" s="196"/>
      <c r="BH80" s="196"/>
      <c r="BI80" s="196"/>
      <c r="BJ80" s="196"/>
      <c r="BK80" s="196" t="e">
        <v>#N/A</v>
      </c>
    </row>
    <row r="81" spans="1:63" ht="15" customHeight="1" x14ac:dyDescent="0.2">
      <c r="A81"/>
      <c r="B81" s="2636"/>
      <c r="C81" s="2637"/>
      <c r="D81" s="2638"/>
      <c r="E81" s="2639"/>
      <c r="F81" s="2640"/>
      <c r="G81" s="2641"/>
      <c r="H81" s="2641"/>
      <c r="I81" s="2641"/>
      <c r="J81" s="2641"/>
      <c r="K81" s="2641"/>
      <c r="L81" s="2642"/>
      <c r="M81" s="897" t="str">
        <f t="shared" si="3"/>
        <v/>
      </c>
      <c r="N81" s="898" t="str">
        <f t="shared" si="4"/>
        <v/>
      </c>
      <c r="O81"/>
      <c r="P81"/>
      <c r="Q81"/>
      <c r="R81"/>
      <c r="S81"/>
      <c r="T81"/>
      <c r="AZ81" s="196"/>
      <c r="BA81" s="196"/>
      <c r="BB81" s="196"/>
      <c r="BC81" s="196"/>
      <c r="BD81" s="196"/>
      <c r="BE81" s="196"/>
      <c r="BF81" s="196"/>
      <c r="BG81" s="196"/>
      <c r="BH81" s="196"/>
      <c r="BI81" s="196"/>
      <c r="BJ81" s="196"/>
      <c r="BK81" s="196" t="e">
        <v>#N/A</v>
      </c>
    </row>
    <row r="82" spans="1:63" ht="15" customHeight="1" x14ac:dyDescent="0.2">
      <c r="A82"/>
      <c r="B82" s="2636"/>
      <c r="C82" s="2637"/>
      <c r="D82" s="2638"/>
      <c r="E82" s="2639"/>
      <c r="F82" s="2640"/>
      <c r="G82" s="2641"/>
      <c r="H82" s="2641"/>
      <c r="I82" s="2641"/>
      <c r="J82" s="2641"/>
      <c r="K82" s="2641"/>
      <c r="L82" s="2642"/>
      <c r="M82" s="897" t="str">
        <f t="shared" si="3"/>
        <v/>
      </c>
      <c r="N82" s="898" t="str">
        <f t="shared" si="4"/>
        <v/>
      </c>
      <c r="O82"/>
      <c r="P82"/>
      <c r="Q82"/>
      <c r="R82"/>
      <c r="S82"/>
      <c r="T82"/>
      <c r="AZ82" s="196"/>
      <c r="BA82" s="196"/>
      <c r="BB82" s="196"/>
      <c r="BC82" s="196"/>
      <c r="BD82" s="196"/>
      <c r="BE82" s="196"/>
      <c r="BF82" s="196"/>
      <c r="BG82" s="196"/>
      <c r="BH82" s="196"/>
      <c r="BI82" s="196"/>
      <c r="BJ82" s="196"/>
      <c r="BK82" s="196" t="e">
        <v>#N/A</v>
      </c>
    </row>
    <row r="83" spans="1:63" ht="15" customHeight="1" x14ac:dyDescent="0.2">
      <c r="A83"/>
      <c r="B83" s="2636"/>
      <c r="C83" s="2637"/>
      <c r="D83" s="2638"/>
      <c r="E83" s="2639"/>
      <c r="F83" s="2640"/>
      <c r="G83" s="2641"/>
      <c r="H83" s="2641"/>
      <c r="I83" s="2641"/>
      <c r="J83" s="2641"/>
      <c r="K83" s="2641"/>
      <c r="L83" s="2642"/>
      <c r="M83" s="897" t="str">
        <f t="shared" si="3"/>
        <v/>
      </c>
      <c r="N83" s="898" t="str">
        <f t="shared" si="4"/>
        <v/>
      </c>
      <c r="O83"/>
      <c r="P83"/>
      <c r="Q83"/>
      <c r="R83"/>
      <c r="S83"/>
      <c r="T83"/>
      <c r="AZ83" s="196"/>
      <c r="BA83" s="196"/>
      <c r="BB83" s="196"/>
      <c r="BC83" s="196"/>
      <c r="BD83" s="196"/>
      <c r="BE83" s="196"/>
      <c r="BF83" s="196"/>
      <c r="BG83" s="196"/>
      <c r="BH83" s="196"/>
      <c r="BI83" s="196"/>
      <c r="BJ83" s="196"/>
      <c r="BK83" s="196" t="e">
        <v>#N/A</v>
      </c>
    </row>
    <row r="84" spans="1:63" ht="15" customHeight="1" x14ac:dyDescent="0.2">
      <c r="A84"/>
      <c r="B84" s="2636"/>
      <c r="C84" s="2637"/>
      <c r="D84" s="2638"/>
      <c r="E84" s="2639"/>
      <c r="F84" s="2640"/>
      <c r="G84" s="2641"/>
      <c r="H84" s="2641"/>
      <c r="I84" s="2641"/>
      <c r="J84" s="2641"/>
      <c r="K84" s="2641"/>
      <c r="L84" s="2642"/>
      <c r="M84" s="897" t="str">
        <f t="shared" si="3"/>
        <v/>
      </c>
      <c r="N84" s="898" t="str">
        <f t="shared" si="4"/>
        <v/>
      </c>
      <c r="O84"/>
      <c r="P84"/>
      <c r="Q84"/>
      <c r="R84"/>
      <c r="S84"/>
      <c r="T84"/>
      <c r="AZ84" s="196"/>
      <c r="BA84" s="196"/>
      <c r="BB84" s="196"/>
      <c r="BC84" s="196"/>
      <c r="BD84" s="196"/>
      <c r="BE84" s="196"/>
      <c r="BF84" s="196"/>
      <c r="BG84" s="196"/>
      <c r="BH84" s="196"/>
      <c r="BI84" s="196"/>
      <c r="BJ84" s="196"/>
      <c r="BK84" s="196" t="e">
        <v>#N/A</v>
      </c>
    </row>
    <row r="85" spans="1:63" ht="15" customHeight="1" x14ac:dyDescent="0.2">
      <c r="A85"/>
      <c r="B85" s="2636"/>
      <c r="C85" s="2637"/>
      <c r="D85" s="2638"/>
      <c r="E85" s="2639"/>
      <c r="F85" s="2640"/>
      <c r="G85" s="2641"/>
      <c r="H85" s="2641"/>
      <c r="I85" s="2641"/>
      <c r="J85" s="2641"/>
      <c r="K85" s="2641"/>
      <c r="L85" s="2642"/>
      <c r="M85" s="897" t="str">
        <f t="shared" si="3"/>
        <v/>
      </c>
      <c r="N85" s="898" t="str">
        <f t="shared" si="4"/>
        <v/>
      </c>
      <c r="O85"/>
      <c r="P85"/>
      <c r="Q85"/>
      <c r="R85"/>
      <c r="S85"/>
      <c r="T85"/>
      <c r="AZ85" s="196"/>
      <c r="BA85" s="196"/>
      <c r="BB85" s="196"/>
      <c r="BC85" s="196"/>
      <c r="BD85" s="196"/>
      <c r="BE85" s="196"/>
      <c r="BF85" s="196"/>
      <c r="BG85" s="196"/>
      <c r="BH85" s="196"/>
      <c r="BI85" s="196"/>
      <c r="BJ85" s="196"/>
      <c r="BK85" s="196" t="e">
        <v>#N/A</v>
      </c>
    </row>
    <row r="86" spans="1:63" ht="15" customHeight="1" x14ac:dyDescent="0.2">
      <c r="A86"/>
      <c r="B86" s="2636"/>
      <c r="C86" s="2637"/>
      <c r="D86" s="2638"/>
      <c r="E86" s="2639"/>
      <c r="F86" s="2640"/>
      <c r="G86" s="2641"/>
      <c r="H86" s="2641"/>
      <c r="I86" s="2641"/>
      <c r="J86" s="2641"/>
      <c r="K86" s="2641"/>
      <c r="L86" s="2642"/>
      <c r="M86" s="897" t="str">
        <f t="shared" si="3"/>
        <v/>
      </c>
      <c r="N86" s="898" t="str">
        <f t="shared" si="4"/>
        <v/>
      </c>
      <c r="O86"/>
      <c r="P86"/>
      <c r="Q86"/>
      <c r="R86"/>
      <c r="S86"/>
      <c r="T86"/>
      <c r="AZ86" s="196"/>
      <c r="BA86" s="196"/>
      <c r="BB86" s="196"/>
      <c r="BC86" s="196"/>
      <c r="BD86" s="196"/>
      <c r="BE86" s="196"/>
      <c r="BF86" s="196"/>
      <c r="BG86" s="196"/>
      <c r="BH86" s="196"/>
      <c r="BI86" s="196"/>
      <c r="BJ86" s="196"/>
      <c r="BK86" s="196" t="e">
        <v>#N/A</v>
      </c>
    </row>
    <row r="87" spans="1:63" ht="15" customHeight="1" x14ac:dyDescent="0.2">
      <c r="A87"/>
      <c r="B87" s="2636"/>
      <c r="C87" s="2637"/>
      <c r="D87" s="2638"/>
      <c r="E87" s="2639"/>
      <c r="F87" s="2640"/>
      <c r="G87" s="2641"/>
      <c r="H87" s="2641"/>
      <c r="I87" s="2641"/>
      <c r="J87" s="2641"/>
      <c r="K87" s="2641"/>
      <c r="L87" s="2642"/>
      <c r="M87" s="897" t="str">
        <f t="shared" si="3"/>
        <v/>
      </c>
      <c r="N87" s="898" t="str">
        <f t="shared" si="4"/>
        <v/>
      </c>
      <c r="O87"/>
      <c r="P87"/>
      <c r="Q87"/>
      <c r="R87"/>
      <c r="S87"/>
      <c r="T87"/>
      <c r="AZ87" s="196"/>
      <c r="BA87" s="196"/>
      <c r="BB87" s="196"/>
      <c r="BC87" s="196"/>
      <c r="BD87" s="196"/>
      <c r="BE87" s="196"/>
      <c r="BF87" s="196"/>
      <c r="BG87" s="196"/>
      <c r="BH87" s="196"/>
      <c r="BI87" s="196"/>
      <c r="BJ87" s="196"/>
      <c r="BK87" s="196" t="e">
        <v>#N/A</v>
      </c>
    </row>
    <row r="88" spans="1:63" ht="15" customHeight="1" x14ac:dyDescent="0.2">
      <c r="A88"/>
      <c r="B88" s="2636"/>
      <c r="C88" s="2637"/>
      <c r="D88" s="2638"/>
      <c r="E88" s="2639"/>
      <c r="F88" s="2640"/>
      <c r="G88" s="2641"/>
      <c r="H88" s="2641"/>
      <c r="I88" s="2641"/>
      <c r="J88" s="2641"/>
      <c r="K88" s="2641"/>
      <c r="L88" s="2642"/>
      <c r="M88" s="897" t="str">
        <f t="shared" si="3"/>
        <v/>
      </c>
      <c r="N88" s="898" t="str">
        <f t="shared" si="4"/>
        <v/>
      </c>
      <c r="O88"/>
      <c r="P88"/>
      <c r="Q88"/>
      <c r="R88"/>
      <c r="S88"/>
      <c r="T88"/>
      <c r="AZ88" s="196"/>
      <c r="BA88" s="196"/>
      <c r="BB88" s="196"/>
      <c r="BC88" s="196"/>
      <c r="BD88" s="196"/>
      <c r="BE88" s="196"/>
      <c r="BF88" s="196"/>
      <c r="BG88" s="196"/>
      <c r="BH88" s="196"/>
      <c r="BI88" s="196"/>
      <c r="BJ88" s="196"/>
      <c r="BK88" s="196" t="e">
        <v>#N/A</v>
      </c>
    </row>
    <row r="89" spans="1:63" ht="15" customHeight="1" x14ac:dyDescent="0.2">
      <c r="A89"/>
      <c r="B89" s="2636"/>
      <c r="C89" s="2637"/>
      <c r="D89" s="2638"/>
      <c r="E89" s="2639"/>
      <c r="F89" s="2640"/>
      <c r="G89" s="2641"/>
      <c r="H89" s="2641"/>
      <c r="I89" s="2641"/>
      <c r="J89" s="2641"/>
      <c r="K89" s="2641"/>
      <c r="L89" s="2642"/>
      <c r="M89" s="897" t="str">
        <f t="shared" si="3"/>
        <v/>
      </c>
      <c r="N89" s="898" t="str">
        <f t="shared" si="4"/>
        <v/>
      </c>
      <c r="O89"/>
      <c r="P89"/>
      <c r="Q89"/>
      <c r="R89"/>
      <c r="S89"/>
      <c r="T89"/>
      <c r="AZ89" s="196"/>
      <c r="BA89" s="196"/>
      <c r="BB89" s="196"/>
      <c r="BC89" s="196"/>
      <c r="BD89" s="196"/>
      <c r="BE89" s="196"/>
      <c r="BF89" s="196"/>
      <c r="BG89" s="196"/>
      <c r="BH89" s="196"/>
      <c r="BI89" s="196"/>
      <c r="BJ89" s="196"/>
      <c r="BK89" s="196" t="e">
        <v>#N/A</v>
      </c>
    </row>
    <row r="90" spans="1:63" ht="15" customHeight="1" x14ac:dyDescent="0.2">
      <c r="A90"/>
      <c r="B90" s="2636"/>
      <c r="C90" s="2637"/>
      <c r="D90" s="2638"/>
      <c r="E90" s="2639"/>
      <c r="F90" s="2640"/>
      <c r="G90" s="2641"/>
      <c r="H90" s="2641"/>
      <c r="I90" s="2641"/>
      <c r="J90" s="2641"/>
      <c r="K90" s="2641"/>
      <c r="L90" s="2642"/>
      <c r="M90" s="897" t="str">
        <f t="shared" si="3"/>
        <v/>
      </c>
      <c r="N90" s="898" t="str">
        <f t="shared" si="4"/>
        <v/>
      </c>
      <c r="O90"/>
      <c r="P90"/>
      <c r="Q90"/>
      <c r="R90"/>
      <c r="S90"/>
      <c r="T90"/>
      <c r="AZ90" s="196"/>
      <c r="BA90" s="196"/>
      <c r="BB90" s="196"/>
      <c r="BC90" s="196"/>
      <c r="BD90" s="196"/>
      <c r="BE90" s="196"/>
      <c r="BF90" s="196"/>
      <c r="BG90" s="196"/>
      <c r="BH90" s="196"/>
      <c r="BI90" s="196"/>
      <c r="BJ90" s="196"/>
      <c r="BK90" s="196" t="e">
        <v>#N/A</v>
      </c>
    </row>
    <row r="91" spans="1:63" ht="15" customHeight="1" x14ac:dyDescent="0.2">
      <c r="A91"/>
      <c r="B91" s="2636"/>
      <c r="C91" s="2637"/>
      <c r="D91" s="2638"/>
      <c r="E91" s="2639"/>
      <c r="F91" s="2640"/>
      <c r="G91" s="2641"/>
      <c r="H91" s="2641"/>
      <c r="I91" s="2641"/>
      <c r="J91" s="2641"/>
      <c r="K91" s="2641"/>
      <c r="L91" s="2642"/>
      <c r="M91" s="897" t="str">
        <f t="shared" si="3"/>
        <v/>
      </c>
      <c r="N91" s="898" t="str">
        <f t="shared" si="4"/>
        <v/>
      </c>
      <c r="O91"/>
      <c r="P91"/>
      <c r="Q91"/>
      <c r="R91"/>
      <c r="S91"/>
      <c r="T91"/>
      <c r="AZ91" s="196"/>
      <c r="BA91" s="196"/>
      <c r="BB91" s="196"/>
      <c r="BC91" s="196"/>
      <c r="BD91" s="196"/>
      <c r="BE91" s="196"/>
      <c r="BF91" s="196"/>
      <c r="BG91" s="196"/>
      <c r="BH91" s="196"/>
      <c r="BI91" s="196"/>
      <c r="BJ91" s="196"/>
      <c r="BK91" s="196" t="e">
        <v>#N/A</v>
      </c>
    </row>
    <row r="92" spans="1:63" ht="15" customHeight="1" x14ac:dyDescent="0.2">
      <c r="A92"/>
      <c r="B92" s="2636"/>
      <c r="C92" s="2637"/>
      <c r="D92" s="2638"/>
      <c r="E92" s="2639"/>
      <c r="F92" s="2640"/>
      <c r="G92" s="2641"/>
      <c r="H92" s="2641"/>
      <c r="I92" s="2641"/>
      <c r="J92" s="2641"/>
      <c r="K92" s="2641"/>
      <c r="L92" s="2642"/>
      <c r="M92" s="897" t="str">
        <f t="shared" si="3"/>
        <v/>
      </c>
      <c r="N92" s="898" t="str">
        <f t="shared" si="4"/>
        <v/>
      </c>
      <c r="O92"/>
      <c r="P92"/>
      <c r="Q92"/>
      <c r="R92"/>
      <c r="S92"/>
      <c r="T92"/>
      <c r="AZ92" s="196"/>
      <c r="BA92" s="196"/>
      <c r="BB92" s="196"/>
      <c r="BC92" s="196"/>
      <c r="BD92" s="196"/>
      <c r="BE92" s="196"/>
      <c r="BF92" s="196"/>
      <c r="BG92" s="196"/>
      <c r="BH92" s="196"/>
      <c r="BI92" s="196"/>
      <c r="BJ92" s="196"/>
      <c r="BK92" s="196" t="e">
        <v>#N/A</v>
      </c>
    </row>
    <row r="93" spans="1:63" ht="15" customHeight="1" x14ac:dyDescent="0.2">
      <c r="A93"/>
      <c r="B93" s="2636"/>
      <c r="C93" s="2637"/>
      <c r="D93" s="2638"/>
      <c r="E93" s="2639"/>
      <c r="F93" s="2640"/>
      <c r="G93" s="2641"/>
      <c r="H93" s="2641"/>
      <c r="I93" s="2641"/>
      <c r="J93" s="2641"/>
      <c r="K93" s="2641"/>
      <c r="L93" s="2642"/>
      <c r="M93" s="897" t="str">
        <f t="shared" si="3"/>
        <v/>
      </c>
      <c r="N93" s="898" t="str">
        <f t="shared" si="4"/>
        <v/>
      </c>
      <c r="O93"/>
      <c r="P93"/>
      <c r="Q93"/>
      <c r="R93"/>
      <c r="S93"/>
      <c r="T93"/>
      <c r="AZ93" s="196"/>
      <c r="BA93" s="196"/>
      <c r="BB93" s="196"/>
      <c r="BC93" s="196"/>
      <c r="BD93" s="196"/>
      <c r="BE93" s="196"/>
      <c r="BF93" s="196"/>
      <c r="BG93" s="196"/>
      <c r="BH93" s="196"/>
      <c r="BI93" s="196"/>
      <c r="BJ93" s="196"/>
      <c r="BK93" s="196" t="e">
        <v>#N/A</v>
      </c>
    </row>
    <row r="94" spans="1:63" ht="15" customHeight="1" x14ac:dyDescent="0.2">
      <c r="A94"/>
      <c r="B94" s="2636"/>
      <c r="C94" s="2637"/>
      <c r="D94" s="2638"/>
      <c r="E94" s="2639"/>
      <c r="F94" s="2640"/>
      <c r="G94" s="2641"/>
      <c r="H94" s="2641"/>
      <c r="I94" s="2641"/>
      <c r="J94" s="2641"/>
      <c r="K94" s="2641"/>
      <c r="L94" s="2642"/>
      <c r="M94" s="897" t="str">
        <f t="shared" si="3"/>
        <v/>
      </c>
      <c r="N94" s="898" t="str">
        <f t="shared" si="4"/>
        <v/>
      </c>
      <c r="O94"/>
      <c r="P94"/>
      <c r="Q94"/>
      <c r="R94"/>
      <c r="S94"/>
      <c r="T94"/>
      <c r="AZ94" s="196"/>
      <c r="BA94" s="196"/>
      <c r="BB94" s="196"/>
      <c r="BC94" s="196"/>
      <c r="BD94" s="196"/>
      <c r="BE94" s="196"/>
      <c r="BF94" s="196"/>
      <c r="BG94" s="196"/>
      <c r="BH94" s="196"/>
      <c r="BI94" s="196"/>
      <c r="BJ94" s="196"/>
      <c r="BK94" s="196" t="e">
        <v>#N/A</v>
      </c>
    </row>
    <row r="95" spans="1:63" ht="15" customHeight="1" x14ac:dyDescent="0.2">
      <c r="A95"/>
      <c r="B95" s="2636"/>
      <c r="C95" s="2637"/>
      <c r="D95" s="2638"/>
      <c r="E95" s="2639"/>
      <c r="F95" s="2640"/>
      <c r="G95" s="2641"/>
      <c r="H95" s="2641"/>
      <c r="I95" s="2641"/>
      <c r="J95" s="2641"/>
      <c r="K95" s="2641"/>
      <c r="L95" s="2642"/>
      <c r="M95" s="897" t="str">
        <f t="shared" si="3"/>
        <v/>
      </c>
      <c r="N95" s="898" t="str">
        <f t="shared" si="4"/>
        <v/>
      </c>
      <c r="O95"/>
      <c r="P95"/>
      <c r="Q95"/>
      <c r="R95"/>
      <c r="S95"/>
      <c r="T95"/>
      <c r="AZ95" s="196"/>
      <c r="BA95" s="196"/>
      <c r="BB95" s="196"/>
      <c r="BC95" s="196"/>
      <c r="BD95" s="196"/>
      <c r="BE95" s="196"/>
      <c r="BF95" s="196"/>
      <c r="BG95" s="196"/>
      <c r="BH95" s="196"/>
      <c r="BI95" s="196"/>
      <c r="BJ95" s="196"/>
      <c r="BK95" s="196" t="e">
        <v>#N/A</v>
      </c>
    </row>
    <row r="96" spans="1:63" ht="15" customHeight="1" x14ac:dyDescent="0.2">
      <c r="A96"/>
      <c r="B96" s="2636"/>
      <c r="C96" s="2637"/>
      <c r="D96" s="2638"/>
      <c r="E96" s="2639"/>
      <c r="F96" s="2640"/>
      <c r="G96" s="2641"/>
      <c r="H96" s="2641"/>
      <c r="I96" s="2641"/>
      <c r="J96" s="2641"/>
      <c r="K96" s="2641"/>
      <c r="L96" s="2642"/>
      <c r="M96" s="897" t="str">
        <f t="shared" si="3"/>
        <v/>
      </c>
      <c r="N96" s="898" t="str">
        <f t="shared" si="4"/>
        <v/>
      </c>
      <c r="O96"/>
      <c r="P96"/>
      <c r="Q96"/>
      <c r="R96"/>
      <c r="S96"/>
      <c r="T96"/>
      <c r="AZ96" s="196"/>
      <c r="BA96" s="196"/>
      <c r="BB96" s="196"/>
      <c r="BC96" s="196"/>
      <c r="BD96" s="196"/>
      <c r="BE96" s="196"/>
      <c r="BF96" s="196"/>
      <c r="BG96" s="196"/>
      <c r="BH96" s="196"/>
      <c r="BI96" s="196"/>
      <c r="BJ96" s="196"/>
      <c r="BK96" s="196" t="e">
        <v>#N/A</v>
      </c>
    </row>
    <row r="97" spans="1:63" ht="15" customHeight="1" x14ac:dyDescent="0.2">
      <c r="A97"/>
      <c r="B97" s="2636"/>
      <c r="C97" s="2637"/>
      <c r="D97" s="2638"/>
      <c r="E97" s="2639"/>
      <c r="F97" s="2640"/>
      <c r="G97" s="2641"/>
      <c r="H97" s="2641"/>
      <c r="I97" s="2641"/>
      <c r="J97" s="2641"/>
      <c r="K97" s="2641"/>
      <c r="L97" s="2642"/>
      <c r="M97" s="897" t="str">
        <f t="shared" si="3"/>
        <v/>
      </c>
      <c r="N97" s="898" t="str">
        <f t="shared" si="4"/>
        <v/>
      </c>
      <c r="O97"/>
      <c r="P97"/>
      <c r="Q97"/>
      <c r="R97"/>
      <c r="S97"/>
      <c r="T97"/>
      <c r="AZ97" s="196"/>
      <c r="BA97" s="196"/>
      <c r="BB97" s="196"/>
      <c r="BC97" s="196"/>
      <c r="BD97" s="196"/>
      <c r="BE97" s="196"/>
      <c r="BF97" s="196"/>
      <c r="BG97" s="196"/>
      <c r="BH97" s="196"/>
      <c r="BI97" s="196"/>
      <c r="BJ97" s="196"/>
      <c r="BK97" s="196" t="e">
        <v>#N/A</v>
      </c>
    </row>
    <row r="98" spans="1:63" ht="15" customHeight="1" x14ac:dyDescent="0.2">
      <c r="A98"/>
      <c r="B98" s="2636"/>
      <c r="C98" s="2637"/>
      <c r="D98" s="2638"/>
      <c r="E98" s="2639"/>
      <c r="F98" s="2640"/>
      <c r="G98" s="2641"/>
      <c r="H98" s="2641"/>
      <c r="I98" s="2641"/>
      <c r="J98" s="2641"/>
      <c r="K98" s="2641"/>
      <c r="L98" s="2642"/>
      <c r="M98" s="897" t="str">
        <f t="shared" si="3"/>
        <v/>
      </c>
      <c r="N98" s="898" t="str">
        <f t="shared" si="4"/>
        <v/>
      </c>
      <c r="O98"/>
      <c r="P98"/>
      <c r="Q98"/>
      <c r="R98"/>
      <c r="S98"/>
      <c r="T98"/>
      <c r="AZ98" s="196"/>
      <c r="BA98" s="196"/>
      <c r="BB98" s="196"/>
      <c r="BC98" s="196"/>
      <c r="BD98" s="196"/>
      <c r="BE98" s="196"/>
      <c r="BF98" s="196"/>
      <c r="BG98" s="196"/>
      <c r="BH98" s="196"/>
      <c r="BI98" s="196"/>
      <c r="BJ98" s="196"/>
      <c r="BK98" s="196" t="e">
        <v>#N/A</v>
      </c>
    </row>
    <row r="99" spans="1:63" ht="15" customHeight="1" x14ac:dyDescent="0.2">
      <c r="A99"/>
      <c r="B99" s="2636"/>
      <c r="C99" s="2637"/>
      <c r="D99" s="2638"/>
      <c r="E99" s="2639"/>
      <c r="F99" s="2640"/>
      <c r="G99" s="2641"/>
      <c r="H99" s="2641"/>
      <c r="I99" s="2641"/>
      <c r="J99" s="2641"/>
      <c r="K99" s="2641"/>
      <c r="L99" s="2642"/>
      <c r="M99" s="897" t="str">
        <f t="shared" si="3"/>
        <v/>
      </c>
      <c r="N99" s="898" t="str">
        <f t="shared" si="4"/>
        <v/>
      </c>
      <c r="O99"/>
      <c r="P99"/>
      <c r="Q99"/>
      <c r="R99"/>
      <c r="S99"/>
      <c r="T99"/>
      <c r="AZ99" s="196"/>
      <c r="BA99" s="196"/>
      <c r="BB99" s="196"/>
      <c r="BC99" s="196"/>
      <c r="BD99" s="196"/>
      <c r="BE99" s="196"/>
      <c r="BF99" s="196"/>
      <c r="BG99" s="196"/>
      <c r="BH99" s="196"/>
      <c r="BI99" s="196"/>
      <c r="BJ99" s="196"/>
      <c r="BK99" s="196" t="e">
        <v>#N/A</v>
      </c>
    </row>
    <row r="100" spans="1:63" ht="15" customHeight="1" x14ac:dyDescent="0.2">
      <c r="A100"/>
      <c r="B100" s="2636"/>
      <c r="C100" s="2637"/>
      <c r="D100" s="2638"/>
      <c r="E100" s="2639"/>
      <c r="F100" s="2640"/>
      <c r="G100" s="2641"/>
      <c r="H100" s="2641"/>
      <c r="I100" s="2641"/>
      <c r="J100" s="2641"/>
      <c r="K100" s="2641"/>
      <c r="L100" s="2642"/>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t="e">
        <v>#N/A</v>
      </c>
    </row>
    <row r="101" spans="1:63" ht="15" customHeight="1" x14ac:dyDescent="0.2">
      <c r="A101"/>
      <c r="B101" s="2636"/>
      <c r="C101" s="2637"/>
      <c r="D101" s="2638"/>
      <c r="E101" s="2639"/>
      <c r="F101" s="2640"/>
      <c r="G101" s="2641"/>
      <c r="H101" s="2641"/>
      <c r="I101" s="2641"/>
      <c r="J101" s="2641"/>
      <c r="K101" s="2641"/>
      <c r="L101" s="2642"/>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t="e">
        <v>#N/A</v>
      </c>
    </row>
    <row r="102" spans="1:63" ht="15" customHeight="1" x14ac:dyDescent="0.2">
      <c r="A102"/>
      <c r="B102" s="2636"/>
      <c r="C102" s="2637"/>
      <c r="D102" s="2638"/>
      <c r="E102" s="2639"/>
      <c r="F102" s="2640"/>
      <c r="G102" s="2641"/>
      <c r="H102" s="2641"/>
      <c r="I102" s="2641"/>
      <c r="J102" s="2641"/>
      <c r="K102" s="2641"/>
      <c r="L102" s="2642"/>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t="e">
        <v>#N/A</v>
      </c>
    </row>
    <row r="103" spans="1:63" ht="15" customHeight="1" x14ac:dyDescent="0.2">
      <c r="A103"/>
      <c r="B103" s="2636"/>
      <c r="C103" s="2637"/>
      <c r="D103" s="2638"/>
      <c r="E103" s="2639"/>
      <c r="F103" s="2640"/>
      <c r="G103" s="2641"/>
      <c r="H103" s="2641"/>
      <c r="I103" s="2641"/>
      <c r="J103" s="2641"/>
      <c r="K103" s="2641"/>
      <c r="L103" s="2642"/>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t="e">
        <v>#N/A</v>
      </c>
    </row>
    <row r="104" spans="1:63" ht="15" customHeight="1" x14ac:dyDescent="0.2">
      <c r="A104"/>
      <c r="B104" s="2636"/>
      <c r="C104" s="2637"/>
      <c r="D104" s="2638"/>
      <c r="E104" s="2639"/>
      <c r="F104" s="2640"/>
      <c r="G104" s="2641"/>
      <c r="H104" s="2641"/>
      <c r="I104" s="2641"/>
      <c r="J104" s="2641"/>
      <c r="K104" s="2641"/>
      <c r="L104" s="2642"/>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t="e">
        <v>#N/A</v>
      </c>
    </row>
    <row r="105" spans="1:63" ht="15" customHeight="1" x14ac:dyDescent="0.2">
      <c r="A105"/>
      <c r="B105" s="2636"/>
      <c r="C105" s="2637"/>
      <c r="D105" s="2638"/>
      <c r="E105" s="2639"/>
      <c r="F105" s="2640"/>
      <c r="G105" s="2641"/>
      <c r="H105" s="2641"/>
      <c r="I105" s="2641"/>
      <c r="J105" s="2641"/>
      <c r="K105" s="2641"/>
      <c r="L105" s="2642"/>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t="e">
        <v>#N/A</v>
      </c>
    </row>
    <row r="106" spans="1:63" ht="15" customHeight="1" x14ac:dyDescent="0.2">
      <c r="A106"/>
      <c r="B106" s="2636"/>
      <c r="C106" s="2637"/>
      <c r="D106" s="2638"/>
      <c r="E106" s="2639"/>
      <c r="F106" s="2640"/>
      <c r="G106" s="2641"/>
      <c r="H106" s="2641"/>
      <c r="I106" s="2641"/>
      <c r="J106" s="2641"/>
      <c r="K106" s="2641"/>
      <c r="L106" s="2642"/>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t="e">
        <v>#N/A</v>
      </c>
    </row>
    <row r="107" spans="1:63" ht="15" customHeight="1" x14ac:dyDescent="0.2">
      <c r="A107"/>
      <c r="B107" s="2636"/>
      <c r="C107" s="2637"/>
      <c r="D107" s="2638"/>
      <c r="E107" s="2639"/>
      <c r="F107" s="2640"/>
      <c r="G107" s="2641"/>
      <c r="H107" s="2641"/>
      <c r="I107" s="2641"/>
      <c r="J107" s="2641"/>
      <c r="K107" s="2641"/>
      <c r="L107" s="2642"/>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t="e">
        <v>#N/A</v>
      </c>
    </row>
    <row r="108" spans="1:63" ht="15" customHeight="1" x14ac:dyDescent="0.2">
      <c r="A108"/>
      <c r="B108" s="2636"/>
      <c r="C108" s="2637"/>
      <c r="D108" s="2638"/>
      <c r="E108" s="2639"/>
      <c r="F108" s="2640"/>
      <c r="G108" s="2641"/>
      <c r="H108" s="2641"/>
      <c r="I108" s="2641"/>
      <c r="J108" s="2641"/>
      <c r="K108" s="2641"/>
      <c r="L108" s="2642"/>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t="e">
        <v>#N/A</v>
      </c>
    </row>
    <row r="109" spans="1:63" ht="15" customHeight="1" x14ac:dyDescent="0.2">
      <c r="A109"/>
      <c r="B109" s="2636"/>
      <c r="C109" s="2637"/>
      <c r="D109" s="2638"/>
      <c r="E109" s="2639"/>
      <c r="F109" s="2640"/>
      <c r="G109" s="2641"/>
      <c r="H109" s="2641"/>
      <c r="I109" s="2641"/>
      <c r="J109" s="2641"/>
      <c r="K109" s="2641"/>
      <c r="L109" s="2642"/>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t="e">
        <v>#N/A</v>
      </c>
    </row>
    <row r="110" spans="1:63" ht="15" customHeight="1" x14ac:dyDescent="0.2">
      <c r="A110"/>
      <c r="B110" s="2636"/>
      <c r="C110" s="2637"/>
      <c r="D110" s="2638"/>
      <c r="E110" s="2639"/>
      <c r="F110" s="2640"/>
      <c r="G110" s="2641"/>
      <c r="H110" s="2641"/>
      <c r="I110" s="2641"/>
      <c r="J110" s="2641"/>
      <c r="K110" s="2641"/>
      <c r="L110" s="2642"/>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t="e">
        <v>#N/A</v>
      </c>
    </row>
    <row r="111" spans="1:63" ht="15" customHeight="1" x14ac:dyDescent="0.2">
      <c r="A111"/>
      <c r="B111" s="2636"/>
      <c r="C111" s="2637"/>
      <c r="D111" s="2638"/>
      <c r="E111" s="2639"/>
      <c r="F111" s="2640"/>
      <c r="G111" s="2641"/>
      <c r="H111" s="2641"/>
      <c r="I111" s="2641"/>
      <c r="J111" s="2641"/>
      <c r="K111" s="2641"/>
      <c r="L111" s="2642"/>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t="e">
        <v>#N/A</v>
      </c>
    </row>
    <row r="112" spans="1:63" ht="15" customHeight="1" x14ac:dyDescent="0.2">
      <c r="A112"/>
      <c r="B112" s="2636"/>
      <c r="C112" s="2637"/>
      <c r="D112" s="2638"/>
      <c r="E112" s="2639"/>
      <c r="F112" s="2640"/>
      <c r="G112" s="2641"/>
      <c r="H112" s="2641"/>
      <c r="I112" s="2641"/>
      <c r="J112" s="2641"/>
      <c r="K112" s="2641"/>
      <c r="L112" s="2642"/>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t="e">
        <v>#N/A</v>
      </c>
    </row>
    <row r="113" spans="1:63" ht="15" customHeight="1" x14ac:dyDescent="0.2">
      <c r="A113"/>
      <c r="B113" s="2636"/>
      <c r="C113" s="2637"/>
      <c r="D113" s="2638"/>
      <c r="E113" s="2639"/>
      <c r="F113" s="2640"/>
      <c r="G113" s="2641"/>
      <c r="H113" s="2641"/>
      <c r="I113" s="2641"/>
      <c r="J113" s="2641"/>
      <c r="K113" s="2641"/>
      <c r="L113" s="2642"/>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t="e">
        <v>#N/A</v>
      </c>
    </row>
    <row r="114" spans="1:63" ht="15" customHeight="1" x14ac:dyDescent="0.2">
      <c r="A114"/>
      <c r="B114" s="2636"/>
      <c r="C114" s="2637"/>
      <c r="D114" s="2638"/>
      <c r="E114" s="2639"/>
      <c r="F114" s="2640"/>
      <c r="G114" s="2641"/>
      <c r="H114" s="2641"/>
      <c r="I114" s="2641"/>
      <c r="J114" s="2641"/>
      <c r="K114" s="2641"/>
      <c r="L114" s="2642"/>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t="e">
        <v>#N/A</v>
      </c>
    </row>
    <row r="115" spans="1:63" ht="15" customHeight="1" x14ac:dyDescent="0.2">
      <c r="A115"/>
      <c r="B115" s="2636"/>
      <c r="C115" s="2637"/>
      <c r="D115" s="2638"/>
      <c r="E115" s="2639"/>
      <c r="F115" s="2640"/>
      <c r="G115" s="2641"/>
      <c r="H115" s="2641"/>
      <c r="I115" s="2641"/>
      <c r="J115" s="2641"/>
      <c r="K115" s="2641"/>
      <c r="L115" s="2642"/>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t="e">
        <v>#N/A</v>
      </c>
    </row>
    <row r="116" spans="1:63" ht="15" customHeight="1" x14ac:dyDescent="0.2">
      <c r="A116"/>
      <c r="B116" s="2636"/>
      <c r="C116" s="2637"/>
      <c r="D116" s="2638"/>
      <c r="E116" s="2639"/>
      <c r="F116" s="2640"/>
      <c r="G116" s="2641"/>
      <c r="H116" s="2641"/>
      <c r="I116" s="2641"/>
      <c r="J116" s="2641"/>
      <c r="K116" s="2641"/>
      <c r="L116" s="2642"/>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t="e">
        <v>#N/A</v>
      </c>
    </row>
    <row r="117" spans="1:63" ht="15" customHeight="1" x14ac:dyDescent="0.2">
      <c r="A117"/>
      <c r="B117" s="2636"/>
      <c r="C117" s="2637"/>
      <c r="D117" s="2638"/>
      <c r="E117" s="2639"/>
      <c r="F117" s="2640"/>
      <c r="G117" s="2641"/>
      <c r="H117" s="2641"/>
      <c r="I117" s="2641"/>
      <c r="J117" s="2641"/>
      <c r="K117" s="2641"/>
      <c r="L117" s="2642"/>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t="e">
        <v>#N/A</v>
      </c>
    </row>
    <row r="118" spans="1:63" ht="15" customHeight="1" x14ac:dyDescent="0.2">
      <c r="A118"/>
      <c r="B118" s="2636"/>
      <c r="C118" s="2637"/>
      <c r="D118" s="2638"/>
      <c r="E118" s="2639"/>
      <c r="F118" s="2640"/>
      <c r="G118" s="2641"/>
      <c r="H118" s="2641"/>
      <c r="I118" s="2641"/>
      <c r="J118" s="2641"/>
      <c r="K118" s="2641"/>
      <c r="L118" s="2642"/>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t="e">
        <v>#N/A</v>
      </c>
    </row>
    <row r="119" spans="1:63" ht="15" customHeight="1" x14ac:dyDescent="0.2">
      <c r="A119"/>
      <c r="B119" s="2636"/>
      <c r="C119" s="2637"/>
      <c r="D119" s="2638"/>
      <c r="E119" s="2639"/>
      <c r="F119" s="2640"/>
      <c r="G119" s="2641"/>
      <c r="H119" s="2641"/>
      <c r="I119" s="2641"/>
      <c r="J119" s="2641"/>
      <c r="K119" s="2641"/>
      <c r="L119" s="2642"/>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t="e">
        <v>#N/A</v>
      </c>
    </row>
    <row r="120" spans="1:63" ht="15" customHeight="1" x14ac:dyDescent="0.2">
      <c r="A120"/>
      <c r="B120" s="2636"/>
      <c r="C120" s="2637"/>
      <c r="D120" s="2638"/>
      <c r="E120" s="2639"/>
      <c r="F120" s="2640"/>
      <c r="G120" s="2641"/>
      <c r="H120" s="2641"/>
      <c r="I120" s="2641"/>
      <c r="J120" s="2641"/>
      <c r="K120" s="2641"/>
      <c r="L120" s="2642"/>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t="e">
        <v>#N/A</v>
      </c>
    </row>
    <row r="121" spans="1:63" ht="15" customHeight="1" x14ac:dyDescent="0.2">
      <c r="A121"/>
      <c r="B121" s="2636"/>
      <c r="C121" s="2637"/>
      <c r="D121" s="2638"/>
      <c r="E121" s="2639"/>
      <c r="F121" s="2640"/>
      <c r="G121" s="2641"/>
      <c r="H121" s="2641"/>
      <c r="I121" s="2641"/>
      <c r="J121" s="2641"/>
      <c r="K121" s="2641"/>
      <c r="L121" s="2642"/>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t="e">
        <v>#N/A</v>
      </c>
    </row>
    <row r="122" spans="1:63" ht="15" customHeight="1" x14ac:dyDescent="0.2">
      <c r="A122"/>
      <c r="B122" s="2636"/>
      <c r="C122" s="2637"/>
      <c r="D122" s="2638"/>
      <c r="E122" s="2639"/>
      <c r="F122" s="2640"/>
      <c r="G122" s="2641"/>
      <c r="H122" s="2641"/>
      <c r="I122" s="2641"/>
      <c r="J122" s="2641"/>
      <c r="K122" s="2641"/>
      <c r="L122" s="2642"/>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t="e">
        <v>#N/A</v>
      </c>
    </row>
    <row r="123" spans="1:63" ht="15" customHeight="1" x14ac:dyDescent="0.2">
      <c r="A123"/>
      <c r="B123" s="2636"/>
      <c r="C123" s="2637"/>
      <c r="D123" s="2638"/>
      <c r="E123" s="2639"/>
      <c r="F123" s="2640"/>
      <c r="G123" s="2641"/>
      <c r="H123" s="2641"/>
      <c r="I123" s="2641"/>
      <c r="J123" s="2641"/>
      <c r="K123" s="2641"/>
      <c r="L123" s="2642"/>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t="e">
        <v>#N/A</v>
      </c>
    </row>
    <row r="124" spans="1:63" ht="15" customHeight="1" x14ac:dyDescent="0.2">
      <c r="A124"/>
      <c r="B124" s="2636"/>
      <c r="C124" s="2637"/>
      <c r="D124" s="2638"/>
      <c r="E124" s="2639"/>
      <c r="F124" s="2640"/>
      <c r="G124" s="2641"/>
      <c r="H124" s="2641"/>
      <c r="I124" s="2641"/>
      <c r="J124" s="2641"/>
      <c r="K124" s="2641"/>
      <c r="L124" s="2642"/>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t="e">
        <v>#N/A</v>
      </c>
    </row>
    <row r="125" spans="1:63" ht="15" customHeight="1" x14ac:dyDescent="0.2">
      <c r="A125"/>
      <c r="B125" s="2636"/>
      <c r="C125" s="2637"/>
      <c r="D125" s="2638"/>
      <c r="E125" s="2639"/>
      <c r="F125" s="2640"/>
      <c r="G125" s="2641"/>
      <c r="H125" s="2641"/>
      <c r="I125" s="2641"/>
      <c r="J125" s="2641"/>
      <c r="K125" s="2641"/>
      <c r="L125" s="2642"/>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t="e">
        <v>#N/A</v>
      </c>
    </row>
    <row r="126" spans="1:63" ht="15" customHeight="1" x14ac:dyDescent="0.2">
      <c r="A126"/>
      <c r="B126" s="2636"/>
      <c r="C126" s="2637"/>
      <c r="D126" s="2638"/>
      <c r="E126" s="2639"/>
      <c r="F126" s="2640"/>
      <c r="G126" s="2641"/>
      <c r="H126" s="2641"/>
      <c r="I126" s="2641"/>
      <c r="J126" s="2641"/>
      <c r="K126" s="2641"/>
      <c r="L126" s="2642"/>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t="e">
        <v>#N/A</v>
      </c>
    </row>
    <row r="127" spans="1:63" ht="15" customHeight="1" x14ac:dyDescent="0.2">
      <c r="A127"/>
      <c r="B127" s="2636"/>
      <c r="C127" s="2637"/>
      <c r="D127" s="2638"/>
      <c r="E127" s="2639"/>
      <c r="F127" s="2640"/>
      <c r="G127" s="2641"/>
      <c r="H127" s="2641"/>
      <c r="I127" s="2641"/>
      <c r="J127" s="2641"/>
      <c r="K127" s="2641"/>
      <c r="L127" s="2642"/>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t="e">
        <v>#N/A</v>
      </c>
    </row>
    <row r="128" spans="1:63" ht="15" customHeight="1" x14ac:dyDescent="0.2">
      <c r="A128"/>
      <c r="B128" s="2636"/>
      <c r="C128" s="2637"/>
      <c r="D128" s="2638"/>
      <c r="E128" s="2639"/>
      <c r="F128" s="2640"/>
      <c r="G128" s="2641"/>
      <c r="H128" s="2641"/>
      <c r="I128" s="2641"/>
      <c r="J128" s="2641"/>
      <c r="K128" s="2641"/>
      <c r="L128" s="2642"/>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t="e">
        <v>#N/A</v>
      </c>
    </row>
    <row r="129" spans="1:63" ht="15" customHeight="1" x14ac:dyDescent="0.2">
      <c r="A129"/>
      <c r="B129" s="2636"/>
      <c r="C129" s="2637"/>
      <c r="D129" s="2638"/>
      <c r="E129" s="2639"/>
      <c r="F129" s="2640"/>
      <c r="G129" s="2641"/>
      <c r="H129" s="2641"/>
      <c r="I129" s="2641"/>
      <c r="J129" s="2641"/>
      <c r="K129" s="2641"/>
      <c r="L129" s="2642"/>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t="e">
        <v>#N/A</v>
      </c>
    </row>
    <row r="130" spans="1:63" ht="15" customHeight="1" x14ac:dyDescent="0.2">
      <c r="A130"/>
      <c r="B130" s="2636"/>
      <c r="C130" s="2637"/>
      <c r="D130" s="2638"/>
      <c r="E130" s="2639"/>
      <c r="F130" s="2640"/>
      <c r="G130" s="2641"/>
      <c r="H130" s="2641"/>
      <c r="I130" s="2641"/>
      <c r="J130" s="2641"/>
      <c r="K130" s="2641"/>
      <c r="L130" s="2642"/>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t="e">
        <v>#N/A</v>
      </c>
    </row>
    <row r="131" spans="1:63" ht="15" customHeight="1" x14ac:dyDescent="0.2">
      <c r="A131"/>
      <c r="B131" s="2636"/>
      <c r="C131" s="2637"/>
      <c r="D131" s="2638"/>
      <c r="E131" s="2639"/>
      <c r="F131" s="2640"/>
      <c r="G131" s="2641"/>
      <c r="H131" s="2641"/>
      <c r="I131" s="2641"/>
      <c r="J131" s="2641"/>
      <c r="K131" s="2641"/>
      <c r="L131" s="2642"/>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t="e">
        <v>#N/A</v>
      </c>
    </row>
    <row r="132" spans="1:63" ht="15" customHeight="1" x14ac:dyDescent="0.2">
      <c r="A132"/>
      <c r="B132" s="2636"/>
      <c r="C132" s="2637"/>
      <c r="D132" s="2638"/>
      <c r="E132" s="2639"/>
      <c r="F132" s="2640"/>
      <c r="G132" s="2641"/>
      <c r="H132" s="2641"/>
      <c r="I132" s="2641"/>
      <c r="J132" s="2641"/>
      <c r="K132" s="2641"/>
      <c r="L132" s="2642"/>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t="e">
        <v>#N/A</v>
      </c>
    </row>
    <row r="133" spans="1:63" ht="15" customHeight="1" x14ac:dyDescent="0.2">
      <c r="A133"/>
      <c r="B133" s="2636"/>
      <c r="C133" s="2637"/>
      <c r="D133" s="2638"/>
      <c r="E133" s="2639"/>
      <c r="F133" s="2640"/>
      <c r="G133" s="2641"/>
      <c r="H133" s="2641"/>
      <c r="I133" s="2641"/>
      <c r="J133" s="2641"/>
      <c r="K133" s="2641"/>
      <c r="L133" s="2642"/>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t="e">
        <v>#N/A</v>
      </c>
    </row>
    <row r="134" spans="1:63" ht="15" customHeight="1" x14ac:dyDescent="0.2">
      <c r="A134"/>
      <c r="B134" s="2636"/>
      <c r="C134" s="2637"/>
      <c r="D134" s="2638"/>
      <c r="E134" s="2639"/>
      <c r="F134" s="2640"/>
      <c r="G134" s="2641"/>
      <c r="H134" s="2641"/>
      <c r="I134" s="2641"/>
      <c r="J134" s="2641"/>
      <c r="K134" s="2641"/>
      <c r="L134" s="2642"/>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t="e">
        <v>#N/A</v>
      </c>
    </row>
    <row r="135" spans="1:63" ht="15" customHeight="1" x14ac:dyDescent="0.2">
      <c r="A135"/>
      <c r="B135" s="2636"/>
      <c r="C135" s="2637"/>
      <c r="D135" s="2638"/>
      <c r="E135" s="2639"/>
      <c r="F135" s="2640"/>
      <c r="G135" s="2641"/>
      <c r="H135" s="2641"/>
      <c r="I135" s="2641"/>
      <c r="J135" s="2641"/>
      <c r="K135" s="2641"/>
      <c r="L135" s="2642"/>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t="e">
        <v>#N/A</v>
      </c>
    </row>
    <row r="136" spans="1:63" ht="15" customHeight="1" x14ac:dyDescent="0.2">
      <c r="A136"/>
      <c r="B136" s="2636"/>
      <c r="C136" s="2637"/>
      <c r="D136" s="2638"/>
      <c r="E136" s="2639"/>
      <c r="F136" s="2640"/>
      <c r="G136" s="2641"/>
      <c r="H136" s="2641"/>
      <c r="I136" s="2641"/>
      <c r="J136" s="2641"/>
      <c r="K136" s="2641"/>
      <c r="L136" s="2642"/>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t="e">
        <v>#N/A</v>
      </c>
    </row>
    <row r="137" spans="1:63" ht="15" customHeight="1" x14ac:dyDescent="0.2">
      <c r="A137"/>
      <c r="B137" s="2636"/>
      <c r="C137" s="2637"/>
      <c r="D137" s="2638"/>
      <c r="E137" s="2639"/>
      <c r="F137" s="2640"/>
      <c r="G137" s="2641"/>
      <c r="H137" s="2641"/>
      <c r="I137" s="2641"/>
      <c r="J137" s="2641"/>
      <c r="K137" s="2641"/>
      <c r="L137" s="2642"/>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t="e">
        <v>#N/A</v>
      </c>
    </row>
    <row r="138" spans="1:63" ht="15" customHeight="1" x14ac:dyDescent="0.2">
      <c r="A138"/>
      <c r="B138" s="2636"/>
      <c r="C138" s="2637"/>
      <c r="D138" s="2638"/>
      <c r="E138" s="2639"/>
      <c r="F138" s="2640"/>
      <c r="G138" s="2641"/>
      <c r="H138" s="2641"/>
      <c r="I138" s="2641"/>
      <c r="J138" s="2641"/>
      <c r="K138" s="2641"/>
      <c r="L138" s="2642"/>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t="e">
        <v>#N/A</v>
      </c>
    </row>
    <row r="139" spans="1:63" ht="15" customHeight="1" x14ac:dyDescent="0.2">
      <c r="A139"/>
      <c r="B139" s="2636"/>
      <c r="C139" s="2637"/>
      <c r="D139" s="2638"/>
      <c r="E139" s="2639"/>
      <c r="F139" s="2640"/>
      <c r="G139" s="2641"/>
      <c r="H139" s="2641"/>
      <c r="I139" s="2641"/>
      <c r="J139" s="2641"/>
      <c r="K139" s="2641"/>
      <c r="L139" s="2642"/>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t="e">
        <v>#N/A</v>
      </c>
    </row>
    <row r="140" spans="1:63" ht="15" customHeight="1" x14ac:dyDescent="0.2">
      <c r="A140"/>
      <c r="B140" s="2636"/>
      <c r="C140" s="2637"/>
      <c r="D140" s="2638"/>
      <c r="E140" s="2639"/>
      <c r="F140" s="2640"/>
      <c r="G140" s="2641"/>
      <c r="H140" s="2641"/>
      <c r="I140" s="2641"/>
      <c r="J140" s="2641"/>
      <c r="K140" s="2641"/>
      <c r="L140" s="2642"/>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t="e">
        <v>#N/A</v>
      </c>
    </row>
    <row r="141" spans="1:63" ht="15" customHeight="1" x14ac:dyDescent="0.2">
      <c r="A141"/>
      <c r="B141" s="2636"/>
      <c r="C141" s="2637"/>
      <c r="D141" s="2638"/>
      <c r="E141" s="2639"/>
      <c r="F141" s="2640"/>
      <c r="G141" s="2641"/>
      <c r="H141" s="2641"/>
      <c r="I141" s="2641"/>
      <c r="J141" s="2641"/>
      <c r="K141" s="2641"/>
      <c r="L141" s="2642"/>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t="e">
        <v>#N/A</v>
      </c>
    </row>
    <row r="142" spans="1:63" ht="15" customHeight="1" x14ac:dyDescent="0.2">
      <c r="A142"/>
      <c r="B142" s="2636"/>
      <c r="C142" s="2637"/>
      <c r="D142" s="2638"/>
      <c r="E142" s="2639"/>
      <c r="F142" s="2640"/>
      <c r="G142" s="2641"/>
      <c r="H142" s="2641"/>
      <c r="I142" s="2641"/>
      <c r="J142" s="2641"/>
      <c r="K142" s="2641"/>
      <c r="L142" s="2642"/>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t="e">
        <v>#N/A</v>
      </c>
    </row>
    <row r="143" spans="1:63" ht="15" customHeight="1" x14ac:dyDescent="0.2">
      <c r="A143"/>
      <c r="B143" s="2636"/>
      <c r="C143" s="2637"/>
      <c r="D143" s="2638"/>
      <c r="E143" s="2639"/>
      <c r="F143" s="2640"/>
      <c r="G143" s="2641"/>
      <c r="H143" s="2641"/>
      <c r="I143" s="2641"/>
      <c r="J143" s="2641"/>
      <c r="K143" s="2641"/>
      <c r="L143" s="2642"/>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t="e">
        <v>#N/A</v>
      </c>
    </row>
    <row r="144" spans="1:63" ht="15" customHeight="1" x14ac:dyDescent="0.2">
      <c r="A144"/>
      <c r="B144" s="2636"/>
      <c r="C144" s="2637"/>
      <c r="D144" s="2638"/>
      <c r="E144" s="2639"/>
      <c r="F144" s="2640"/>
      <c r="G144" s="2641"/>
      <c r="H144" s="2641"/>
      <c r="I144" s="2641"/>
      <c r="J144" s="2641"/>
      <c r="K144" s="2641"/>
      <c r="L144" s="2642"/>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t="e">
        <v>#N/A</v>
      </c>
    </row>
    <row r="145" spans="1:63" ht="15" customHeight="1" x14ac:dyDescent="0.2">
      <c r="A145"/>
      <c r="B145" s="2636"/>
      <c r="C145" s="2637"/>
      <c r="D145" s="2638"/>
      <c r="E145" s="2639"/>
      <c r="F145" s="2640"/>
      <c r="G145" s="2641"/>
      <c r="H145" s="2641"/>
      <c r="I145" s="2641"/>
      <c r="J145" s="2641"/>
      <c r="K145" s="2641"/>
      <c r="L145" s="2642"/>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t="e">
        <v>#N/A</v>
      </c>
    </row>
    <row r="146" spans="1:63" ht="15" customHeight="1" x14ac:dyDescent="0.2">
      <c r="A146"/>
      <c r="B146" s="2636"/>
      <c r="C146" s="2637"/>
      <c r="D146" s="2638"/>
      <c r="E146" s="2639"/>
      <c r="F146" s="2640"/>
      <c r="G146" s="2641"/>
      <c r="H146" s="2641"/>
      <c r="I146" s="2641"/>
      <c r="J146" s="2641"/>
      <c r="K146" s="2641"/>
      <c r="L146" s="2642"/>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t="e">
        <v>#N/A</v>
      </c>
    </row>
    <row r="147" spans="1:63" ht="15" customHeight="1" x14ac:dyDescent="0.2">
      <c r="A147"/>
      <c r="B147" s="2636"/>
      <c r="C147" s="2637"/>
      <c r="D147" s="2638"/>
      <c r="E147" s="2639"/>
      <c r="F147" s="2640"/>
      <c r="G147" s="2641"/>
      <c r="H147" s="2641"/>
      <c r="I147" s="2641"/>
      <c r="J147" s="2641"/>
      <c r="K147" s="2641"/>
      <c r="L147" s="2642"/>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t="e">
        <v>#N/A</v>
      </c>
    </row>
    <row r="148" spans="1:63" ht="15" customHeight="1" x14ac:dyDescent="0.2">
      <c r="A148"/>
      <c r="B148" s="2636"/>
      <c r="C148" s="2637"/>
      <c r="D148" s="2638"/>
      <c r="E148" s="2639"/>
      <c r="F148" s="2640"/>
      <c r="G148" s="2641"/>
      <c r="H148" s="2641"/>
      <c r="I148" s="2641"/>
      <c r="J148" s="2641"/>
      <c r="K148" s="2641"/>
      <c r="L148" s="2642"/>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t="e">
        <v>#N/A</v>
      </c>
    </row>
    <row r="149" spans="1:63" ht="15" customHeight="1" x14ac:dyDescent="0.2">
      <c r="A149"/>
      <c r="B149" s="2636"/>
      <c r="C149" s="2637"/>
      <c r="D149" s="2638"/>
      <c r="E149" s="2639"/>
      <c r="F149" s="2640"/>
      <c r="G149" s="2641"/>
      <c r="H149" s="2641"/>
      <c r="I149" s="2641"/>
      <c r="J149" s="2641"/>
      <c r="K149" s="2641"/>
      <c r="L149" s="2642"/>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t="e">
        <v>#N/A</v>
      </c>
    </row>
    <row r="150" spans="1:63" ht="15" customHeight="1" x14ac:dyDescent="0.2">
      <c r="A150"/>
      <c r="B150" s="2636"/>
      <c r="C150" s="2637"/>
      <c r="D150" s="2638"/>
      <c r="E150" s="2639"/>
      <c r="F150" s="2640"/>
      <c r="G150" s="2641"/>
      <c r="H150" s="2641"/>
      <c r="I150" s="2641"/>
      <c r="J150" s="2641"/>
      <c r="K150" s="2641"/>
      <c r="L150" s="2642"/>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t="e">
        <v>#N/A</v>
      </c>
    </row>
    <row r="151" spans="1:63" ht="15" customHeight="1" x14ac:dyDescent="0.2">
      <c r="A151"/>
      <c r="B151" s="2636"/>
      <c r="C151" s="2637"/>
      <c r="D151" s="2638"/>
      <c r="E151" s="2639"/>
      <c r="F151" s="2640"/>
      <c r="G151" s="2641"/>
      <c r="H151" s="2641"/>
      <c r="I151" s="2641"/>
      <c r="J151" s="2641"/>
      <c r="K151" s="2641"/>
      <c r="L151" s="2642"/>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t="e">
        <v>#N/A</v>
      </c>
    </row>
    <row r="152" spans="1:63" ht="15" customHeight="1" x14ac:dyDescent="0.2">
      <c r="A152"/>
      <c r="B152" s="2636"/>
      <c r="C152" s="2637"/>
      <c r="D152" s="2638"/>
      <c r="E152" s="2639"/>
      <c r="F152" s="2640"/>
      <c r="G152" s="2641"/>
      <c r="H152" s="2641"/>
      <c r="I152" s="2641"/>
      <c r="J152" s="2641"/>
      <c r="K152" s="2641"/>
      <c r="L152" s="2642"/>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t="e">
        <v>#N/A</v>
      </c>
    </row>
    <row r="153" spans="1:63" ht="15" customHeight="1" x14ac:dyDescent="0.2">
      <c r="A153"/>
      <c r="B153" s="2636"/>
      <c r="C153" s="2637"/>
      <c r="D153" s="2638"/>
      <c r="E153" s="2639"/>
      <c r="F153" s="2640"/>
      <c r="G153" s="2641"/>
      <c r="H153" s="2641"/>
      <c r="I153" s="2641"/>
      <c r="J153" s="2641"/>
      <c r="K153" s="2641"/>
      <c r="L153" s="2642"/>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t="e">
        <v>#N/A</v>
      </c>
    </row>
    <row r="154" spans="1:63" ht="15" customHeight="1" x14ac:dyDescent="0.2">
      <c r="A154"/>
      <c r="B154" s="2636"/>
      <c r="C154" s="2637"/>
      <c r="D154" s="2638"/>
      <c r="E154" s="2639"/>
      <c r="F154" s="2640"/>
      <c r="G154" s="2641"/>
      <c r="H154" s="2641"/>
      <c r="I154" s="2641"/>
      <c r="J154" s="2641"/>
      <c r="K154" s="2641"/>
      <c r="L154" s="2642"/>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t="e">
        <v>#N/A</v>
      </c>
    </row>
    <row r="155" spans="1:63" ht="15" customHeight="1" x14ac:dyDescent="0.2">
      <c r="A155"/>
      <c r="B155" s="2636"/>
      <c r="C155" s="2637"/>
      <c r="D155" s="2638"/>
      <c r="E155" s="2639"/>
      <c r="F155" s="2640"/>
      <c r="G155" s="2641"/>
      <c r="H155" s="2641"/>
      <c r="I155" s="2641"/>
      <c r="J155" s="2641"/>
      <c r="K155" s="2641"/>
      <c r="L155" s="2642"/>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t="e">
        <v>#N/A</v>
      </c>
    </row>
    <row r="156" spans="1:63" ht="15" customHeight="1" x14ac:dyDescent="0.2">
      <c r="A156"/>
      <c r="B156" s="2636"/>
      <c r="C156" s="2637"/>
      <c r="D156" s="2638"/>
      <c r="E156" s="2639"/>
      <c r="F156" s="2640"/>
      <c r="G156" s="2641"/>
      <c r="H156" s="2641"/>
      <c r="I156" s="2641"/>
      <c r="J156" s="2641"/>
      <c r="K156" s="2641"/>
      <c r="L156" s="2642"/>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t="e">
        <v>#N/A</v>
      </c>
    </row>
    <row r="157" spans="1:63" ht="15" customHeight="1" x14ac:dyDescent="0.2">
      <c r="A157"/>
      <c r="B157" s="2636"/>
      <c r="C157" s="2637"/>
      <c r="D157" s="2638"/>
      <c r="E157" s="2639"/>
      <c r="F157" s="2640"/>
      <c r="G157" s="2641"/>
      <c r="H157" s="2641"/>
      <c r="I157" s="2641"/>
      <c r="J157" s="2641"/>
      <c r="K157" s="2641"/>
      <c r="L157" s="2642"/>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t="e">
        <v>#N/A</v>
      </c>
    </row>
    <row r="158" spans="1:63" ht="15" customHeight="1" x14ac:dyDescent="0.2">
      <c r="A158"/>
      <c r="B158" s="2636"/>
      <c r="C158" s="2637"/>
      <c r="D158" s="2638"/>
      <c r="E158" s="2639"/>
      <c r="F158" s="2640"/>
      <c r="G158" s="2641"/>
      <c r="H158" s="2641"/>
      <c r="I158" s="2641"/>
      <c r="J158" s="2641"/>
      <c r="K158" s="2641"/>
      <c r="L158" s="2642"/>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t="e">
        <v>#N/A</v>
      </c>
    </row>
    <row r="159" spans="1:63" ht="15" customHeight="1" x14ac:dyDescent="0.2">
      <c r="A159"/>
      <c r="B159" s="2636"/>
      <c r="C159" s="2637"/>
      <c r="D159" s="2638"/>
      <c r="E159" s="2639"/>
      <c r="F159" s="2640"/>
      <c r="G159" s="2641"/>
      <c r="H159" s="2641"/>
      <c r="I159" s="2641"/>
      <c r="J159" s="2641"/>
      <c r="K159" s="2641"/>
      <c r="L159" s="2642"/>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t="e">
        <v>#N/A</v>
      </c>
    </row>
    <row r="160" spans="1:63" ht="15" customHeight="1" x14ac:dyDescent="0.2">
      <c r="A160"/>
      <c r="B160" s="2636"/>
      <c r="C160" s="2637"/>
      <c r="D160" s="2638"/>
      <c r="E160" s="2639"/>
      <c r="F160" s="2640"/>
      <c r="G160" s="2641"/>
      <c r="H160" s="2641"/>
      <c r="I160" s="2641"/>
      <c r="J160" s="2641"/>
      <c r="K160" s="2641"/>
      <c r="L160" s="2642"/>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t="e">
        <v>#N/A</v>
      </c>
    </row>
    <row r="161" spans="1:63" ht="15" customHeight="1" x14ac:dyDescent="0.2">
      <c r="A161"/>
      <c r="B161" s="2636"/>
      <c r="C161" s="2637"/>
      <c r="D161" s="2638"/>
      <c r="E161" s="2639"/>
      <c r="F161" s="2640"/>
      <c r="G161" s="2641"/>
      <c r="H161" s="2641"/>
      <c r="I161" s="2641"/>
      <c r="J161" s="2641"/>
      <c r="K161" s="2641"/>
      <c r="L161" s="2642"/>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t="e">
        <v>#N/A</v>
      </c>
    </row>
    <row r="162" spans="1:63" ht="15" customHeight="1" x14ac:dyDescent="0.2">
      <c r="A162"/>
      <c r="B162" s="2636"/>
      <c r="C162" s="2637"/>
      <c r="D162" s="2638"/>
      <c r="E162" s="2639"/>
      <c r="F162" s="2640"/>
      <c r="G162" s="2641"/>
      <c r="H162" s="2641"/>
      <c r="I162" s="2641"/>
      <c r="J162" s="2641"/>
      <c r="K162" s="2641"/>
      <c r="L162" s="2642"/>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t="e">
        <v>#N/A</v>
      </c>
    </row>
    <row r="163" spans="1:63" ht="15" customHeight="1" x14ac:dyDescent="0.2">
      <c r="A163"/>
      <c r="B163" s="2636"/>
      <c r="C163" s="2637"/>
      <c r="D163" s="2638"/>
      <c r="E163" s="2639"/>
      <c r="F163" s="2640"/>
      <c r="G163" s="2641"/>
      <c r="H163" s="2641"/>
      <c r="I163" s="2641"/>
      <c r="J163" s="2641"/>
      <c r="K163" s="2641"/>
      <c r="L163" s="2642"/>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t="e">
        <v>#N/A</v>
      </c>
    </row>
    <row r="164" spans="1:63" ht="15" customHeight="1" x14ac:dyDescent="0.2">
      <c r="A164"/>
      <c r="B164" s="2636"/>
      <c r="C164" s="2637"/>
      <c r="D164" s="2638"/>
      <c r="E164" s="2639"/>
      <c r="F164" s="2640"/>
      <c r="G164" s="2641"/>
      <c r="H164" s="2641"/>
      <c r="I164" s="2641"/>
      <c r="J164" s="2641"/>
      <c r="K164" s="2641"/>
      <c r="L164" s="2642"/>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t="e">
        <v>#N/A</v>
      </c>
    </row>
    <row r="165" spans="1:63" ht="15" customHeight="1" x14ac:dyDescent="0.2">
      <c r="A165"/>
      <c r="B165" s="2636"/>
      <c r="C165" s="2637"/>
      <c r="D165" s="2638"/>
      <c r="E165" s="2639"/>
      <c r="F165" s="2640"/>
      <c r="G165" s="2641"/>
      <c r="H165" s="2641"/>
      <c r="I165" s="2641"/>
      <c r="J165" s="2641"/>
      <c r="K165" s="2641"/>
      <c r="L165" s="2642"/>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t="e">
        <v>#N/A</v>
      </c>
    </row>
    <row r="166" spans="1:63" ht="15" customHeight="1" x14ac:dyDescent="0.2">
      <c r="A166"/>
      <c r="B166" s="2636"/>
      <c r="C166" s="2637"/>
      <c r="D166" s="2638"/>
      <c r="E166" s="2639"/>
      <c r="F166" s="2640"/>
      <c r="G166" s="2641"/>
      <c r="H166" s="2641"/>
      <c r="I166" s="2641"/>
      <c r="J166" s="2641"/>
      <c r="K166" s="2641"/>
      <c r="L166" s="2642"/>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t="e">
        <v>#N/A</v>
      </c>
    </row>
    <row r="167" spans="1:63" ht="15" customHeight="1" x14ac:dyDescent="0.2">
      <c r="A167"/>
      <c r="B167" s="2636"/>
      <c r="C167" s="2637"/>
      <c r="D167" s="2638"/>
      <c r="E167" s="2639"/>
      <c r="F167" s="2640"/>
      <c r="G167" s="2641"/>
      <c r="H167" s="2641"/>
      <c r="I167" s="2641"/>
      <c r="J167" s="2641"/>
      <c r="K167" s="2641"/>
      <c r="L167" s="2642"/>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t="e">
        <v>#N/A</v>
      </c>
    </row>
    <row r="168" spans="1:63" ht="15" customHeight="1" x14ac:dyDescent="0.2">
      <c r="A168"/>
      <c r="B168" s="2636"/>
      <c r="C168" s="2637"/>
      <c r="D168" s="2638"/>
      <c r="E168" s="2639"/>
      <c r="F168" s="2640"/>
      <c r="G168" s="2641"/>
      <c r="H168" s="2641"/>
      <c r="I168" s="2641"/>
      <c r="J168" s="2641"/>
      <c r="K168" s="2641"/>
      <c r="L168" s="2642"/>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t="e">
        <v>#N/A</v>
      </c>
    </row>
    <row r="169" spans="1:63" ht="15" customHeight="1" x14ac:dyDescent="0.2">
      <c r="A169"/>
      <c r="B169" s="2636"/>
      <c r="C169" s="2637"/>
      <c r="D169" s="2638"/>
      <c r="E169" s="2639"/>
      <c r="F169" s="2640"/>
      <c r="G169" s="2641"/>
      <c r="H169" s="2641"/>
      <c r="I169" s="2641"/>
      <c r="J169" s="2641"/>
      <c r="K169" s="2641"/>
      <c r="L169" s="2642"/>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t="e">
        <v>#N/A</v>
      </c>
    </row>
    <row r="170" spans="1:63" ht="15" customHeight="1" x14ac:dyDescent="0.2">
      <c r="A170"/>
      <c r="B170" s="2636"/>
      <c r="C170" s="2637"/>
      <c r="D170" s="2638"/>
      <c r="E170" s="2639"/>
      <c r="F170" s="2640"/>
      <c r="G170" s="2641"/>
      <c r="H170" s="2641"/>
      <c r="I170" s="2641"/>
      <c r="J170" s="2641"/>
      <c r="K170" s="2641"/>
      <c r="L170" s="2642"/>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t="e">
        <v>#N/A</v>
      </c>
    </row>
    <row r="171" spans="1:63" ht="15" customHeight="1" x14ac:dyDescent="0.2">
      <c r="A171"/>
      <c r="B171" s="2636"/>
      <c r="C171" s="2637"/>
      <c r="D171" s="2638"/>
      <c r="E171" s="2639"/>
      <c r="F171" s="2640"/>
      <c r="G171" s="2641"/>
      <c r="H171" s="2641"/>
      <c r="I171" s="2641"/>
      <c r="J171" s="2641"/>
      <c r="K171" s="2641"/>
      <c r="L171" s="2642"/>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t="e">
        <v>#N/A</v>
      </c>
    </row>
    <row r="172" spans="1:63" ht="15" customHeight="1" x14ac:dyDescent="0.2">
      <c r="A172"/>
      <c r="B172" s="2636"/>
      <c r="C172" s="2637"/>
      <c r="D172" s="2638"/>
      <c r="E172" s="2639"/>
      <c r="F172" s="2640"/>
      <c r="G172" s="2641"/>
      <c r="H172" s="2641"/>
      <c r="I172" s="2641"/>
      <c r="J172" s="2641"/>
      <c r="K172" s="2641"/>
      <c r="L172" s="2642"/>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t="e">
        <v>#N/A</v>
      </c>
    </row>
    <row r="173" spans="1:63" ht="15" customHeight="1" x14ac:dyDescent="0.2">
      <c r="A173"/>
      <c r="B173" s="2636"/>
      <c r="C173" s="2637"/>
      <c r="D173" s="2638"/>
      <c r="E173" s="2639"/>
      <c r="F173" s="2640"/>
      <c r="G173" s="2641"/>
      <c r="H173" s="2641"/>
      <c r="I173" s="2641"/>
      <c r="J173" s="2641"/>
      <c r="K173" s="2641"/>
      <c r="L173" s="2642"/>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t="e">
        <v>#N/A</v>
      </c>
    </row>
    <row r="174" spans="1:63" ht="15" customHeight="1" x14ac:dyDescent="0.2">
      <c r="A174"/>
      <c r="B174" s="2636"/>
      <c r="C174" s="2637"/>
      <c r="D174" s="2638"/>
      <c r="E174" s="2639"/>
      <c r="F174" s="2640"/>
      <c r="G174" s="2641"/>
      <c r="H174" s="2641"/>
      <c r="I174" s="2641"/>
      <c r="J174" s="2641"/>
      <c r="K174" s="2641"/>
      <c r="L174" s="2642"/>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t="e">
        <v>#N/A</v>
      </c>
    </row>
    <row r="175" spans="1:63" ht="15" customHeight="1" x14ac:dyDescent="0.2">
      <c r="A175"/>
      <c r="B175" s="2636"/>
      <c r="C175" s="2637"/>
      <c r="D175" s="2638"/>
      <c r="E175" s="2639"/>
      <c r="F175" s="2640"/>
      <c r="G175" s="2641"/>
      <c r="H175" s="2641"/>
      <c r="I175" s="2641"/>
      <c r="J175" s="2641"/>
      <c r="K175" s="2641"/>
      <c r="L175" s="2642"/>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t="e">
        <v>#N/A</v>
      </c>
    </row>
    <row r="176" spans="1:63" ht="15" customHeight="1" x14ac:dyDescent="0.2">
      <c r="A176"/>
      <c r="B176" s="2636"/>
      <c r="C176" s="2637"/>
      <c r="D176" s="2638"/>
      <c r="E176" s="2639"/>
      <c r="F176" s="2640"/>
      <c r="G176" s="2641"/>
      <c r="H176" s="2641"/>
      <c r="I176" s="2641"/>
      <c r="J176" s="2641"/>
      <c r="K176" s="2641"/>
      <c r="L176" s="2642"/>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t="e">
        <v>#N/A</v>
      </c>
    </row>
    <row r="177" spans="1:63" ht="15" customHeight="1" x14ac:dyDescent="0.2">
      <c r="A177"/>
      <c r="B177" s="2636"/>
      <c r="C177" s="2637"/>
      <c r="D177" s="2638"/>
      <c r="E177" s="2639"/>
      <c r="F177" s="2640"/>
      <c r="G177" s="2641"/>
      <c r="H177" s="2641"/>
      <c r="I177" s="2641"/>
      <c r="J177" s="2641"/>
      <c r="K177" s="2641"/>
      <c r="L177" s="2642"/>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t="e">
        <v>#N/A</v>
      </c>
    </row>
    <row r="178" spans="1:63" ht="15" customHeight="1" x14ac:dyDescent="0.2">
      <c r="A178"/>
      <c r="B178" s="2636"/>
      <c r="C178" s="2637"/>
      <c r="D178" s="2638"/>
      <c r="E178" s="2639"/>
      <c r="F178" s="2640"/>
      <c r="G178" s="2641"/>
      <c r="H178" s="2641"/>
      <c r="I178" s="2641"/>
      <c r="J178" s="2641"/>
      <c r="K178" s="2641"/>
      <c r="L178" s="2642"/>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t="e">
        <v>#N/A</v>
      </c>
    </row>
    <row r="179" spans="1:63" ht="15" customHeight="1" x14ac:dyDescent="0.2">
      <c r="A179"/>
      <c r="B179" s="2636"/>
      <c r="C179" s="2637"/>
      <c r="D179" s="2638"/>
      <c r="E179" s="2639"/>
      <c r="F179" s="2640"/>
      <c r="G179" s="2641"/>
      <c r="H179" s="2641"/>
      <c r="I179" s="2641"/>
      <c r="J179" s="2641"/>
      <c r="K179" s="2641"/>
      <c r="L179" s="2642"/>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t="e">
        <v>#N/A</v>
      </c>
    </row>
    <row r="180" spans="1:63" ht="15" customHeight="1" x14ac:dyDescent="0.2">
      <c r="A180"/>
      <c r="B180" s="2636"/>
      <c r="C180" s="2637"/>
      <c r="D180" s="2638"/>
      <c r="E180" s="2639"/>
      <c r="F180" s="2640"/>
      <c r="G180" s="2641"/>
      <c r="H180" s="2641"/>
      <c r="I180" s="2641"/>
      <c r="J180" s="2641"/>
      <c r="K180" s="2641"/>
      <c r="L180" s="2642"/>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t="e">
        <v>#N/A</v>
      </c>
    </row>
    <row r="181" spans="1:63" ht="15" customHeight="1" x14ac:dyDescent="0.2">
      <c r="A181"/>
      <c r="B181" s="2636"/>
      <c r="C181" s="2637"/>
      <c r="D181" s="2638"/>
      <c r="E181" s="2639"/>
      <c r="F181" s="2640"/>
      <c r="G181" s="2641"/>
      <c r="H181" s="2641"/>
      <c r="I181" s="2641"/>
      <c r="J181" s="2641"/>
      <c r="K181" s="2641"/>
      <c r="L181" s="2642"/>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t="e">
        <v>#N/A</v>
      </c>
    </row>
    <row r="182" spans="1:63" ht="15" customHeight="1" x14ac:dyDescent="0.2">
      <c r="A182"/>
      <c r="B182" s="2636"/>
      <c r="C182" s="2637"/>
      <c r="D182" s="2638"/>
      <c r="E182" s="2639"/>
      <c r="F182" s="2640"/>
      <c r="G182" s="2641"/>
      <c r="H182" s="2641"/>
      <c r="I182" s="2641"/>
      <c r="J182" s="2641"/>
      <c r="K182" s="2641"/>
      <c r="L182" s="2642"/>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t="e">
        <v>#N/A</v>
      </c>
    </row>
    <row r="183" spans="1:63" ht="15" customHeight="1" x14ac:dyDescent="0.2">
      <c r="A183"/>
      <c r="B183" s="2636"/>
      <c r="C183" s="2637"/>
      <c r="D183" s="2638"/>
      <c r="E183" s="2639"/>
      <c r="F183" s="2640"/>
      <c r="G183" s="2641"/>
      <c r="H183" s="2641"/>
      <c r="I183" s="2641"/>
      <c r="J183" s="2641"/>
      <c r="K183" s="2641"/>
      <c r="L183" s="2642"/>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t="e">
        <v>#N/A</v>
      </c>
    </row>
    <row r="184" spans="1:63" ht="15" customHeight="1" x14ac:dyDescent="0.2">
      <c r="A184"/>
      <c r="B184" s="2636"/>
      <c r="C184" s="2637"/>
      <c r="D184" s="2638"/>
      <c r="E184" s="2639"/>
      <c r="F184" s="2640"/>
      <c r="G184" s="2641"/>
      <c r="H184" s="2641"/>
      <c r="I184" s="2641"/>
      <c r="J184" s="2641"/>
      <c r="K184" s="2641"/>
      <c r="L184" s="2642"/>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t="e">
        <v>#N/A</v>
      </c>
    </row>
    <row r="185" spans="1:63" ht="15" customHeight="1" x14ac:dyDescent="0.2">
      <c r="A185"/>
      <c r="B185" s="2636"/>
      <c r="C185" s="2637"/>
      <c r="D185" s="2638"/>
      <c r="E185" s="2639"/>
      <c r="F185" s="2640"/>
      <c r="G185" s="2641"/>
      <c r="H185" s="2641"/>
      <c r="I185" s="2641"/>
      <c r="J185" s="2641"/>
      <c r="K185" s="2641"/>
      <c r="L185" s="2642"/>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t="e">
        <v>#N/A</v>
      </c>
    </row>
    <row r="186" spans="1:63" ht="15" customHeight="1" x14ac:dyDescent="0.2">
      <c r="A186"/>
      <c r="B186" s="2636"/>
      <c r="C186" s="2637"/>
      <c r="D186" s="2638"/>
      <c r="E186" s="2639"/>
      <c r="F186" s="2640"/>
      <c r="G186" s="2641"/>
      <c r="H186" s="2641"/>
      <c r="I186" s="2641"/>
      <c r="J186" s="2641"/>
      <c r="K186" s="2641"/>
      <c r="L186" s="2642"/>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t="e">
        <v>#N/A</v>
      </c>
    </row>
    <row r="187" spans="1:63" ht="15" customHeight="1" x14ac:dyDescent="0.2">
      <c r="A187"/>
      <c r="B187" s="2636"/>
      <c r="C187" s="2637"/>
      <c r="D187" s="2638"/>
      <c r="E187" s="2639"/>
      <c r="F187" s="2640"/>
      <c r="G187" s="2641"/>
      <c r="H187" s="2641"/>
      <c r="I187" s="2641"/>
      <c r="J187" s="2641"/>
      <c r="K187" s="2641"/>
      <c r="L187" s="2642"/>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t="e">
        <v>#N/A</v>
      </c>
    </row>
    <row r="188" spans="1:63" ht="15" customHeight="1" x14ac:dyDescent="0.2">
      <c r="A188"/>
      <c r="B188" s="2636"/>
      <c r="C188" s="2637"/>
      <c r="D188" s="2638"/>
      <c r="E188" s="2639"/>
      <c r="F188" s="2640"/>
      <c r="G188" s="2641"/>
      <c r="H188" s="2641"/>
      <c r="I188" s="2641"/>
      <c r="J188" s="2641"/>
      <c r="K188" s="2641"/>
      <c r="L188" s="2642"/>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t="e">
        <v>#N/A</v>
      </c>
    </row>
    <row r="189" spans="1:63" ht="15" customHeight="1" x14ac:dyDescent="0.2">
      <c r="A189"/>
      <c r="B189" s="2636"/>
      <c r="C189" s="2637"/>
      <c r="D189" s="2638"/>
      <c r="E189" s="2639"/>
      <c r="F189" s="2640"/>
      <c r="G189" s="2641"/>
      <c r="H189" s="2641"/>
      <c r="I189" s="2641"/>
      <c r="J189" s="2641"/>
      <c r="K189" s="2641"/>
      <c r="L189" s="2642"/>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t="e">
        <v>#N/A</v>
      </c>
    </row>
    <row r="190" spans="1:63" ht="15" customHeight="1" x14ac:dyDescent="0.2">
      <c r="A190"/>
      <c r="B190" s="2636"/>
      <c r="C190" s="2637"/>
      <c r="D190" s="2638"/>
      <c r="E190" s="2639"/>
      <c r="F190" s="2640"/>
      <c r="G190" s="2641"/>
      <c r="H190" s="2641"/>
      <c r="I190" s="2641"/>
      <c r="J190" s="2641"/>
      <c r="K190" s="2641"/>
      <c r="L190" s="2642"/>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t="e">
        <v>#N/A</v>
      </c>
    </row>
    <row r="191" spans="1:63" ht="15" customHeight="1" x14ac:dyDescent="0.2">
      <c r="A191"/>
      <c r="B191" s="2636"/>
      <c r="C191" s="2637"/>
      <c r="D191" s="2638"/>
      <c r="E191" s="2639"/>
      <c r="F191" s="2640"/>
      <c r="G191" s="2641"/>
      <c r="H191" s="2641"/>
      <c r="I191" s="2641"/>
      <c r="J191" s="2641"/>
      <c r="K191" s="2641"/>
      <c r="L191" s="2642"/>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t="e">
        <v>#N/A</v>
      </c>
    </row>
    <row r="192" spans="1:63" ht="15" customHeight="1" x14ac:dyDescent="0.2">
      <c r="A192"/>
      <c r="B192" s="2636"/>
      <c r="C192" s="2637"/>
      <c r="D192" s="2638"/>
      <c r="E192" s="2639"/>
      <c r="F192" s="2640"/>
      <c r="G192" s="2641"/>
      <c r="H192" s="2641"/>
      <c r="I192" s="2641"/>
      <c r="J192" s="2641"/>
      <c r="K192" s="2641"/>
      <c r="L192" s="2642"/>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t="e">
        <v>#N/A</v>
      </c>
    </row>
    <row r="193" spans="1:63" ht="15" customHeight="1" x14ac:dyDescent="0.2">
      <c r="A193"/>
      <c r="B193" s="2636"/>
      <c r="C193" s="2637"/>
      <c r="D193" s="2638"/>
      <c r="E193" s="2639"/>
      <c r="F193" s="2640"/>
      <c r="G193" s="2641"/>
      <c r="H193" s="2641"/>
      <c r="I193" s="2641"/>
      <c r="J193" s="2641"/>
      <c r="K193" s="2641"/>
      <c r="L193" s="2642"/>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t="e">
        <v>#N/A</v>
      </c>
    </row>
    <row r="194" spans="1:63" ht="15" customHeight="1" x14ac:dyDescent="0.2">
      <c r="A194"/>
      <c r="B194" s="2636"/>
      <c r="C194" s="2637"/>
      <c r="D194" s="2638"/>
      <c r="E194" s="2639"/>
      <c r="F194" s="2640"/>
      <c r="G194" s="2641"/>
      <c r="H194" s="2641"/>
      <c r="I194" s="2641"/>
      <c r="J194" s="2641"/>
      <c r="K194" s="2641"/>
      <c r="L194" s="2642"/>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t="e">
        <v>#N/A</v>
      </c>
    </row>
    <row r="195" spans="1:63" ht="15" customHeight="1" x14ac:dyDescent="0.2">
      <c r="A195"/>
      <c r="B195" s="2636"/>
      <c r="C195" s="2637"/>
      <c r="D195" s="2638"/>
      <c r="E195" s="2639"/>
      <c r="F195" s="2640"/>
      <c r="G195" s="2641"/>
      <c r="H195" s="2641"/>
      <c r="I195" s="2641"/>
      <c r="J195" s="2641"/>
      <c r="K195" s="2641"/>
      <c r="L195" s="2642"/>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t="e">
        <v>#N/A</v>
      </c>
    </row>
    <row r="196" spans="1:63" ht="15" customHeight="1" x14ac:dyDescent="0.2">
      <c r="A196"/>
      <c r="B196" s="2636"/>
      <c r="C196" s="2637"/>
      <c r="D196" s="2638"/>
      <c r="E196" s="2639"/>
      <c r="F196" s="2640"/>
      <c r="G196" s="2641"/>
      <c r="H196" s="2641"/>
      <c r="I196" s="2641"/>
      <c r="J196" s="2641"/>
      <c r="K196" s="2641"/>
      <c r="L196" s="2642"/>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t="e">
        <v>#N/A</v>
      </c>
    </row>
    <row r="197" spans="1:63" ht="15" customHeight="1" x14ac:dyDescent="0.2">
      <c r="A197"/>
      <c r="B197" s="2636"/>
      <c r="C197" s="2637"/>
      <c r="D197" s="2638"/>
      <c r="E197" s="2639"/>
      <c r="F197" s="2640"/>
      <c r="G197" s="2641"/>
      <c r="H197" s="2641"/>
      <c r="I197" s="2641"/>
      <c r="J197" s="2641"/>
      <c r="K197" s="2641"/>
      <c r="L197" s="2642"/>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t="e">
        <v>#N/A</v>
      </c>
    </row>
    <row r="198" spans="1:63" ht="15" customHeight="1" x14ac:dyDescent="0.2">
      <c r="A198"/>
      <c r="B198" s="2636"/>
      <c r="C198" s="2637"/>
      <c r="D198" s="2638"/>
      <c r="E198" s="2639"/>
      <c r="F198" s="2640"/>
      <c r="G198" s="2641"/>
      <c r="H198" s="2641"/>
      <c r="I198" s="2641"/>
      <c r="J198" s="2641"/>
      <c r="K198" s="2641"/>
      <c r="L198" s="2642"/>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t="e">
        <v>#N/A</v>
      </c>
    </row>
    <row r="199" spans="1:63" ht="15" customHeight="1" x14ac:dyDescent="0.2">
      <c r="A199"/>
      <c r="B199" s="2636"/>
      <c r="C199" s="2637"/>
      <c r="D199" s="2638"/>
      <c r="E199" s="2639"/>
      <c r="F199" s="2640"/>
      <c r="G199" s="2641"/>
      <c r="H199" s="2641"/>
      <c r="I199" s="2641"/>
      <c r="J199" s="2641"/>
      <c r="K199" s="2641"/>
      <c r="L199" s="2642"/>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t="e">
        <v>#N/A</v>
      </c>
    </row>
    <row r="200" spans="1:63" ht="15" customHeight="1" x14ac:dyDescent="0.2">
      <c r="A200"/>
      <c r="B200" s="2636"/>
      <c r="C200" s="2637"/>
      <c r="D200" s="2638"/>
      <c r="E200" s="2639"/>
      <c r="F200" s="2640"/>
      <c r="G200" s="2641"/>
      <c r="H200" s="2641"/>
      <c r="I200" s="2641"/>
      <c r="J200" s="2641"/>
      <c r="K200" s="2641"/>
      <c r="L200" s="2642"/>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t="e">
        <v>#N/A</v>
      </c>
    </row>
    <row r="201" spans="1:63" ht="15" customHeight="1" x14ac:dyDescent="0.2">
      <c r="A201"/>
      <c r="B201" s="2636"/>
      <c r="C201" s="2637"/>
      <c r="D201" s="2638"/>
      <c r="E201" s="2639"/>
      <c r="F201" s="2640"/>
      <c r="G201" s="2641"/>
      <c r="H201" s="2641"/>
      <c r="I201" s="2641"/>
      <c r="J201" s="2641"/>
      <c r="K201" s="2641"/>
      <c r="L201" s="2642"/>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t="e">
        <v>#N/A</v>
      </c>
    </row>
    <row r="202" spans="1:63" ht="15" customHeight="1" x14ac:dyDescent="0.2">
      <c r="A202"/>
      <c r="B202" s="2636"/>
      <c r="C202" s="2637"/>
      <c r="D202" s="2638"/>
      <c r="E202" s="2639"/>
      <c r="F202" s="2640"/>
      <c r="G202" s="2641"/>
      <c r="H202" s="2641"/>
      <c r="I202" s="2641"/>
      <c r="J202" s="2641"/>
      <c r="K202" s="2641"/>
      <c r="L202" s="2642"/>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t="e">
        <v>#N/A</v>
      </c>
    </row>
    <row r="203" spans="1:63" ht="15" customHeight="1" x14ac:dyDescent="0.2">
      <c r="A203"/>
      <c r="B203" s="2636"/>
      <c r="C203" s="2637"/>
      <c r="D203" s="2638"/>
      <c r="E203" s="2639"/>
      <c r="F203" s="2640"/>
      <c r="G203" s="2641"/>
      <c r="H203" s="2641"/>
      <c r="I203" s="2641"/>
      <c r="J203" s="2641"/>
      <c r="K203" s="2641"/>
      <c r="L203" s="2642"/>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t="e">
        <v>#N/A</v>
      </c>
    </row>
    <row r="204" spans="1:63" ht="15" customHeight="1" x14ac:dyDescent="0.2">
      <c r="A204"/>
      <c r="B204" s="2636"/>
      <c r="C204" s="2637"/>
      <c r="D204" s="2638"/>
      <c r="E204" s="2639"/>
      <c r="F204" s="2640"/>
      <c r="G204" s="2641"/>
      <c r="H204" s="2641"/>
      <c r="I204" s="2641"/>
      <c r="J204" s="2641"/>
      <c r="K204" s="2641"/>
      <c r="L204" s="2642"/>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t="e">
        <v>#N/A</v>
      </c>
    </row>
    <row r="205" spans="1:63" ht="15" customHeight="1" x14ac:dyDescent="0.2">
      <c r="A205"/>
      <c r="B205" s="2636"/>
      <c r="C205" s="2637"/>
      <c r="D205" s="2638"/>
      <c r="E205" s="2639"/>
      <c r="F205" s="2640"/>
      <c r="G205" s="2641"/>
      <c r="H205" s="2641"/>
      <c r="I205" s="2641"/>
      <c r="J205" s="2641"/>
      <c r="K205" s="2641"/>
      <c r="L205" s="2642"/>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t="e">
        <v>#N/A</v>
      </c>
    </row>
    <row r="206" spans="1:63" ht="15" customHeight="1" x14ac:dyDescent="0.2">
      <c r="A206"/>
      <c r="B206" s="2636"/>
      <c r="C206" s="2637"/>
      <c r="D206" s="2638"/>
      <c r="E206" s="2639"/>
      <c r="F206" s="2640"/>
      <c r="G206" s="2641"/>
      <c r="H206" s="2641"/>
      <c r="I206" s="2641"/>
      <c r="J206" s="2641"/>
      <c r="K206" s="2641"/>
      <c r="L206" s="2642"/>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t="e">
        <v>#N/A</v>
      </c>
    </row>
    <row r="207" spans="1:63" ht="15" customHeight="1" x14ac:dyDescent="0.2">
      <c r="A207"/>
      <c r="B207" s="2636"/>
      <c r="C207" s="2637"/>
      <c r="D207" s="2638"/>
      <c r="E207" s="2639"/>
      <c r="F207" s="2640"/>
      <c r="G207" s="2641"/>
      <c r="H207" s="2641"/>
      <c r="I207" s="2641"/>
      <c r="J207" s="2641"/>
      <c r="K207" s="2641"/>
      <c r="L207" s="2642"/>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t="e">
        <v>#N/A</v>
      </c>
    </row>
    <row r="208" spans="1:63" ht="15" customHeight="1" x14ac:dyDescent="0.2">
      <c r="A208"/>
      <c r="B208" s="2636"/>
      <c r="C208" s="2637"/>
      <c r="D208" s="2638"/>
      <c r="E208" s="2639"/>
      <c r="F208" s="2640"/>
      <c r="G208" s="2641"/>
      <c r="H208" s="2641"/>
      <c r="I208" s="2641"/>
      <c r="J208" s="2641"/>
      <c r="K208" s="2641"/>
      <c r="L208" s="2642"/>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t="e">
        <v>#N/A</v>
      </c>
    </row>
    <row r="209" spans="1:63" ht="15" customHeight="1" x14ac:dyDescent="0.2">
      <c r="A209"/>
      <c r="B209" s="2636"/>
      <c r="C209" s="2637"/>
      <c r="D209" s="2638"/>
      <c r="E209" s="2639"/>
      <c r="F209" s="2640"/>
      <c r="G209" s="2641"/>
      <c r="H209" s="2641"/>
      <c r="I209" s="2641"/>
      <c r="J209" s="2641"/>
      <c r="K209" s="2641"/>
      <c r="L209" s="2642"/>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t="e">
        <v>#N/A</v>
      </c>
    </row>
    <row r="210" spans="1:63" ht="15" customHeight="1" x14ac:dyDescent="0.2">
      <c r="A210"/>
      <c r="B210" s="2636"/>
      <c r="C210" s="2637"/>
      <c r="D210" s="2638"/>
      <c r="E210" s="2639"/>
      <c r="F210" s="2640"/>
      <c r="G210" s="2641"/>
      <c r="H210" s="2641"/>
      <c r="I210" s="2641"/>
      <c r="J210" s="2641"/>
      <c r="K210" s="2641"/>
      <c r="L210" s="2642"/>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t="e">
        <v>#N/A</v>
      </c>
    </row>
    <row r="211" spans="1:63" ht="15" customHeight="1" x14ac:dyDescent="0.2">
      <c r="A211"/>
      <c r="B211" s="2636"/>
      <c r="C211" s="2637"/>
      <c r="D211" s="2638"/>
      <c r="E211" s="2639"/>
      <c r="F211" s="2640"/>
      <c r="G211" s="2641"/>
      <c r="H211" s="2641"/>
      <c r="I211" s="2641"/>
      <c r="J211" s="2641"/>
      <c r="K211" s="2641"/>
      <c r="L211" s="2642"/>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t="e">
        <v>#N/A</v>
      </c>
    </row>
    <row r="212" spans="1:63" ht="15" customHeight="1" x14ac:dyDescent="0.2">
      <c r="A212"/>
      <c r="B212" s="2636"/>
      <c r="C212" s="2637"/>
      <c r="D212" s="2638"/>
      <c r="E212" s="2639"/>
      <c r="F212" s="2640"/>
      <c r="G212" s="2641"/>
      <c r="H212" s="2641"/>
      <c r="I212" s="2641"/>
      <c r="J212" s="2641"/>
      <c r="K212" s="2641"/>
      <c r="L212" s="2642"/>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t="e">
        <v>#N/A</v>
      </c>
    </row>
    <row r="213" spans="1:63" ht="15" customHeight="1" x14ac:dyDescent="0.2">
      <c r="A213"/>
      <c r="B213" s="2636"/>
      <c r="C213" s="2637"/>
      <c r="D213" s="2638"/>
      <c r="E213" s="2639"/>
      <c r="F213" s="2640"/>
      <c r="G213" s="2641"/>
      <c r="H213" s="2641"/>
      <c r="I213" s="2641"/>
      <c r="J213" s="2641"/>
      <c r="K213" s="2641"/>
      <c r="L213" s="2642"/>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t="e">
        <v>#N/A</v>
      </c>
    </row>
    <row r="214" spans="1:63" ht="15" customHeight="1" x14ac:dyDescent="0.2">
      <c r="A214"/>
      <c r="B214" s="2636"/>
      <c r="C214" s="2637"/>
      <c r="D214" s="2638"/>
      <c r="E214" s="2639"/>
      <c r="F214" s="2640"/>
      <c r="G214" s="2641"/>
      <c r="H214" s="2641"/>
      <c r="I214" s="2641"/>
      <c r="J214" s="2641"/>
      <c r="K214" s="2641"/>
      <c r="L214" s="2642"/>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t="e">
        <v>#N/A</v>
      </c>
    </row>
    <row r="215" spans="1:63" ht="15" customHeight="1" x14ac:dyDescent="0.2">
      <c r="A215"/>
      <c r="B215" s="2636"/>
      <c r="C215" s="2637"/>
      <c r="D215" s="2638"/>
      <c r="E215" s="2639"/>
      <c r="F215" s="2640"/>
      <c r="G215" s="2641"/>
      <c r="H215" s="2641"/>
      <c r="I215" s="2641"/>
      <c r="J215" s="2641"/>
      <c r="K215" s="2641"/>
      <c r="L215" s="2642"/>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t="e">
        <v>#N/A</v>
      </c>
    </row>
    <row r="216" spans="1:63" ht="15" customHeight="1" x14ac:dyDescent="0.2">
      <c r="A216"/>
      <c r="B216" s="2636"/>
      <c r="C216" s="2637"/>
      <c r="D216" s="2638"/>
      <c r="E216" s="2639"/>
      <c r="F216" s="2640"/>
      <c r="G216" s="2641"/>
      <c r="H216" s="2641"/>
      <c r="I216" s="2641"/>
      <c r="J216" s="2641"/>
      <c r="K216" s="2641"/>
      <c r="L216" s="2642"/>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t="e">
        <v>#N/A</v>
      </c>
    </row>
    <row r="217" spans="1:63" ht="15" customHeight="1" x14ac:dyDescent="0.2">
      <c r="A217"/>
      <c r="B217" s="2636"/>
      <c r="C217" s="2637"/>
      <c r="D217" s="2638"/>
      <c r="E217" s="2639"/>
      <c r="F217" s="2640"/>
      <c r="G217" s="2641"/>
      <c r="H217" s="2641"/>
      <c r="I217" s="2641"/>
      <c r="J217" s="2641"/>
      <c r="K217" s="2641"/>
      <c r="L217" s="2642"/>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t="e">
        <v>#N/A</v>
      </c>
    </row>
    <row r="218" spans="1:63" ht="15" customHeight="1" x14ac:dyDescent="0.2">
      <c r="A218"/>
      <c r="B218" s="2636"/>
      <c r="C218" s="2637"/>
      <c r="D218" s="2638"/>
      <c r="E218" s="2639"/>
      <c r="F218" s="2640"/>
      <c r="G218" s="2641"/>
      <c r="H218" s="2641"/>
      <c r="I218" s="2641"/>
      <c r="J218" s="2641"/>
      <c r="K218" s="2641"/>
      <c r="L218" s="2642"/>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t="e">
        <v>#N/A</v>
      </c>
    </row>
    <row r="219" spans="1:63" ht="15" customHeight="1" x14ac:dyDescent="0.2">
      <c r="A219"/>
      <c r="B219" s="2636"/>
      <c r="C219" s="2637"/>
      <c r="D219" s="2638"/>
      <c r="E219" s="2639"/>
      <c r="F219" s="2640"/>
      <c r="G219" s="2641"/>
      <c r="H219" s="2641"/>
      <c r="I219" s="2641"/>
      <c r="J219" s="2641"/>
      <c r="K219" s="2641"/>
      <c r="L219" s="2642"/>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t="e">
        <v>#N/A</v>
      </c>
    </row>
    <row r="220" spans="1:63" ht="15" customHeight="1" x14ac:dyDescent="0.2">
      <c r="A220"/>
      <c r="B220" s="2636"/>
      <c r="C220" s="2637"/>
      <c r="D220" s="2638"/>
      <c r="E220" s="2639"/>
      <c r="F220" s="2640"/>
      <c r="G220" s="2641"/>
      <c r="H220" s="2641"/>
      <c r="I220" s="2641"/>
      <c r="J220" s="2641"/>
      <c r="K220" s="2641"/>
      <c r="L220" s="2642"/>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t="e">
        <v>#N/A</v>
      </c>
    </row>
    <row r="221" spans="1:63" ht="15" customHeight="1" x14ac:dyDescent="0.2">
      <c r="A221"/>
      <c r="B221" s="2636"/>
      <c r="C221" s="2637"/>
      <c r="D221" s="2638"/>
      <c r="E221" s="2639"/>
      <c r="F221" s="2640"/>
      <c r="G221" s="2641"/>
      <c r="H221" s="2641"/>
      <c r="I221" s="2641"/>
      <c r="J221" s="2641"/>
      <c r="K221" s="2641"/>
      <c r="L221" s="2642"/>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t="e">
        <v>#N/A</v>
      </c>
    </row>
    <row r="222" spans="1:63" ht="15" customHeight="1" x14ac:dyDescent="0.2">
      <c r="A222"/>
      <c r="B222" s="2636"/>
      <c r="C222" s="2637"/>
      <c r="D222" s="2638"/>
      <c r="E222" s="2639"/>
      <c r="F222" s="2640"/>
      <c r="G222" s="2641"/>
      <c r="H222" s="2641"/>
      <c r="I222" s="2641"/>
      <c r="J222" s="2641"/>
      <c r="K222" s="2641"/>
      <c r="L222" s="2642"/>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t="e">
        <v>#N/A</v>
      </c>
    </row>
    <row r="223" spans="1:63" ht="15" customHeight="1" x14ac:dyDescent="0.2">
      <c r="A223"/>
      <c r="B223" s="2636"/>
      <c r="C223" s="2637"/>
      <c r="D223" s="2638"/>
      <c r="E223" s="2639"/>
      <c r="F223" s="2640"/>
      <c r="G223" s="2641"/>
      <c r="H223" s="2641"/>
      <c r="I223" s="2641"/>
      <c r="J223" s="2641"/>
      <c r="K223" s="2641"/>
      <c r="L223" s="2642"/>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t="e">
        <v>#N/A</v>
      </c>
    </row>
    <row r="224" spans="1:63" ht="15" customHeight="1" x14ac:dyDescent="0.2">
      <c r="A224"/>
      <c r="B224" s="2636"/>
      <c r="C224" s="2637"/>
      <c r="D224" s="2638"/>
      <c r="E224" s="2639"/>
      <c r="F224" s="2640"/>
      <c r="G224" s="2641"/>
      <c r="H224" s="2641"/>
      <c r="I224" s="2641"/>
      <c r="J224" s="2641"/>
      <c r="K224" s="2641"/>
      <c r="L224" s="2642"/>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t="e">
        <v>#N/A</v>
      </c>
    </row>
    <row r="225" spans="1:63" ht="15" customHeight="1" x14ac:dyDescent="0.2">
      <c r="A225"/>
      <c r="B225" s="2636"/>
      <c r="C225" s="2637"/>
      <c r="D225" s="2638"/>
      <c r="E225" s="2639"/>
      <c r="F225" s="2640"/>
      <c r="G225" s="2641"/>
      <c r="H225" s="2641"/>
      <c r="I225" s="2641"/>
      <c r="J225" s="2641"/>
      <c r="K225" s="2641"/>
      <c r="L225" s="2642"/>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t="e">
        <v>#N/A</v>
      </c>
    </row>
    <row r="226" spans="1:63" ht="15" customHeight="1" x14ac:dyDescent="0.2">
      <c r="A226"/>
      <c r="B226" s="2636"/>
      <c r="C226" s="2637"/>
      <c r="D226" s="2638"/>
      <c r="E226" s="2639"/>
      <c r="F226" s="2640"/>
      <c r="G226" s="2641"/>
      <c r="H226" s="2641"/>
      <c r="I226" s="2641"/>
      <c r="J226" s="2641"/>
      <c r="K226" s="2641"/>
      <c r="L226" s="2642"/>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t="e">
        <v>#N/A</v>
      </c>
    </row>
    <row r="227" spans="1:63" ht="15" customHeight="1" x14ac:dyDescent="0.2">
      <c r="A227"/>
      <c r="B227" s="2636"/>
      <c r="C227" s="2637"/>
      <c r="D227" s="2638"/>
      <c r="E227" s="2639"/>
      <c r="F227" s="2640"/>
      <c r="G227" s="2641"/>
      <c r="H227" s="2641"/>
      <c r="I227" s="2641"/>
      <c r="J227" s="2641"/>
      <c r="K227" s="2641"/>
      <c r="L227" s="2642"/>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t="e">
        <v>#N/A</v>
      </c>
    </row>
    <row r="228" spans="1:63" ht="15" customHeight="1" x14ac:dyDescent="0.2">
      <c r="A228"/>
      <c r="B228" s="2636"/>
      <c r="C228" s="2637"/>
      <c r="D228" s="2638"/>
      <c r="E228" s="2639"/>
      <c r="F228" s="2640"/>
      <c r="G228" s="2641"/>
      <c r="H228" s="2641"/>
      <c r="I228" s="2641"/>
      <c r="J228" s="2641"/>
      <c r="K228" s="2641"/>
      <c r="L228" s="2642"/>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t="e">
        <v>#N/A</v>
      </c>
    </row>
    <row r="229" spans="1:63" ht="15" customHeight="1" x14ac:dyDescent="0.2">
      <c r="A229"/>
      <c r="B229" s="2636"/>
      <c r="C229" s="2637"/>
      <c r="D229" s="2638"/>
      <c r="E229" s="2639"/>
      <c r="F229" s="2640"/>
      <c r="G229" s="2641"/>
      <c r="H229" s="2641"/>
      <c r="I229" s="2641"/>
      <c r="J229" s="2641"/>
      <c r="K229" s="2641"/>
      <c r="L229" s="2642"/>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t="e">
        <v>#N/A</v>
      </c>
    </row>
    <row r="230" spans="1:63" ht="15" customHeight="1" x14ac:dyDescent="0.2">
      <c r="A230"/>
      <c r="B230" s="2636"/>
      <c r="C230" s="2637"/>
      <c r="D230" s="2638"/>
      <c r="E230" s="2639"/>
      <c r="F230" s="2640"/>
      <c r="G230" s="2641"/>
      <c r="H230" s="2641"/>
      <c r="I230" s="2641"/>
      <c r="J230" s="2641"/>
      <c r="K230" s="2641"/>
      <c r="L230" s="2642"/>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t="e">
        <v>#N/A</v>
      </c>
    </row>
    <row r="231" spans="1:63" ht="15" customHeight="1" x14ac:dyDescent="0.2">
      <c r="A231"/>
      <c r="B231" s="2636"/>
      <c r="C231" s="2637"/>
      <c r="D231" s="2638"/>
      <c r="E231" s="2639"/>
      <c r="F231" s="2640"/>
      <c r="G231" s="2641"/>
      <c r="H231" s="2641"/>
      <c r="I231" s="2641"/>
      <c r="J231" s="2641"/>
      <c r="K231" s="2641"/>
      <c r="L231" s="2642"/>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t="e">
        <v>#N/A</v>
      </c>
    </row>
    <row r="232" spans="1:63" ht="15" customHeight="1" x14ac:dyDescent="0.2">
      <c r="A232"/>
      <c r="B232" s="2636"/>
      <c r="C232" s="2637"/>
      <c r="D232" s="2638"/>
      <c r="E232" s="2639"/>
      <c r="F232" s="2640"/>
      <c r="G232" s="2641"/>
      <c r="H232" s="2641"/>
      <c r="I232" s="2641"/>
      <c r="J232" s="2641"/>
      <c r="K232" s="2641"/>
      <c r="L232" s="2642"/>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t="e">
        <v>#N/A</v>
      </c>
    </row>
    <row r="233" spans="1:63" ht="15" customHeight="1" x14ac:dyDescent="0.2">
      <c r="A233"/>
      <c r="B233" s="2636"/>
      <c r="C233" s="2637"/>
      <c r="D233" s="2638"/>
      <c r="E233" s="2639"/>
      <c r="F233" s="2640"/>
      <c r="G233" s="2641"/>
      <c r="H233" s="2641"/>
      <c r="I233" s="2641"/>
      <c r="J233" s="2641"/>
      <c r="K233" s="2641"/>
      <c r="L233" s="2642"/>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t="e">
        <v>#N/A</v>
      </c>
    </row>
    <row r="234" spans="1:63" ht="15" customHeight="1" x14ac:dyDescent="0.2">
      <c r="A234"/>
      <c r="B234" s="2636"/>
      <c r="C234" s="2637"/>
      <c r="D234" s="2638"/>
      <c r="E234" s="2639"/>
      <c r="F234" s="2640"/>
      <c r="G234" s="2641"/>
      <c r="H234" s="2641"/>
      <c r="I234" s="2641"/>
      <c r="J234" s="2641"/>
      <c r="K234" s="2641"/>
      <c r="L234" s="2642"/>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t="e">
        <v>#N/A</v>
      </c>
    </row>
    <row r="235" spans="1:63" ht="15" customHeight="1" x14ac:dyDescent="0.2">
      <c r="A235"/>
      <c r="B235" s="2636"/>
      <c r="C235" s="2637"/>
      <c r="D235" s="2638"/>
      <c r="E235" s="2639"/>
      <c r="F235" s="2640"/>
      <c r="G235" s="2641"/>
      <c r="H235" s="2641"/>
      <c r="I235" s="2641"/>
      <c r="J235" s="2641"/>
      <c r="K235" s="2641"/>
      <c r="L235" s="2642"/>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t="e">
        <v>#N/A</v>
      </c>
    </row>
    <row r="236" spans="1:63" ht="15" customHeight="1" x14ac:dyDescent="0.2">
      <c r="A236"/>
      <c r="B236" s="2636"/>
      <c r="C236" s="2637"/>
      <c r="D236" s="2638"/>
      <c r="E236" s="2639"/>
      <c r="F236" s="2640"/>
      <c r="G236" s="2641"/>
      <c r="H236" s="2641"/>
      <c r="I236" s="2641"/>
      <c r="J236" s="2641"/>
      <c r="K236" s="2641"/>
      <c r="L236" s="2642"/>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t="e">
        <v>#N/A</v>
      </c>
    </row>
    <row r="237" spans="1:63" ht="15" customHeight="1" x14ac:dyDescent="0.2">
      <c r="A237"/>
      <c r="B237" s="2636"/>
      <c r="C237" s="2637"/>
      <c r="D237" s="2638"/>
      <c r="E237" s="2639"/>
      <c r="F237" s="2640"/>
      <c r="G237" s="2641"/>
      <c r="H237" s="2641"/>
      <c r="I237" s="2641"/>
      <c r="J237" s="2641"/>
      <c r="K237" s="2641"/>
      <c r="L237" s="2642"/>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t="e">
        <v>#N/A</v>
      </c>
    </row>
    <row r="238" spans="1:63" ht="15" customHeight="1" x14ac:dyDescent="0.2">
      <c r="A238"/>
      <c r="B238" s="2636"/>
      <c r="C238" s="2637"/>
      <c r="D238" s="2638"/>
      <c r="E238" s="2639"/>
      <c r="F238" s="2640"/>
      <c r="G238" s="2641"/>
      <c r="H238" s="2641"/>
      <c r="I238" s="2641"/>
      <c r="J238" s="2641"/>
      <c r="K238" s="2641"/>
      <c r="L238" s="2642"/>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t="e">
        <v>#N/A</v>
      </c>
    </row>
    <row r="239" spans="1:63" ht="15" customHeight="1" x14ac:dyDescent="0.2">
      <c r="A239"/>
      <c r="B239" s="2636"/>
      <c r="C239" s="2637"/>
      <c r="D239" s="2638"/>
      <c r="E239" s="2639"/>
      <c r="F239" s="2640"/>
      <c r="G239" s="2641"/>
      <c r="H239" s="2641"/>
      <c r="I239" s="2641"/>
      <c r="J239" s="2641"/>
      <c r="K239" s="2641"/>
      <c r="L239" s="2642"/>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t="e">
        <v>#N/A</v>
      </c>
    </row>
    <row r="240" spans="1:63" ht="15" customHeight="1" x14ac:dyDescent="0.2">
      <c r="A240"/>
      <c r="B240" s="2636"/>
      <c r="C240" s="2637"/>
      <c r="D240" s="2638"/>
      <c r="E240" s="2639"/>
      <c r="F240" s="2640"/>
      <c r="G240" s="2641"/>
      <c r="H240" s="2641"/>
      <c r="I240" s="2641"/>
      <c r="J240" s="2641"/>
      <c r="K240" s="2641"/>
      <c r="L240" s="2642"/>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t="e">
        <v>#N/A</v>
      </c>
    </row>
    <row r="241" spans="1:63" ht="15" customHeight="1" x14ac:dyDescent="0.2">
      <c r="A241"/>
      <c r="B241" s="2636"/>
      <c r="C241" s="2637"/>
      <c r="D241" s="2638"/>
      <c r="E241" s="2639"/>
      <c r="F241" s="2640"/>
      <c r="G241" s="2641"/>
      <c r="H241" s="2641"/>
      <c r="I241" s="2641"/>
      <c r="J241" s="2641"/>
      <c r="K241" s="2641"/>
      <c r="L241" s="2642"/>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t="e">
        <v>#N/A</v>
      </c>
    </row>
    <row r="242" spans="1:63" ht="15" customHeight="1" x14ac:dyDescent="0.2">
      <c r="A242"/>
      <c r="B242" s="2636"/>
      <c r="C242" s="2637"/>
      <c r="D242" s="2638"/>
      <c r="E242" s="2639"/>
      <c r="F242" s="2640"/>
      <c r="G242" s="2641"/>
      <c r="H242" s="2641"/>
      <c r="I242" s="2641"/>
      <c r="J242" s="2641"/>
      <c r="K242" s="2641"/>
      <c r="L242" s="2642"/>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t="e">
        <v>#N/A</v>
      </c>
    </row>
    <row r="243" spans="1:63" ht="15" customHeight="1" x14ac:dyDescent="0.2">
      <c r="A243"/>
      <c r="B243" s="2636"/>
      <c r="C243" s="2637"/>
      <c r="D243" s="2638"/>
      <c r="E243" s="2639"/>
      <c r="F243" s="2640"/>
      <c r="G243" s="2641"/>
      <c r="H243" s="2641"/>
      <c r="I243" s="2641"/>
      <c r="J243" s="2641"/>
      <c r="K243" s="2641"/>
      <c r="L243" s="2642"/>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t="e">
        <v>#N/A</v>
      </c>
    </row>
    <row r="244" spans="1:63" ht="15" customHeight="1" x14ac:dyDescent="0.2">
      <c r="A244"/>
      <c r="B244" s="2636"/>
      <c r="C244" s="2637"/>
      <c r="D244" s="2638"/>
      <c r="E244" s="2639"/>
      <c r="F244" s="2640"/>
      <c r="G244" s="2641"/>
      <c r="H244" s="2641"/>
      <c r="I244" s="2641"/>
      <c r="J244" s="2641"/>
      <c r="K244" s="2641"/>
      <c r="L244" s="2642"/>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t="e">
        <v>#N/A</v>
      </c>
    </row>
    <row r="245" spans="1:63" ht="15" customHeight="1" x14ac:dyDescent="0.2">
      <c r="A245"/>
      <c r="B245" s="2636"/>
      <c r="C245" s="2637"/>
      <c r="D245" s="2638"/>
      <c r="E245" s="2639"/>
      <c r="F245" s="2640"/>
      <c r="G245" s="2641"/>
      <c r="H245" s="2641"/>
      <c r="I245" s="2641"/>
      <c r="J245" s="2641"/>
      <c r="K245" s="2641"/>
      <c r="L245" s="2642"/>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t="e">
        <v>#N/A</v>
      </c>
    </row>
    <row r="246" spans="1:63" ht="15" customHeight="1" x14ac:dyDescent="0.2">
      <c r="A246"/>
      <c r="B246" s="2636"/>
      <c r="C246" s="2637"/>
      <c r="D246" s="2638"/>
      <c r="E246" s="2639"/>
      <c r="F246" s="2640"/>
      <c r="G246" s="2641"/>
      <c r="H246" s="2641"/>
      <c r="I246" s="2641"/>
      <c r="J246" s="2641"/>
      <c r="K246" s="2641"/>
      <c r="L246" s="2642"/>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t="e">
        <v>#N/A</v>
      </c>
    </row>
    <row r="247" spans="1:63" ht="15" customHeight="1" x14ac:dyDescent="0.2">
      <c r="A247"/>
      <c r="B247" s="2636"/>
      <c r="C247" s="2637"/>
      <c r="D247" s="2638"/>
      <c r="E247" s="2639"/>
      <c r="F247" s="2640"/>
      <c r="G247" s="2641"/>
      <c r="H247" s="2641"/>
      <c r="I247" s="2641"/>
      <c r="J247" s="2641"/>
      <c r="K247" s="2641"/>
      <c r="L247" s="2642"/>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t="e">
        <v>#N/A</v>
      </c>
    </row>
    <row r="248" spans="1:63" ht="15" customHeight="1" x14ac:dyDescent="0.2">
      <c r="A248"/>
      <c r="B248" s="2636"/>
      <c r="C248" s="2637"/>
      <c r="D248" s="2638"/>
      <c r="E248" s="2639"/>
      <c r="F248" s="2640"/>
      <c r="G248" s="2641"/>
      <c r="H248" s="2641"/>
      <c r="I248" s="2641"/>
      <c r="J248" s="2641"/>
      <c r="K248" s="2641"/>
      <c r="L248" s="2642"/>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t="e">
        <v>#N/A</v>
      </c>
    </row>
    <row r="249" spans="1:63" ht="15" customHeight="1" x14ac:dyDescent="0.2">
      <c r="A249"/>
      <c r="B249" s="2636"/>
      <c r="C249" s="2637"/>
      <c r="D249" s="2638"/>
      <c r="E249" s="2639"/>
      <c r="F249" s="2640"/>
      <c r="G249" s="2641"/>
      <c r="H249" s="2641"/>
      <c r="I249" s="2641"/>
      <c r="J249" s="2641"/>
      <c r="K249" s="2641"/>
      <c r="L249" s="2642"/>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t="e">
        <v>#N/A</v>
      </c>
    </row>
    <row r="250" spans="1:63" ht="15" customHeight="1" x14ac:dyDescent="0.2">
      <c r="A250"/>
      <c r="B250" s="2636"/>
      <c r="C250" s="2637"/>
      <c r="D250" s="2638"/>
      <c r="E250" s="2639"/>
      <c r="F250" s="2640"/>
      <c r="G250" s="2641"/>
      <c r="H250" s="2641"/>
      <c r="I250" s="2641"/>
      <c r="J250" s="2641"/>
      <c r="K250" s="2641"/>
      <c r="L250" s="2642"/>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t="e">
        <v>#N/A</v>
      </c>
    </row>
    <row r="251" spans="1:63" ht="15" customHeight="1" x14ac:dyDescent="0.2">
      <c r="A251"/>
      <c r="B251" s="2636"/>
      <c r="C251" s="2637"/>
      <c r="D251" s="2638"/>
      <c r="E251" s="2639"/>
      <c r="F251" s="2640"/>
      <c r="G251" s="2641"/>
      <c r="H251" s="2641"/>
      <c r="I251" s="2641"/>
      <c r="J251" s="2641"/>
      <c r="K251" s="2641"/>
      <c r="L251" s="2642"/>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t="e">
        <v>#N/A</v>
      </c>
    </row>
    <row r="252" spans="1:63" ht="15" customHeight="1" x14ac:dyDescent="0.2">
      <c r="A252"/>
      <c r="B252" s="2636"/>
      <c r="C252" s="2637"/>
      <c r="D252" s="2638"/>
      <c r="E252" s="2639"/>
      <c r="F252" s="2640"/>
      <c r="G252" s="2641"/>
      <c r="H252" s="2641"/>
      <c r="I252" s="2641"/>
      <c r="J252" s="2641"/>
      <c r="K252" s="2641"/>
      <c r="L252" s="2642"/>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t="e">
        <v>#N/A</v>
      </c>
    </row>
    <row r="253" spans="1:63" ht="15" customHeight="1" x14ac:dyDescent="0.2">
      <c r="A253"/>
      <c r="B253" s="2636"/>
      <c r="C253" s="2637"/>
      <c r="D253" s="2638"/>
      <c r="E253" s="2639"/>
      <c r="F253" s="2640"/>
      <c r="G253" s="2641"/>
      <c r="H253" s="2641"/>
      <c r="I253" s="2641"/>
      <c r="J253" s="2641"/>
      <c r="K253" s="2641"/>
      <c r="L253" s="2642"/>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t="e">
        <v>#N/A</v>
      </c>
    </row>
    <row r="254" spans="1:63" ht="15" customHeight="1" x14ac:dyDescent="0.2">
      <c r="A254"/>
      <c r="B254" s="2636"/>
      <c r="C254" s="2637"/>
      <c r="D254" s="2638"/>
      <c r="E254" s="2639"/>
      <c r="F254" s="2640"/>
      <c r="G254" s="2641"/>
      <c r="H254" s="2641"/>
      <c r="I254" s="2641"/>
      <c r="J254" s="2641"/>
      <c r="K254" s="2641"/>
      <c r="L254" s="2642"/>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t="e">
        <v>#N/A</v>
      </c>
    </row>
    <row r="255" spans="1:63" ht="15" customHeight="1" x14ac:dyDescent="0.2">
      <c r="A255"/>
      <c r="B255" s="2636"/>
      <c r="C255" s="2637"/>
      <c r="D255" s="2638"/>
      <c r="E255" s="2639"/>
      <c r="F255" s="2640"/>
      <c r="G255" s="2641"/>
      <c r="H255" s="2641"/>
      <c r="I255" s="2641"/>
      <c r="J255" s="2641"/>
      <c r="K255" s="2641"/>
      <c r="L255" s="2642"/>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t="e">
        <v>#N/A</v>
      </c>
    </row>
    <row r="256" spans="1:63" ht="15" customHeight="1" x14ac:dyDescent="0.2">
      <c r="A256"/>
      <c r="B256" s="2636"/>
      <c r="C256" s="2637"/>
      <c r="D256" s="2638"/>
      <c r="E256" s="2639"/>
      <c r="F256" s="2640"/>
      <c r="G256" s="2641"/>
      <c r="H256" s="2641"/>
      <c r="I256" s="2641"/>
      <c r="J256" s="2641"/>
      <c r="K256" s="2641"/>
      <c r="L256" s="2642"/>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t="e">
        <v>#N/A</v>
      </c>
    </row>
    <row r="257" spans="1:63" ht="15" customHeight="1" x14ac:dyDescent="0.2">
      <c r="A257"/>
      <c r="B257" s="2636"/>
      <c r="C257" s="2637"/>
      <c r="D257" s="2638"/>
      <c r="E257" s="2639"/>
      <c r="F257" s="2640"/>
      <c r="G257" s="2641"/>
      <c r="H257" s="2641"/>
      <c r="I257" s="2641"/>
      <c r="J257" s="2641"/>
      <c r="K257" s="2641"/>
      <c r="L257" s="2642"/>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t="e">
        <v>#N/A</v>
      </c>
    </row>
    <row r="258" spans="1:63" ht="15" customHeight="1" x14ac:dyDescent="0.2">
      <c r="A258"/>
      <c r="B258" s="2636"/>
      <c r="C258" s="2637"/>
      <c r="D258" s="2638"/>
      <c r="E258" s="2639"/>
      <c r="F258" s="2640"/>
      <c r="G258" s="2641"/>
      <c r="H258" s="2641"/>
      <c r="I258" s="2641"/>
      <c r="J258" s="2641"/>
      <c r="K258" s="2641"/>
      <c r="L258" s="2642"/>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t="e">
        <v>#N/A</v>
      </c>
    </row>
    <row r="259" spans="1:63" ht="15" customHeight="1" x14ac:dyDescent="0.2">
      <c r="A259"/>
      <c r="B259" s="2636"/>
      <c r="C259" s="2637"/>
      <c r="D259" s="2638"/>
      <c r="E259" s="2639"/>
      <c r="F259" s="2640"/>
      <c r="G259" s="2641"/>
      <c r="H259" s="2641"/>
      <c r="I259" s="2641"/>
      <c r="J259" s="2641"/>
      <c r="K259" s="2641"/>
      <c r="L259" s="2642"/>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t="e">
        <v>#N/A</v>
      </c>
    </row>
    <row r="260" spans="1:63" ht="15" customHeight="1" x14ac:dyDescent="0.2">
      <c r="A260"/>
      <c r="B260" s="2636"/>
      <c r="C260" s="2637"/>
      <c r="D260" s="2638"/>
      <c r="E260" s="2639"/>
      <c r="F260" s="2640"/>
      <c r="G260" s="2641"/>
      <c r="H260" s="2641"/>
      <c r="I260" s="2641"/>
      <c r="J260" s="2641"/>
      <c r="K260" s="2641"/>
      <c r="L260" s="2642"/>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t="e">
        <v>#N/A</v>
      </c>
    </row>
    <row r="261" spans="1:63" ht="15" customHeight="1" x14ac:dyDescent="0.2">
      <c r="A261"/>
      <c r="B261" s="2636"/>
      <c r="C261" s="2637"/>
      <c r="D261" s="2638"/>
      <c r="E261" s="2639"/>
      <c r="F261" s="2640"/>
      <c r="G261" s="2641"/>
      <c r="H261" s="2641"/>
      <c r="I261" s="2641"/>
      <c r="J261" s="2641"/>
      <c r="K261" s="2641"/>
      <c r="L261" s="2642"/>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t="e">
        <v>#N/A</v>
      </c>
    </row>
    <row r="262" spans="1:63" ht="15" customHeight="1" x14ac:dyDescent="0.2">
      <c r="A262"/>
      <c r="B262" s="2636"/>
      <c r="C262" s="2637"/>
      <c r="D262" s="2638"/>
      <c r="E262" s="2639"/>
      <c r="F262" s="2640"/>
      <c r="G262" s="2641"/>
      <c r="H262" s="2641"/>
      <c r="I262" s="2641"/>
      <c r="J262" s="2641"/>
      <c r="K262" s="2641"/>
      <c r="L262" s="2642"/>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t="e">
        <v>#N/A</v>
      </c>
    </row>
    <row r="263" spans="1:63" ht="15" customHeight="1" x14ac:dyDescent="0.2">
      <c r="A263"/>
      <c r="B263" s="2636"/>
      <c r="C263" s="2637"/>
      <c r="D263" s="2638"/>
      <c r="E263" s="2639"/>
      <c r="F263" s="2640"/>
      <c r="G263" s="2641"/>
      <c r="H263" s="2641"/>
      <c r="I263" s="2641"/>
      <c r="J263" s="2641"/>
      <c r="K263" s="2641"/>
      <c r="L263" s="2642"/>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t="e">
        <v>#N/A</v>
      </c>
    </row>
    <row r="264" spans="1:63" ht="15" customHeight="1" x14ac:dyDescent="0.2">
      <c r="A264"/>
      <c r="B264" s="2636"/>
      <c r="C264" s="2637"/>
      <c r="D264" s="2638"/>
      <c r="E264" s="2639"/>
      <c r="F264" s="2640"/>
      <c r="G264" s="2641"/>
      <c r="H264" s="2641"/>
      <c r="I264" s="2641"/>
      <c r="J264" s="2641"/>
      <c r="K264" s="2641"/>
      <c r="L264" s="2642"/>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t="e">
        <v>#N/A</v>
      </c>
    </row>
    <row r="265" spans="1:63" ht="15" customHeight="1" x14ac:dyDescent="0.2">
      <c r="A265"/>
      <c r="B265" s="2636"/>
      <c r="C265" s="2637"/>
      <c r="D265" s="2638"/>
      <c r="E265" s="2639"/>
      <c r="F265" s="2640"/>
      <c r="G265" s="2641"/>
      <c r="H265" s="2641"/>
      <c r="I265" s="2641"/>
      <c r="J265" s="2641"/>
      <c r="K265" s="2641"/>
      <c r="L265" s="2642"/>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t="e">
        <v>#N/A</v>
      </c>
    </row>
    <row r="266" spans="1:63" ht="15" customHeight="1" x14ac:dyDescent="0.2">
      <c r="A266"/>
      <c r="B266" s="2636"/>
      <c r="C266" s="2637"/>
      <c r="D266" s="2638"/>
      <c r="E266" s="2639"/>
      <c r="F266" s="2640"/>
      <c r="G266" s="2641"/>
      <c r="H266" s="2641"/>
      <c r="I266" s="2641"/>
      <c r="J266" s="2641"/>
      <c r="K266" s="2641"/>
      <c r="L266" s="2642"/>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t="e">
        <v>#N/A</v>
      </c>
    </row>
    <row r="267" spans="1:63" ht="15" customHeight="1" x14ac:dyDescent="0.2">
      <c r="A267"/>
      <c r="B267" s="2636"/>
      <c r="C267" s="2637"/>
      <c r="D267" s="2638"/>
      <c r="E267" s="2639"/>
      <c r="F267" s="2640"/>
      <c r="G267" s="2641"/>
      <c r="H267" s="2641"/>
      <c r="I267" s="2641"/>
      <c r="J267" s="2641"/>
      <c r="K267" s="2641"/>
      <c r="L267" s="2642"/>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t="e">
        <v>#N/A</v>
      </c>
    </row>
    <row r="268" spans="1:63" ht="15" customHeight="1" x14ac:dyDescent="0.2">
      <c r="A268"/>
      <c r="B268" s="2636"/>
      <c r="C268" s="2637"/>
      <c r="D268" s="2638"/>
      <c r="E268" s="2639"/>
      <c r="F268" s="2640"/>
      <c r="G268" s="2641"/>
      <c r="H268" s="2641"/>
      <c r="I268" s="2641"/>
      <c r="J268" s="2641"/>
      <c r="K268" s="2641"/>
      <c r="L268" s="2642"/>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t="e">
        <v>#N/A</v>
      </c>
    </row>
    <row r="269" spans="1:63" ht="15" customHeight="1" x14ac:dyDescent="0.2">
      <c r="A269"/>
      <c r="B269" s="2636"/>
      <c r="C269" s="2637"/>
      <c r="D269" s="2638"/>
      <c r="E269" s="2639"/>
      <c r="F269" s="2640"/>
      <c r="G269" s="2641"/>
      <c r="H269" s="2641"/>
      <c r="I269" s="2641"/>
      <c r="J269" s="2641"/>
      <c r="K269" s="2641"/>
      <c r="L269" s="2642"/>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t="e">
        <v>#N/A</v>
      </c>
    </row>
    <row r="270" spans="1:63" ht="15" customHeight="1" x14ac:dyDescent="0.2">
      <c r="A270"/>
      <c r="B270" s="2636"/>
      <c r="C270" s="2637"/>
      <c r="D270" s="2638"/>
      <c r="E270" s="2639"/>
      <c r="F270" s="2640"/>
      <c r="G270" s="2641"/>
      <c r="H270" s="2641"/>
      <c r="I270" s="2641"/>
      <c r="J270" s="2641"/>
      <c r="K270" s="2641"/>
      <c r="L270" s="2642"/>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t="e">
        <v>#N/A</v>
      </c>
    </row>
    <row r="271" spans="1:63" ht="15" customHeight="1" x14ac:dyDescent="0.2">
      <c r="A271"/>
      <c r="B271" s="2636"/>
      <c r="C271" s="2637"/>
      <c r="D271" s="2638"/>
      <c r="E271" s="2639"/>
      <c r="F271" s="2640"/>
      <c r="G271" s="2641"/>
      <c r="H271" s="2641"/>
      <c r="I271" s="2641"/>
      <c r="J271" s="2641"/>
      <c r="K271" s="2641"/>
      <c r="L271" s="2642"/>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t="e">
        <v>#N/A</v>
      </c>
    </row>
    <row r="272" spans="1:63" ht="15" customHeight="1" x14ac:dyDescent="0.2">
      <c r="A272"/>
      <c r="B272" s="2636"/>
      <c r="C272" s="2637"/>
      <c r="D272" s="2638"/>
      <c r="E272" s="2639"/>
      <c r="F272" s="2640"/>
      <c r="G272" s="2641"/>
      <c r="H272" s="2641"/>
      <c r="I272" s="2641"/>
      <c r="J272" s="2641"/>
      <c r="K272" s="2641"/>
      <c r="L272" s="2642"/>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t="e">
        <v>#N/A</v>
      </c>
    </row>
    <row r="273" spans="1:63" ht="15" customHeight="1" x14ac:dyDescent="0.2">
      <c r="A273"/>
      <c r="B273" s="2636"/>
      <c r="C273" s="2637"/>
      <c r="D273" s="2638"/>
      <c r="E273" s="2639"/>
      <c r="F273" s="2640"/>
      <c r="G273" s="2641"/>
      <c r="H273" s="2641"/>
      <c r="I273" s="2641"/>
      <c r="J273" s="2641"/>
      <c r="K273" s="2641"/>
      <c r="L273" s="2642"/>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t="e">
        <v>#N/A</v>
      </c>
    </row>
    <row r="274" spans="1:63" ht="15" customHeight="1" x14ac:dyDescent="0.2">
      <c r="A274"/>
      <c r="B274" s="2636"/>
      <c r="C274" s="2637"/>
      <c r="D274" s="2638"/>
      <c r="E274" s="2639"/>
      <c r="F274" s="2640"/>
      <c r="G274" s="2641"/>
      <c r="H274" s="2641"/>
      <c r="I274" s="2641"/>
      <c r="J274" s="2641"/>
      <c r="K274" s="2641"/>
      <c r="L274" s="2642"/>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t="e">
        <v>#N/A</v>
      </c>
    </row>
    <row r="275" spans="1:63" ht="15" customHeight="1" x14ac:dyDescent="0.2">
      <c r="A275"/>
      <c r="B275" s="2636"/>
      <c r="C275" s="2637"/>
      <c r="D275" s="2638"/>
      <c r="E275" s="2639"/>
      <c r="F275" s="2640"/>
      <c r="G275" s="2641"/>
      <c r="H275" s="2641"/>
      <c r="I275" s="2641"/>
      <c r="J275" s="2641"/>
      <c r="K275" s="2641"/>
      <c r="L275" s="2642"/>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t="e">
        <v>#N/A</v>
      </c>
    </row>
    <row r="276" spans="1:63" ht="15" customHeight="1" x14ac:dyDescent="0.2">
      <c r="A276"/>
      <c r="B276" s="2636"/>
      <c r="C276" s="2637"/>
      <c r="D276" s="2638"/>
      <c r="E276" s="2639"/>
      <c r="F276" s="2640"/>
      <c r="G276" s="2641"/>
      <c r="H276" s="2641"/>
      <c r="I276" s="2641"/>
      <c r="J276" s="2641"/>
      <c r="K276" s="2641"/>
      <c r="L276" s="2642"/>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t="e">
        <v>#N/A</v>
      </c>
    </row>
    <row r="277" spans="1:63" ht="15" customHeight="1" x14ac:dyDescent="0.2">
      <c r="A277"/>
      <c r="B277" s="2636"/>
      <c r="C277" s="2637"/>
      <c r="D277" s="2638"/>
      <c r="E277" s="2639"/>
      <c r="F277" s="2640"/>
      <c r="G277" s="2641"/>
      <c r="H277" s="2641"/>
      <c r="I277" s="2641"/>
      <c r="J277" s="2641"/>
      <c r="K277" s="2641"/>
      <c r="L277" s="2642"/>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t="e">
        <v>#N/A</v>
      </c>
    </row>
    <row r="278" spans="1:63" ht="15" customHeight="1" x14ac:dyDescent="0.2">
      <c r="A278"/>
      <c r="B278" s="2636"/>
      <c r="C278" s="2637"/>
      <c r="D278" s="2638"/>
      <c r="E278" s="2639"/>
      <c r="F278" s="2640"/>
      <c r="G278" s="2641"/>
      <c r="H278" s="2641"/>
      <c r="I278" s="2641"/>
      <c r="J278" s="2641"/>
      <c r="K278" s="2641"/>
      <c r="L278" s="2642"/>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t="e">
        <v>#N/A</v>
      </c>
    </row>
    <row r="279" spans="1:63" ht="15" customHeight="1" x14ac:dyDescent="0.2">
      <c r="A279"/>
      <c r="B279" s="2636"/>
      <c r="C279" s="2637"/>
      <c r="D279" s="2638"/>
      <c r="E279" s="2639"/>
      <c r="F279" s="2640"/>
      <c r="G279" s="2641"/>
      <c r="H279" s="2641"/>
      <c r="I279" s="2641"/>
      <c r="J279" s="2641"/>
      <c r="K279" s="2641"/>
      <c r="L279" s="2642"/>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t="e">
        <v>#N/A</v>
      </c>
    </row>
    <row r="280" spans="1:63" ht="15" customHeight="1" x14ac:dyDescent="0.2">
      <c r="A280"/>
      <c r="B280" s="2636"/>
      <c r="C280" s="2637"/>
      <c r="D280" s="2638"/>
      <c r="E280" s="2639"/>
      <c r="F280" s="2640"/>
      <c r="G280" s="2641"/>
      <c r="H280" s="2641"/>
      <c r="I280" s="2641"/>
      <c r="J280" s="2641"/>
      <c r="K280" s="2641"/>
      <c r="L280" s="2642"/>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t="e">
        <v>#N/A</v>
      </c>
    </row>
    <row r="281" spans="1:63" ht="15" customHeight="1" x14ac:dyDescent="0.2">
      <c r="A281"/>
      <c r="B281" s="2636"/>
      <c r="C281" s="2637"/>
      <c r="D281" s="2638"/>
      <c r="E281" s="2639"/>
      <c r="F281" s="2640"/>
      <c r="G281" s="2641"/>
      <c r="H281" s="2641"/>
      <c r="I281" s="2641"/>
      <c r="J281" s="2641"/>
      <c r="K281" s="2641"/>
      <c r="L281" s="2642"/>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t="e">
        <v>#N/A</v>
      </c>
    </row>
    <row r="282" spans="1:63" ht="15" customHeight="1" x14ac:dyDescent="0.2">
      <c r="A282"/>
      <c r="B282" s="2636"/>
      <c r="C282" s="2637"/>
      <c r="D282" s="2638"/>
      <c r="E282" s="2639"/>
      <c r="F282" s="2640"/>
      <c r="G282" s="2641"/>
      <c r="H282" s="2641"/>
      <c r="I282" s="2641"/>
      <c r="J282" s="2641"/>
      <c r="K282" s="2641"/>
      <c r="L282" s="2642"/>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t="e">
        <v>#N/A</v>
      </c>
    </row>
    <row r="283" spans="1:63" ht="15" customHeight="1" x14ac:dyDescent="0.2">
      <c r="A283"/>
      <c r="B283" s="2636"/>
      <c r="C283" s="2637"/>
      <c r="D283" s="2638"/>
      <c r="E283" s="2639"/>
      <c r="F283" s="2640"/>
      <c r="G283" s="2641"/>
      <c r="H283" s="2641"/>
      <c r="I283" s="2641"/>
      <c r="J283" s="2641"/>
      <c r="K283" s="2641"/>
      <c r="L283" s="2642"/>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t="e">
        <v>#N/A</v>
      </c>
    </row>
    <row r="284" spans="1:63" ht="15" customHeight="1" x14ac:dyDescent="0.2">
      <c r="A284"/>
      <c r="B284" s="2636"/>
      <c r="C284" s="2637"/>
      <c r="D284" s="2638"/>
      <c r="E284" s="2639"/>
      <c r="F284" s="2640"/>
      <c r="G284" s="2641"/>
      <c r="H284" s="2641"/>
      <c r="I284" s="2641"/>
      <c r="J284" s="2641"/>
      <c r="K284" s="2641"/>
      <c r="L284" s="2642"/>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t="e">
        <v>#N/A</v>
      </c>
    </row>
    <row r="285" spans="1:63" ht="15" customHeight="1" x14ac:dyDescent="0.2">
      <c r="A285"/>
      <c r="B285" s="2636"/>
      <c r="C285" s="2637"/>
      <c r="D285" s="2638"/>
      <c r="E285" s="2639"/>
      <c r="F285" s="2640"/>
      <c r="G285" s="2641"/>
      <c r="H285" s="2641"/>
      <c r="I285" s="2641"/>
      <c r="J285" s="2641"/>
      <c r="K285" s="2641"/>
      <c r="L285" s="2642"/>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t="e">
        <v>#N/A</v>
      </c>
    </row>
    <row r="286" spans="1:63" ht="15" customHeight="1" x14ac:dyDescent="0.2">
      <c r="A286"/>
      <c r="B286" s="2636"/>
      <c r="C286" s="2637"/>
      <c r="D286" s="2638"/>
      <c r="E286" s="2639"/>
      <c r="F286" s="2640"/>
      <c r="G286" s="2641"/>
      <c r="H286" s="2641"/>
      <c r="I286" s="2641"/>
      <c r="J286" s="2641"/>
      <c r="K286" s="2641"/>
      <c r="L286" s="2642"/>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t="e">
        <v>#N/A</v>
      </c>
    </row>
    <row r="287" spans="1:63" ht="15" customHeight="1" x14ac:dyDescent="0.2">
      <c r="A287"/>
      <c r="B287" s="2636"/>
      <c r="C287" s="2637"/>
      <c r="D287" s="2638"/>
      <c r="E287" s="2639"/>
      <c r="F287" s="2640"/>
      <c r="G287" s="2641"/>
      <c r="H287" s="2641"/>
      <c r="I287" s="2641"/>
      <c r="J287" s="2641"/>
      <c r="K287" s="2641"/>
      <c r="L287" s="2642"/>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t="e">
        <v>#N/A</v>
      </c>
    </row>
    <row r="288" spans="1:63" ht="15" customHeight="1" x14ac:dyDescent="0.2">
      <c r="A288"/>
      <c r="B288" s="2636"/>
      <c r="C288" s="2637"/>
      <c r="D288" s="2638"/>
      <c r="E288" s="2639"/>
      <c r="F288" s="2640"/>
      <c r="G288" s="2641"/>
      <c r="H288" s="2641"/>
      <c r="I288" s="2641"/>
      <c r="J288" s="2641"/>
      <c r="K288" s="2641"/>
      <c r="L288" s="2642"/>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t="e">
        <v>#N/A</v>
      </c>
    </row>
    <row r="289" spans="1:63" ht="15" customHeight="1" x14ac:dyDescent="0.2">
      <c r="A289"/>
      <c r="B289" s="2636"/>
      <c r="C289" s="2637"/>
      <c r="D289" s="2638"/>
      <c r="E289" s="2639"/>
      <c r="F289" s="2640"/>
      <c r="G289" s="2641"/>
      <c r="H289" s="2641"/>
      <c r="I289" s="2641"/>
      <c r="J289" s="2641"/>
      <c r="K289" s="2641"/>
      <c r="L289" s="2642"/>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t="e">
        <v>#N/A</v>
      </c>
    </row>
    <row r="290" spans="1:63" ht="15" customHeight="1" x14ac:dyDescent="0.2">
      <c r="A290"/>
      <c r="B290" s="2636"/>
      <c r="C290" s="2637"/>
      <c r="D290" s="2638"/>
      <c r="E290" s="2639"/>
      <c r="F290" s="2640"/>
      <c r="G290" s="2641"/>
      <c r="H290" s="2641"/>
      <c r="I290" s="2641"/>
      <c r="J290" s="2641"/>
      <c r="K290" s="2641"/>
      <c r="L290" s="2642"/>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t="e">
        <v>#N/A</v>
      </c>
    </row>
    <row r="291" spans="1:63" ht="15" customHeight="1" x14ac:dyDescent="0.2">
      <c r="A291"/>
      <c r="B291" s="2636"/>
      <c r="C291" s="2637"/>
      <c r="D291" s="2638"/>
      <c r="E291" s="2639"/>
      <c r="F291" s="2640"/>
      <c r="G291" s="2641"/>
      <c r="H291" s="2641"/>
      <c r="I291" s="2641"/>
      <c r="J291" s="2641"/>
      <c r="K291" s="2641"/>
      <c r="L291" s="2642"/>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t="e">
        <v>#N/A</v>
      </c>
    </row>
    <row r="292" spans="1:63" ht="15" customHeight="1" x14ac:dyDescent="0.2">
      <c r="A292"/>
      <c r="B292" s="2636"/>
      <c r="C292" s="2637"/>
      <c r="D292" s="2638"/>
      <c r="E292" s="2639"/>
      <c r="F292" s="2640"/>
      <c r="G292" s="2641"/>
      <c r="H292" s="2641"/>
      <c r="I292" s="2641"/>
      <c r="J292" s="2641"/>
      <c r="K292" s="2641"/>
      <c r="L292" s="2642"/>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t="e">
        <v>#N/A</v>
      </c>
    </row>
    <row r="293" spans="1:63" ht="15" customHeight="1" x14ac:dyDescent="0.2">
      <c r="A293"/>
      <c r="B293" s="2636"/>
      <c r="C293" s="2637"/>
      <c r="D293" s="2638"/>
      <c r="E293" s="2639"/>
      <c r="F293" s="2640"/>
      <c r="G293" s="2641"/>
      <c r="H293" s="2641"/>
      <c r="I293" s="2641"/>
      <c r="J293" s="2641"/>
      <c r="K293" s="2641"/>
      <c r="L293" s="2642"/>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t="e">
        <v>#N/A</v>
      </c>
    </row>
    <row r="294" spans="1:63" ht="15" customHeight="1" x14ac:dyDescent="0.2">
      <c r="A294"/>
      <c r="B294" s="2636"/>
      <c r="C294" s="2637"/>
      <c r="D294" s="2638"/>
      <c r="E294" s="2639"/>
      <c r="F294" s="2640"/>
      <c r="G294" s="2641"/>
      <c r="H294" s="2641"/>
      <c r="I294" s="2641"/>
      <c r="J294" s="2641"/>
      <c r="K294" s="2641"/>
      <c r="L294" s="2642"/>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t="e">
        <v>#N/A</v>
      </c>
    </row>
    <row r="295" spans="1:63" ht="15" customHeight="1" x14ac:dyDescent="0.2">
      <c r="A295"/>
      <c r="B295" s="2636"/>
      <c r="C295" s="2637"/>
      <c r="D295" s="2638"/>
      <c r="E295" s="2639"/>
      <c r="F295" s="2640"/>
      <c r="G295" s="2641"/>
      <c r="H295" s="2641"/>
      <c r="I295" s="2641"/>
      <c r="J295" s="2641"/>
      <c r="K295" s="2641"/>
      <c r="L295" s="2642"/>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t="e">
        <v>#N/A</v>
      </c>
    </row>
    <row r="296" spans="1:63" ht="15" customHeight="1" x14ac:dyDescent="0.2">
      <c r="A296"/>
      <c r="B296" s="2636"/>
      <c r="C296" s="2637"/>
      <c r="D296" s="2638"/>
      <c r="E296" s="2639"/>
      <c r="F296" s="2640"/>
      <c r="G296" s="2641"/>
      <c r="H296" s="2641"/>
      <c r="I296" s="2641"/>
      <c r="J296" s="2641"/>
      <c r="K296" s="2641"/>
      <c r="L296" s="2642"/>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t="e">
        <v>#N/A</v>
      </c>
    </row>
    <row r="297" spans="1:63" ht="15" customHeight="1" x14ac:dyDescent="0.2">
      <c r="A297"/>
      <c r="B297" s="2636"/>
      <c r="C297" s="2637"/>
      <c r="D297" s="2638"/>
      <c r="E297" s="2639"/>
      <c r="F297" s="2640"/>
      <c r="G297" s="2641"/>
      <c r="H297" s="2641"/>
      <c r="I297" s="2641"/>
      <c r="J297" s="2641"/>
      <c r="K297" s="2641"/>
      <c r="L297" s="2642"/>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t="e">
        <v>#N/A</v>
      </c>
    </row>
    <row r="298" spans="1:63" ht="15" customHeight="1" x14ac:dyDescent="0.2">
      <c r="A298"/>
      <c r="B298" s="2636"/>
      <c r="C298" s="2637"/>
      <c r="D298" s="2638"/>
      <c r="E298" s="2639"/>
      <c r="F298" s="2640"/>
      <c r="G298" s="2641"/>
      <c r="H298" s="2641"/>
      <c r="I298" s="2641"/>
      <c r="J298" s="2641"/>
      <c r="K298" s="2641"/>
      <c r="L298" s="2642"/>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t="e">
        <v>#N/A</v>
      </c>
    </row>
    <row r="299" spans="1:63" ht="15" customHeight="1" x14ac:dyDescent="0.2">
      <c r="A299"/>
      <c r="B299" s="2636"/>
      <c r="C299" s="2637"/>
      <c r="D299" s="2638"/>
      <c r="E299" s="2639"/>
      <c r="F299" s="2640"/>
      <c r="G299" s="2641"/>
      <c r="H299" s="2641"/>
      <c r="I299" s="2641"/>
      <c r="J299" s="2641"/>
      <c r="K299" s="2641"/>
      <c r="L299" s="2642"/>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t="e">
        <v>#N/A</v>
      </c>
    </row>
    <row r="300" spans="1:63" ht="15" customHeight="1" x14ac:dyDescent="0.2">
      <c r="A300"/>
      <c r="B300" s="2636"/>
      <c r="C300" s="2637"/>
      <c r="D300" s="2638"/>
      <c r="E300" s="2639"/>
      <c r="F300" s="2640"/>
      <c r="G300" s="2641"/>
      <c r="H300" s="2641"/>
      <c r="I300" s="2641"/>
      <c r="J300" s="2641"/>
      <c r="K300" s="2641"/>
      <c r="L300" s="2642"/>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t="e">
        <v>#N/A</v>
      </c>
    </row>
    <row r="301" spans="1:63" ht="15" customHeight="1" x14ac:dyDescent="0.2">
      <c r="A301"/>
      <c r="B301" s="2636"/>
      <c r="C301" s="2637"/>
      <c r="D301" s="2638"/>
      <c r="E301" s="2639"/>
      <c r="F301" s="2640"/>
      <c r="G301" s="2641"/>
      <c r="H301" s="2641"/>
      <c r="I301" s="2641"/>
      <c r="J301" s="2641"/>
      <c r="K301" s="2641"/>
      <c r="L301" s="2642"/>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t="e">
        <v>#N/A</v>
      </c>
    </row>
    <row r="302" spans="1:63" ht="15" customHeight="1" x14ac:dyDescent="0.2">
      <c r="A302"/>
      <c r="B302" s="2636"/>
      <c r="C302" s="2637"/>
      <c r="D302" s="2638"/>
      <c r="E302" s="2639"/>
      <c r="F302" s="2640"/>
      <c r="G302" s="2641"/>
      <c r="H302" s="2641"/>
      <c r="I302" s="2641"/>
      <c r="J302" s="2641"/>
      <c r="K302" s="2641"/>
      <c r="L302" s="2642"/>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t="e">
        <v>#N/A</v>
      </c>
    </row>
    <row r="303" spans="1:63" ht="15" customHeight="1" x14ac:dyDescent="0.2">
      <c r="A303"/>
      <c r="B303" s="2636"/>
      <c r="C303" s="2637"/>
      <c r="D303" s="2638"/>
      <c r="E303" s="2639"/>
      <c r="F303" s="2640"/>
      <c r="G303" s="2641"/>
      <c r="H303" s="2641"/>
      <c r="I303" s="2641"/>
      <c r="J303" s="2641"/>
      <c r="K303" s="2641"/>
      <c r="L303" s="2642"/>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t="e">
        <v>#N/A</v>
      </c>
    </row>
    <row r="304" spans="1:63" ht="15" customHeight="1" x14ac:dyDescent="0.2">
      <c r="A304"/>
      <c r="B304" s="2636"/>
      <c r="C304" s="2637"/>
      <c r="D304" s="2638"/>
      <c r="E304" s="2639"/>
      <c r="F304" s="2640"/>
      <c r="G304" s="2641"/>
      <c r="H304" s="2641"/>
      <c r="I304" s="2641"/>
      <c r="J304" s="2641"/>
      <c r="K304" s="2641"/>
      <c r="L304" s="2642"/>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t="e">
        <v>#N/A</v>
      </c>
    </row>
    <row r="305" spans="1:63" ht="15" customHeight="1" x14ac:dyDescent="0.2">
      <c r="A305"/>
      <c r="B305" s="2636"/>
      <c r="C305" s="2637"/>
      <c r="D305" s="2638"/>
      <c r="E305" s="2639"/>
      <c r="F305" s="2640"/>
      <c r="G305" s="2641"/>
      <c r="H305" s="2641"/>
      <c r="I305" s="2641"/>
      <c r="J305" s="2641"/>
      <c r="K305" s="2641"/>
      <c r="L305" s="2642"/>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t="e">
        <v>#N/A</v>
      </c>
    </row>
    <row r="306" spans="1:63" ht="15" customHeight="1" x14ac:dyDescent="0.2">
      <c r="A306"/>
      <c r="B306" s="2636"/>
      <c r="C306" s="2637"/>
      <c r="D306" s="2638"/>
      <c r="E306" s="2639"/>
      <c r="F306" s="2640"/>
      <c r="G306" s="2641"/>
      <c r="H306" s="2641"/>
      <c r="I306" s="2641"/>
      <c r="J306" s="2641"/>
      <c r="K306" s="2641"/>
      <c r="L306" s="2642"/>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t="e">
        <v>#N/A</v>
      </c>
    </row>
    <row r="307" spans="1:63" ht="15" customHeight="1" x14ac:dyDescent="0.2">
      <c r="A307"/>
      <c r="B307" s="2636"/>
      <c r="C307" s="2637"/>
      <c r="D307" s="2638"/>
      <c r="E307" s="2639"/>
      <c r="F307" s="2640"/>
      <c r="G307" s="2641"/>
      <c r="H307" s="2641"/>
      <c r="I307" s="2641"/>
      <c r="J307" s="2641"/>
      <c r="K307" s="2641"/>
      <c r="L307" s="2642"/>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t="e">
        <v>#N/A</v>
      </c>
    </row>
    <row r="308" spans="1:63" ht="15" customHeight="1" x14ac:dyDescent="0.2">
      <c r="A308"/>
      <c r="B308" s="2636"/>
      <c r="C308" s="2637"/>
      <c r="D308" s="2638"/>
      <c r="E308" s="2639"/>
      <c r="F308" s="2640"/>
      <c r="G308" s="2641"/>
      <c r="H308" s="2641"/>
      <c r="I308" s="2641"/>
      <c r="J308" s="2641"/>
      <c r="K308" s="2641"/>
      <c r="L308" s="2642"/>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t="e">
        <v>#N/A</v>
      </c>
    </row>
    <row r="309" spans="1:63" ht="15" customHeight="1" x14ac:dyDescent="0.2">
      <c r="A309"/>
      <c r="B309" s="2636"/>
      <c r="C309" s="2637"/>
      <c r="D309" s="2638"/>
      <c r="E309" s="2639"/>
      <c r="F309" s="2640"/>
      <c r="G309" s="2641"/>
      <c r="H309" s="2641"/>
      <c r="I309" s="2641"/>
      <c r="J309" s="2641"/>
      <c r="K309" s="2641"/>
      <c r="L309" s="2642"/>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t="e">
        <v>#N/A</v>
      </c>
    </row>
    <row r="310" spans="1:63" ht="15" customHeight="1" x14ac:dyDescent="0.2">
      <c r="A310"/>
      <c r="B310" s="2636"/>
      <c r="C310" s="2637"/>
      <c r="D310" s="2638"/>
      <c r="E310" s="2639"/>
      <c r="F310" s="2640"/>
      <c r="G310" s="2641"/>
      <c r="H310" s="2641"/>
      <c r="I310" s="2641"/>
      <c r="J310" s="2641"/>
      <c r="K310" s="2641"/>
      <c r="L310" s="2642"/>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t="e">
        <v>#N/A</v>
      </c>
    </row>
    <row r="311" spans="1:63" ht="15" customHeight="1" x14ac:dyDescent="0.2">
      <c r="A311"/>
      <c r="B311" s="2636"/>
      <c r="C311" s="2637"/>
      <c r="D311" s="2638"/>
      <c r="E311" s="2639"/>
      <c r="F311" s="2640"/>
      <c r="G311" s="2641"/>
      <c r="H311" s="2641"/>
      <c r="I311" s="2641"/>
      <c r="J311" s="2641"/>
      <c r="K311" s="2641"/>
      <c r="L311" s="2642"/>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t="e">
        <v>#N/A</v>
      </c>
    </row>
    <row r="312" spans="1:63" ht="15" customHeight="1" x14ac:dyDescent="0.2">
      <c r="A312"/>
      <c r="B312" s="2636"/>
      <c r="C312" s="2637"/>
      <c r="D312" s="2638"/>
      <c r="E312" s="2639"/>
      <c r="F312" s="2640"/>
      <c r="G312" s="2641"/>
      <c r="H312" s="2641"/>
      <c r="I312" s="2641"/>
      <c r="J312" s="2641"/>
      <c r="K312" s="2641"/>
      <c r="L312" s="2642"/>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t="e">
        <v>#N/A</v>
      </c>
    </row>
    <row r="313" spans="1:63" ht="15" customHeight="1" x14ac:dyDescent="0.2">
      <c r="A313"/>
      <c r="B313" s="2636"/>
      <c r="C313" s="2637"/>
      <c r="D313" s="2638"/>
      <c r="E313" s="2639"/>
      <c r="F313" s="2640"/>
      <c r="G313" s="2641"/>
      <c r="H313" s="2641"/>
      <c r="I313" s="2641"/>
      <c r="J313" s="2641"/>
      <c r="K313" s="2641"/>
      <c r="L313" s="2642"/>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t="e">
        <v>#N/A</v>
      </c>
    </row>
    <row r="314" spans="1:63" ht="15" customHeight="1" x14ac:dyDescent="0.2">
      <c r="A314"/>
      <c r="B314" s="2636"/>
      <c r="C314" s="2637"/>
      <c r="D314" s="2638"/>
      <c r="E314" s="2639"/>
      <c r="F314" s="2640"/>
      <c r="G314" s="2641"/>
      <c r="H314" s="2641"/>
      <c r="I314" s="2641"/>
      <c r="J314" s="2641"/>
      <c r="K314" s="2641"/>
      <c r="L314" s="2642"/>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t="e">
        <v>#N/A</v>
      </c>
    </row>
    <row r="315" spans="1:63" ht="15" customHeight="1" x14ac:dyDescent="0.2">
      <c r="A315"/>
      <c r="B315" s="2636"/>
      <c r="C315" s="2637"/>
      <c r="D315" s="2638"/>
      <c r="E315" s="2639"/>
      <c r="F315" s="2640"/>
      <c r="G315" s="2641"/>
      <c r="H315" s="2641"/>
      <c r="I315" s="2641"/>
      <c r="J315" s="2641"/>
      <c r="K315" s="2641"/>
      <c r="L315" s="2642"/>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t="e">
        <v>#N/A</v>
      </c>
    </row>
    <row r="316" spans="1:63" ht="15" customHeight="1" x14ac:dyDescent="0.2">
      <c r="A316"/>
      <c r="B316" s="2636"/>
      <c r="C316" s="2637"/>
      <c r="D316" s="2638"/>
      <c r="E316" s="2639"/>
      <c r="F316" s="2640"/>
      <c r="G316" s="2641"/>
      <c r="H316" s="2641"/>
      <c r="I316" s="2641"/>
      <c r="J316" s="2641"/>
      <c r="K316" s="2641"/>
      <c r="L316" s="2642"/>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t="e">
        <v>#N/A</v>
      </c>
    </row>
    <row r="317" spans="1:63" ht="15" customHeight="1" x14ac:dyDescent="0.2">
      <c r="A317"/>
      <c r="B317" s="2636"/>
      <c r="C317" s="2637"/>
      <c r="D317" s="2638"/>
      <c r="E317" s="2639"/>
      <c r="F317" s="2640"/>
      <c r="G317" s="2641"/>
      <c r="H317" s="2641"/>
      <c r="I317" s="2641"/>
      <c r="J317" s="2641"/>
      <c r="K317" s="2641"/>
      <c r="L317" s="2642"/>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t="e">
        <v>#N/A</v>
      </c>
    </row>
    <row r="318" spans="1:63" ht="15" customHeight="1" x14ac:dyDescent="0.2">
      <c r="A318"/>
      <c r="B318" s="2636"/>
      <c r="C318" s="2637"/>
      <c r="D318" s="2638"/>
      <c r="E318" s="2639"/>
      <c r="F318" s="2640"/>
      <c r="G318" s="2641"/>
      <c r="H318" s="2641"/>
      <c r="I318" s="2641"/>
      <c r="J318" s="2641"/>
      <c r="K318" s="2641"/>
      <c r="L318" s="2642"/>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t="e">
        <v>#N/A</v>
      </c>
    </row>
    <row r="319" spans="1:63" ht="15" customHeight="1" x14ac:dyDescent="0.2">
      <c r="A319"/>
      <c r="B319" s="2636"/>
      <c r="C319" s="2637"/>
      <c r="D319" s="2638"/>
      <c r="E319" s="2639"/>
      <c r="F319" s="2640"/>
      <c r="G319" s="2641"/>
      <c r="H319" s="2641"/>
      <c r="I319" s="2641"/>
      <c r="J319" s="2641"/>
      <c r="K319" s="2641"/>
      <c r="L319" s="2642"/>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t="e">
        <v>#N/A</v>
      </c>
    </row>
    <row r="320" spans="1:63" ht="15" customHeight="1" x14ac:dyDescent="0.2">
      <c r="A320"/>
      <c r="B320" s="2636"/>
      <c r="C320" s="2637"/>
      <c r="D320" s="2638"/>
      <c r="E320" s="2639"/>
      <c r="F320" s="2640"/>
      <c r="G320" s="2641"/>
      <c r="H320" s="2641"/>
      <c r="I320" s="2641"/>
      <c r="J320" s="2641"/>
      <c r="K320" s="2641"/>
      <c r="L320" s="2642"/>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t="e">
        <v>#N/A</v>
      </c>
    </row>
    <row r="321" spans="1:63" ht="15" customHeight="1" x14ac:dyDescent="0.2">
      <c r="A321"/>
      <c r="B321" s="2636"/>
      <c r="C321" s="2637"/>
      <c r="D321" s="2638"/>
      <c r="E321" s="2639"/>
      <c r="F321" s="2640"/>
      <c r="G321" s="2641"/>
      <c r="H321" s="2641"/>
      <c r="I321" s="2641"/>
      <c r="J321" s="2641"/>
      <c r="K321" s="2641"/>
      <c r="L321" s="2642"/>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t="e">
        <v>#N/A</v>
      </c>
    </row>
    <row r="322" spans="1:63" ht="15" customHeight="1" x14ac:dyDescent="0.2">
      <c r="A322"/>
      <c r="B322" s="2636"/>
      <c r="C322" s="2637"/>
      <c r="D322" s="2638"/>
      <c r="E322" s="2639"/>
      <c r="F322" s="2640"/>
      <c r="G322" s="2641"/>
      <c r="H322" s="2641"/>
      <c r="I322" s="2641"/>
      <c r="J322" s="2641"/>
      <c r="K322" s="2641"/>
      <c r="L322" s="2642"/>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t="e">
        <v>#N/A</v>
      </c>
    </row>
    <row r="323" spans="1:63" ht="15" customHeight="1" x14ac:dyDescent="0.2">
      <c r="A323"/>
      <c r="B323" s="2636"/>
      <c r="C323" s="2637"/>
      <c r="D323" s="2638"/>
      <c r="E323" s="2639"/>
      <c r="F323" s="2640"/>
      <c r="G323" s="2641"/>
      <c r="H323" s="2641"/>
      <c r="I323" s="2641"/>
      <c r="J323" s="2641"/>
      <c r="K323" s="2641"/>
      <c r="L323" s="2642"/>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t="e">
        <v>#N/A</v>
      </c>
    </row>
    <row r="324" spans="1:63" ht="15" customHeight="1" x14ac:dyDescent="0.2">
      <c r="A324"/>
      <c r="B324" s="2636"/>
      <c r="C324" s="2637"/>
      <c r="D324" s="2638"/>
      <c r="E324" s="2639"/>
      <c r="F324" s="2640"/>
      <c r="G324" s="2641"/>
      <c r="H324" s="2641"/>
      <c r="I324" s="2641"/>
      <c r="J324" s="2641"/>
      <c r="K324" s="2641"/>
      <c r="L324" s="2642"/>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t="e">
        <v>#N/A</v>
      </c>
    </row>
    <row r="325" spans="1:63" ht="15" customHeight="1" x14ac:dyDescent="0.2">
      <c r="A325"/>
      <c r="B325" s="2636"/>
      <c r="C325" s="2637"/>
      <c r="D325" s="2638"/>
      <c r="E325" s="2639"/>
      <c r="F325" s="2640"/>
      <c r="G325" s="2641"/>
      <c r="H325" s="2641"/>
      <c r="I325" s="2641"/>
      <c r="J325" s="2641"/>
      <c r="K325" s="2641"/>
      <c r="L325" s="2642"/>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t="e">
        <v>#N/A</v>
      </c>
    </row>
    <row r="326" spans="1:63" ht="15" customHeight="1" x14ac:dyDescent="0.2">
      <c r="A326"/>
      <c r="B326" s="2636"/>
      <c r="C326" s="2637"/>
      <c r="D326" s="2638"/>
      <c r="E326" s="2639"/>
      <c r="F326" s="2640"/>
      <c r="G326" s="2641"/>
      <c r="H326" s="2641"/>
      <c r="I326" s="2641"/>
      <c r="J326" s="2641"/>
      <c r="K326" s="2641"/>
      <c r="L326" s="2642"/>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t="e">
        <v>#N/A</v>
      </c>
    </row>
    <row r="327" spans="1:63" ht="15" customHeight="1" x14ac:dyDescent="0.2">
      <c r="A327"/>
      <c r="B327" s="2636"/>
      <c r="C327" s="2637"/>
      <c r="D327" s="2638"/>
      <c r="E327" s="2639"/>
      <c r="F327" s="2640"/>
      <c r="G327" s="2641"/>
      <c r="H327" s="2641"/>
      <c r="I327" s="2641"/>
      <c r="J327" s="2641"/>
      <c r="K327" s="2641"/>
      <c r="L327" s="2642"/>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t="e">
        <v>#N/A</v>
      </c>
    </row>
    <row r="328" spans="1:63" ht="15" customHeight="1" x14ac:dyDescent="0.2">
      <c r="A328"/>
      <c r="B328" s="2636"/>
      <c r="C328" s="2637"/>
      <c r="D328" s="2638"/>
      <c r="E328" s="2639"/>
      <c r="F328" s="2640"/>
      <c r="G328" s="2641"/>
      <c r="H328" s="2641"/>
      <c r="I328" s="2641"/>
      <c r="J328" s="2641"/>
      <c r="K328" s="2641"/>
      <c r="L328" s="2642"/>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t="e">
        <v>#N/A</v>
      </c>
    </row>
    <row r="329" spans="1:63" ht="15" customHeight="1" x14ac:dyDescent="0.2">
      <c r="A329"/>
      <c r="B329" s="2636"/>
      <c r="C329" s="2637"/>
      <c r="D329" s="2638"/>
      <c r="E329" s="2639"/>
      <c r="F329" s="2640"/>
      <c r="G329" s="2641"/>
      <c r="H329" s="2641"/>
      <c r="I329" s="2641"/>
      <c r="J329" s="2641"/>
      <c r="K329" s="2641"/>
      <c r="L329" s="2642"/>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t="e">
        <v>#N/A</v>
      </c>
    </row>
    <row r="330" spans="1:63" ht="15" customHeight="1" x14ac:dyDescent="0.2">
      <c r="A330"/>
      <c r="B330" s="2636"/>
      <c r="C330" s="2637"/>
      <c r="D330" s="2638"/>
      <c r="E330" s="2639"/>
      <c r="F330" s="2640"/>
      <c r="G330" s="2641"/>
      <c r="H330" s="2641"/>
      <c r="I330" s="2641"/>
      <c r="J330" s="2641"/>
      <c r="K330" s="2641"/>
      <c r="L330" s="2642"/>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t="e">
        <v>#N/A</v>
      </c>
    </row>
    <row r="331" spans="1:63" ht="15" customHeight="1" x14ac:dyDescent="0.2">
      <c r="A331"/>
      <c r="B331" s="2636"/>
      <c r="C331" s="2637"/>
      <c r="D331" s="2638"/>
      <c r="E331" s="2639"/>
      <c r="F331" s="2640"/>
      <c r="G331" s="2641"/>
      <c r="H331" s="2641"/>
      <c r="I331" s="2641"/>
      <c r="J331" s="2641"/>
      <c r="K331" s="2641"/>
      <c r="L331" s="2642"/>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t="e">
        <v>#N/A</v>
      </c>
    </row>
    <row r="332" spans="1:63" ht="15" customHeight="1" x14ac:dyDescent="0.2">
      <c r="A332"/>
      <c r="B332" s="2636"/>
      <c r="C332" s="2637"/>
      <c r="D332" s="2638"/>
      <c r="E332" s="2639"/>
      <c r="F332" s="2640"/>
      <c r="G332" s="2641"/>
      <c r="H332" s="2641"/>
      <c r="I332" s="2641"/>
      <c r="J332" s="2641"/>
      <c r="K332" s="2641"/>
      <c r="L332" s="2642"/>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t="e">
        <v>#N/A</v>
      </c>
    </row>
    <row r="333" spans="1:63" ht="15" customHeight="1" x14ac:dyDescent="0.2">
      <c r="A333"/>
      <c r="B333" s="2636"/>
      <c r="C333" s="2637"/>
      <c r="D333" s="2638"/>
      <c r="E333" s="2639"/>
      <c r="F333" s="2640"/>
      <c r="G333" s="2641"/>
      <c r="H333" s="2641"/>
      <c r="I333" s="2641"/>
      <c r="J333" s="2641"/>
      <c r="K333" s="2641"/>
      <c r="L333" s="2642"/>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t="e">
        <v>#N/A</v>
      </c>
    </row>
    <row r="334" spans="1:63" ht="15" customHeight="1" x14ac:dyDescent="0.2">
      <c r="A334"/>
      <c r="B334" s="2636"/>
      <c r="C334" s="2637"/>
      <c r="D334" s="2638"/>
      <c r="E334" s="2639"/>
      <c r="F334" s="2640"/>
      <c r="G334" s="2641"/>
      <c r="H334" s="2641"/>
      <c r="I334" s="2641"/>
      <c r="J334" s="2641"/>
      <c r="K334" s="2641"/>
      <c r="L334" s="2642"/>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t="e">
        <v>#N/A</v>
      </c>
    </row>
    <row r="335" spans="1:63" ht="15" customHeight="1" x14ac:dyDescent="0.2">
      <c r="A335"/>
      <c r="B335" s="2636"/>
      <c r="C335" s="2637"/>
      <c r="D335" s="2638"/>
      <c r="E335" s="2639"/>
      <c r="F335" s="2640"/>
      <c r="G335" s="2641"/>
      <c r="H335" s="2641"/>
      <c r="I335" s="2641"/>
      <c r="J335" s="2641"/>
      <c r="K335" s="2641"/>
      <c r="L335" s="2642"/>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t="e">
        <v>#N/A</v>
      </c>
    </row>
    <row r="336" spans="1:63" ht="15" customHeight="1" x14ac:dyDescent="0.2">
      <c r="A336"/>
      <c r="B336" s="2636"/>
      <c r="C336" s="2637"/>
      <c r="D336" s="2638"/>
      <c r="E336" s="2639"/>
      <c r="F336" s="2640"/>
      <c r="G336" s="2641"/>
      <c r="H336" s="2641"/>
      <c r="I336" s="2641"/>
      <c r="J336" s="2641"/>
      <c r="K336" s="2641"/>
      <c r="L336" s="2642"/>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t="e">
        <v>#N/A</v>
      </c>
    </row>
    <row r="337" spans="1:63" ht="15" customHeight="1" x14ac:dyDescent="0.2">
      <c r="A337"/>
      <c r="B337" s="2636"/>
      <c r="C337" s="2637"/>
      <c r="D337" s="2638"/>
      <c r="E337" s="2639"/>
      <c r="F337" s="2640"/>
      <c r="G337" s="2641"/>
      <c r="H337" s="2641"/>
      <c r="I337" s="2641"/>
      <c r="J337" s="2641"/>
      <c r="K337" s="2641"/>
      <c r="L337" s="2642"/>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t="e">
        <v>#N/A</v>
      </c>
    </row>
    <row r="338" spans="1:63" ht="15" customHeight="1" x14ac:dyDescent="0.2">
      <c r="A338"/>
      <c r="B338" s="2636"/>
      <c r="C338" s="2637"/>
      <c r="D338" s="2638"/>
      <c r="E338" s="2639"/>
      <c r="F338" s="2640"/>
      <c r="G338" s="2641"/>
      <c r="H338" s="2641"/>
      <c r="I338" s="2641"/>
      <c r="J338" s="2641"/>
      <c r="K338" s="2641"/>
      <c r="L338" s="2642"/>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t="e">
        <v>#N/A</v>
      </c>
    </row>
    <row r="339" spans="1:63" ht="15" customHeight="1" x14ac:dyDescent="0.2">
      <c r="A339"/>
      <c r="B339" s="2636"/>
      <c r="C339" s="2637"/>
      <c r="D339" s="2638"/>
      <c r="E339" s="2639"/>
      <c r="F339" s="2640"/>
      <c r="G339" s="2641"/>
      <c r="H339" s="2641"/>
      <c r="I339" s="2641"/>
      <c r="J339" s="2641"/>
      <c r="K339" s="2641"/>
      <c r="L339" s="2642"/>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t="e">
        <v>#N/A</v>
      </c>
    </row>
    <row r="340" spans="1:63" ht="15" customHeight="1" x14ac:dyDescent="0.2">
      <c r="A340"/>
      <c r="B340" s="2636"/>
      <c r="C340" s="2637"/>
      <c r="D340" s="2638"/>
      <c r="E340" s="2639"/>
      <c r="F340" s="2640"/>
      <c r="G340" s="2641"/>
      <c r="H340" s="2641"/>
      <c r="I340" s="2641"/>
      <c r="J340" s="2641"/>
      <c r="K340" s="2641"/>
      <c r="L340" s="2642"/>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t="e">
        <v>#N/A</v>
      </c>
    </row>
    <row r="341" spans="1:63" ht="15" customHeight="1" x14ac:dyDescent="0.2">
      <c r="A341"/>
      <c r="B341" s="2636"/>
      <c r="C341" s="2637"/>
      <c r="D341" s="2638"/>
      <c r="E341" s="2639"/>
      <c r="F341" s="2640"/>
      <c r="G341" s="2641"/>
      <c r="H341" s="2641"/>
      <c r="I341" s="2641"/>
      <c r="J341" s="2641"/>
      <c r="K341" s="2641"/>
      <c r="L341" s="2642"/>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t="e">
        <v>#N/A</v>
      </c>
    </row>
    <row r="342" spans="1:63" ht="15" customHeight="1" x14ac:dyDescent="0.2">
      <c r="A342"/>
      <c r="B342" s="2636"/>
      <c r="C342" s="2637"/>
      <c r="D342" s="2638"/>
      <c r="E342" s="2639"/>
      <c r="F342" s="2640"/>
      <c r="G342" s="2641"/>
      <c r="H342" s="2641"/>
      <c r="I342" s="2641"/>
      <c r="J342" s="2641"/>
      <c r="K342" s="2641"/>
      <c r="L342" s="2642"/>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t="e">
        <v>#N/A</v>
      </c>
    </row>
    <row r="343" spans="1:63" ht="15" customHeight="1" x14ac:dyDescent="0.2">
      <c r="A343"/>
      <c r="B343" s="2636"/>
      <c r="C343" s="2637"/>
      <c r="D343" s="2638"/>
      <c r="E343" s="2639"/>
      <c r="F343" s="2640"/>
      <c r="G343" s="2641"/>
      <c r="H343" s="2641"/>
      <c r="I343" s="2641"/>
      <c r="J343" s="2641"/>
      <c r="K343" s="2641"/>
      <c r="L343" s="2642"/>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t="e">
        <v>#N/A</v>
      </c>
    </row>
    <row r="344" spans="1:63" ht="15" customHeight="1" x14ac:dyDescent="0.2">
      <c r="A344"/>
      <c r="B344" s="2636"/>
      <c r="C344" s="2637"/>
      <c r="D344" s="2638"/>
      <c r="E344" s="2639"/>
      <c r="F344" s="2640"/>
      <c r="G344" s="2641"/>
      <c r="H344" s="2641"/>
      <c r="I344" s="2641"/>
      <c r="J344" s="2641"/>
      <c r="K344" s="2641"/>
      <c r="L344" s="2642"/>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t="e">
        <v>#N/A</v>
      </c>
    </row>
    <row r="345" spans="1:63" ht="15" customHeight="1" x14ac:dyDescent="0.2">
      <c r="A345"/>
      <c r="B345" s="2636"/>
      <c r="C345" s="2637"/>
      <c r="D345" s="2638"/>
      <c r="E345" s="2639"/>
      <c r="F345" s="2640"/>
      <c r="G345" s="2641"/>
      <c r="H345" s="2641"/>
      <c r="I345" s="2641"/>
      <c r="J345" s="2641"/>
      <c r="K345" s="2641"/>
      <c r="L345" s="2642"/>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t="e">
        <v>#N/A</v>
      </c>
    </row>
    <row r="346" spans="1:63" ht="15" customHeight="1" x14ac:dyDescent="0.2">
      <c r="A346"/>
      <c r="B346" s="2636"/>
      <c r="C346" s="2637"/>
      <c r="D346" s="2638"/>
      <c r="E346" s="2639"/>
      <c r="F346" s="2640"/>
      <c r="G346" s="2641"/>
      <c r="H346" s="2641"/>
      <c r="I346" s="2641"/>
      <c r="J346" s="2641"/>
      <c r="K346" s="2641"/>
      <c r="L346" s="2642"/>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t="e">
        <v>#N/A</v>
      </c>
    </row>
    <row r="347" spans="1:63" ht="15" customHeight="1" x14ac:dyDescent="0.2">
      <c r="A347"/>
      <c r="B347" s="2636"/>
      <c r="C347" s="2637"/>
      <c r="D347" s="2638"/>
      <c r="E347" s="2639"/>
      <c r="F347" s="2640"/>
      <c r="G347" s="2641"/>
      <c r="H347" s="2641"/>
      <c r="I347" s="2641"/>
      <c r="J347" s="2641"/>
      <c r="K347" s="2641"/>
      <c r="L347" s="2642"/>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t="e">
        <v>#N/A</v>
      </c>
    </row>
    <row r="348" spans="1:63" ht="15" customHeight="1" x14ac:dyDescent="0.2">
      <c r="A348"/>
      <c r="B348" s="2636"/>
      <c r="C348" s="2637"/>
      <c r="D348" s="2638"/>
      <c r="E348" s="2639"/>
      <c r="F348" s="2640"/>
      <c r="G348" s="2641"/>
      <c r="H348" s="2641"/>
      <c r="I348" s="2641"/>
      <c r="J348" s="2641"/>
      <c r="K348" s="2641"/>
      <c r="L348" s="2642"/>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t="e">
        <v>#N/A</v>
      </c>
    </row>
    <row r="349" spans="1:63" ht="15" customHeight="1" x14ac:dyDescent="0.2">
      <c r="A349"/>
      <c r="B349" s="2636"/>
      <c r="C349" s="2637"/>
      <c r="D349" s="2638"/>
      <c r="E349" s="2639"/>
      <c r="F349" s="2640"/>
      <c r="G349" s="2641"/>
      <c r="H349" s="2641"/>
      <c r="I349" s="2641"/>
      <c r="J349" s="2641"/>
      <c r="K349" s="2641"/>
      <c r="L349" s="2642"/>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t="e">
        <v>#N/A</v>
      </c>
    </row>
    <row r="350" spans="1:63" ht="15" customHeight="1" x14ac:dyDescent="0.2">
      <c r="A350"/>
      <c r="B350" s="2636"/>
      <c r="C350" s="2637"/>
      <c r="D350" s="2638"/>
      <c r="E350" s="2639"/>
      <c r="F350" s="2640"/>
      <c r="G350" s="2641"/>
      <c r="H350" s="2641"/>
      <c r="I350" s="2641"/>
      <c r="J350" s="2641"/>
      <c r="K350" s="2641"/>
      <c r="L350" s="2642"/>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t="e">
        <v>#N/A</v>
      </c>
    </row>
    <row r="351" spans="1:63" ht="15" customHeight="1" x14ac:dyDescent="0.2">
      <c r="A351"/>
      <c r="B351" s="2636"/>
      <c r="C351" s="2637"/>
      <c r="D351" s="2638"/>
      <c r="E351" s="2639"/>
      <c r="F351" s="2640"/>
      <c r="G351" s="2641"/>
      <c r="H351" s="2641"/>
      <c r="I351" s="2641"/>
      <c r="J351" s="2641"/>
      <c r="K351" s="2641"/>
      <c r="L351" s="2642"/>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t="e">
        <v>#N/A</v>
      </c>
    </row>
    <row r="352" spans="1:63" ht="15" customHeight="1" x14ac:dyDescent="0.2">
      <c r="A352"/>
      <c r="B352" s="2636"/>
      <c r="C352" s="2637"/>
      <c r="D352" s="2638"/>
      <c r="E352" s="2639"/>
      <c r="F352" s="2640"/>
      <c r="G352" s="2641"/>
      <c r="H352" s="2641"/>
      <c r="I352" s="2641"/>
      <c r="J352" s="2641"/>
      <c r="K352" s="2641"/>
      <c r="L352" s="2642"/>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t="e">
        <v>#N/A</v>
      </c>
    </row>
    <row r="353" spans="1:63" ht="15" customHeight="1" x14ac:dyDescent="0.2">
      <c r="A353"/>
      <c r="B353" s="2636"/>
      <c r="C353" s="2637"/>
      <c r="D353" s="2638"/>
      <c r="E353" s="2639"/>
      <c r="F353" s="2640"/>
      <c r="G353" s="2641"/>
      <c r="H353" s="2641"/>
      <c r="I353" s="2641"/>
      <c r="J353" s="2641"/>
      <c r="K353" s="2641"/>
      <c r="L353" s="2642"/>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t="e">
        <v>#N/A</v>
      </c>
    </row>
    <row r="354" spans="1:63" ht="15" customHeight="1" x14ac:dyDescent="0.2">
      <c r="A354"/>
      <c r="B354" s="2636"/>
      <c r="C354" s="2637"/>
      <c r="D354" s="2638"/>
      <c r="E354" s="2639"/>
      <c r="F354" s="2640"/>
      <c r="G354" s="2641"/>
      <c r="H354" s="2641"/>
      <c r="I354" s="2641"/>
      <c r="J354" s="2641"/>
      <c r="K354" s="2641"/>
      <c r="L354" s="2642"/>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t="e">
        <v>#N/A</v>
      </c>
    </row>
    <row r="355" spans="1:63" ht="15" customHeight="1" x14ac:dyDescent="0.2">
      <c r="A355"/>
      <c r="B355" s="2636"/>
      <c r="C355" s="2637"/>
      <c r="D355" s="2638"/>
      <c r="E355" s="2639"/>
      <c r="F355" s="2640"/>
      <c r="G355" s="2641"/>
      <c r="H355" s="2641"/>
      <c r="I355" s="2641"/>
      <c r="J355" s="2641"/>
      <c r="K355" s="2641"/>
      <c r="L355" s="2642"/>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t="e">
        <v>#N/A</v>
      </c>
    </row>
    <row r="356" spans="1:63" ht="15" customHeight="1" x14ac:dyDescent="0.2">
      <c r="A356"/>
      <c r="B356" s="2636"/>
      <c r="C356" s="2637"/>
      <c r="D356" s="2638"/>
      <c r="E356" s="2639"/>
      <c r="F356" s="2640"/>
      <c r="G356" s="2641"/>
      <c r="H356" s="2641"/>
      <c r="I356" s="2641"/>
      <c r="J356" s="2641"/>
      <c r="K356" s="2641"/>
      <c r="L356" s="2642"/>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t="e">
        <v>#N/A</v>
      </c>
    </row>
    <row r="357" spans="1:63" ht="15" customHeight="1" x14ac:dyDescent="0.2">
      <c r="A357"/>
      <c r="B357" s="2636"/>
      <c r="C357" s="2637"/>
      <c r="D357" s="2638"/>
      <c r="E357" s="2639"/>
      <c r="F357" s="2640"/>
      <c r="G357" s="2641"/>
      <c r="H357" s="2641"/>
      <c r="I357" s="2641"/>
      <c r="J357" s="2641"/>
      <c r="K357" s="2641"/>
      <c r="L357" s="2642"/>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t="e">
        <v>#N/A</v>
      </c>
    </row>
    <row r="358" spans="1:63" ht="15" customHeight="1" x14ac:dyDescent="0.2">
      <c r="A358"/>
      <c r="B358" s="2636"/>
      <c r="C358" s="2637"/>
      <c r="D358" s="2638"/>
      <c r="E358" s="2639"/>
      <c r="F358" s="2640"/>
      <c r="G358" s="2641"/>
      <c r="H358" s="2641"/>
      <c r="I358" s="2641"/>
      <c r="J358" s="2641"/>
      <c r="K358" s="2641"/>
      <c r="L358" s="2642"/>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t="e">
        <v>#N/A</v>
      </c>
    </row>
    <row r="359" spans="1:63" ht="15" customHeight="1" x14ac:dyDescent="0.2">
      <c r="A359"/>
      <c r="B359" s="2636"/>
      <c r="C359" s="2637"/>
      <c r="D359" s="2638"/>
      <c r="E359" s="2639"/>
      <c r="F359" s="2640"/>
      <c r="G359" s="2641"/>
      <c r="H359" s="2641"/>
      <c r="I359" s="2641"/>
      <c r="J359" s="2641"/>
      <c r="K359" s="2641"/>
      <c r="L359" s="2642"/>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t="e">
        <v>#N/A</v>
      </c>
    </row>
    <row r="360" spans="1:63" ht="15" customHeight="1" x14ac:dyDescent="0.2">
      <c r="A360"/>
      <c r="B360" s="2636"/>
      <c r="C360" s="2637"/>
      <c r="D360" s="2638"/>
      <c r="E360" s="2639"/>
      <c r="F360" s="2640"/>
      <c r="G360" s="2641"/>
      <c r="H360" s="2641"/>
      <c r="I360" s="2641"/>
      <c r="J360" s="2641"/>
      <c r="K360" s="2641"/>
      <c r="L360" s="2642"/>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t="e">
        <v>#N/A</v>
      </c>
    </row>
    <row r="361" spans="1:63" ht="15" customHeight="1" x14ac:dyDescent="0.2">
      <c r="A361"/>
      <c r="B361" s="2636"/>
      <c r="C361" s="2637"/>
      <c r="D361" s="2638"/>
      <c r="E361" s="2639"/>
      <c r="F361" s="2640"/>
      <c r="G361" s="2641"/>
      <c r="H361" s="2641"/>
      <c r="I361" s="2641"/>
      <c r="J361" s="2641"/>
      <c r="K361" s="2641"/>
      <c r="L361" s="2642"/>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t="e">
        <v>#N/A</v>
      </c>
    </row>
    <row r="362" spans="1:63" ht="15" customHeight="1" x14ac:dyDescent="0.2">
      <c r="A362"/>
      <c r="B362" s="2636"/>
      <c r="C362" s="2637"/>
      <c r="D362" s="2638"/>
      <c r="E362" s="2639"/>
      <c r="F362" s="2640"/>
      <c r="G362" s="2641"/>
      <c r="H362" s="2641"/>
      <c r="I362" s="2641"/>
      <c r="J362" s="2641"/>
      <c r="K362" s="2641"/>
      <c r="L362" s="2642"/>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t="e">
        <v>#N/A</v>
      </c>
    </row>
    <row r="363" spans="1:63" ht="15" customHeight="1" x14ac:dyDescent="0.2">
      <c r="A363"/>
      <c r="B363" s="2636"/>
      <c r="C363" s="2637"/>
      <c r="D363" s="2638"/>
      <c r="E363" s="2639"/>
      <c r="F363" s="2640"/>
      <c r="G363" s="2641"/>
      <c r="H363" s="2641"/>
      <c r="I363" s="2641"/>
      <c r="J363" s="2641"/>
      <c r="K363" s="2641"/>
      <c r="L363" s="2642"/>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t="e">
        <v>#N/A</v>
      </c>
    </row>
    <row r="364" spans="1:63" ht="15" customHeight="1" x14ac:dyDescent="0.2">
      <c r="A364"/>
      <c r="B364" s="2636"/>
      <c r="C364" s="2637"/>
      <c r="D364" s="2638"/>
      <c r="E364" s="2639"/>
      <c r="F364" s="2640"/>
      <c r="G364" s="2641"/>
      <c r="H364" s="2641"/>
      <c r="I364" s="2641"/>
      <c r="J364" s="2641"/>
      <c r="K364" s="2641"/>
      <c r="L364" s="2642"/>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t="e">
        <v>#N/A</v>
      </c>
    </row>
    <row r="365" spans="1:63" ht="15" customHeight="1" x14ac:dyDescent="0.2">
      <c r="A365"/>
      <c r="B365" s="2636"/>
      <c r="C365" s="2637"/>
      <c r="D365" s="2638"/>
      <c r="E365" s="2639"/>
      <c r="F365" s="2640"/>
      <c r="G365" s="2641"/>
      <c r="H365" s="2641"/>
      <c r="I365" s="2641"/>
      <c r="J365" s="2641"/>
      <c r="K365" s="2641"/>
      <c r="L365" s="2642"/>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t="e">
        <v>#N/A</v>
      </c>
    </row>
    <row r="366" spans="1:63" ht="15" customHeight="1" x14ac:dyDescent="0.2">
      <c r="A366"/>
      <c r="B366" s="2636"/>
      <c r="C366" s="2637"/>
      <c r="D366" s="2638"/>
      <c r="E366" s="2639"/>
      <c r="F366" s="2640"/>
      <c r="G366" s="2641"/>
      <c r="H366" s="2641"/>
      <c r="I366" s="2641"/>
      <c r="J366" s="2641"/>
      <c r="K366" s="2641"/>
      <c r="L366" s="2642"/>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t="e">
        <v>#N/A</v>
      </c>
    </row>
    <row r="367" spans="1:63" ht="15" customHeight="1" x14ac:dyDescent="0.2">
      <c r="A367"/>
      <c r="B367" s="2636"/>
      <c r="C367" s="2637"/>
      <c r="D367" s="2638"/>
      <c r="E367" s="2639"/>
      <c r="F367" s="2640"/>
      <c r="G367" s="2641"/>
      <c r="H367" s="2641"/>
      <c r="I367" s="2641"/>
      <c r="J367" s="2641"/>
      <c r="K367" s="2641"/>
      <c r="L367" s="2642"/>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t="e">
        <v>#N/A</v>
      </c>
    </row>
    <row r="368" spans="1:63" ht="15" customHeight="1" x14ac:dyDescent="0.2">
      <c r="A368"/>
      <c r="B368" s="2636"/>
      <c r="C368" s="2637"/>
      <c r="D368" s="2638"/>
      <c r="E368" s="2639"/>
      <c r="F368" s="2640"/>
      <c r="G368" s="2641"/>
      <c r="H368" s="2641"/>
      <c r="I368" s="2641"/>
      <c r="J368" s="2641"/>
      <c r="K368" s="2641"/>
      <c r="L368" s="2642"/>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t="e">
        <v>#N/A</v>
      </c>
    </row>
    <row r="369" spans="1:63" ht="15" customHeight="1" x14ac:dyDescent="0.2">
      <c r="A369"/>
      <c r="B369" s="2636"/>
      <c r="C369" s="2637"/>
      <c r="D369" s="2638"/>
      <c r="E369" s="2639"/>
      <c r="F369" s="2640"/>
      <c r="G369" s="2641"/>
      <c r="H369" s="2641"/>
      <c r="I369" s="2641"/>
      <c r="J369" s="2641"/>
      <c r="K369" s="2641"/>
      <c r="L369" s="2642"/>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t="e">
        <v>#N/A</v>
      </c>
    </row>
    <row r="370" spans="1:63" ht="15" customHeight="1" x14ac:dyDescent="0.2">
      <c r="A370"/>
      <c r="B370" s="2636"/>
      <c r="C370" s="2637"/>
      <c r="D370" s="2638"/>
      <c r="E370" s="2639"/>
      <c r="F370" s="2640"/>
      <c r="G370" s="2641"/>
      <c r="H370" s="2641"/>
      <c r="I370" s="2641"/>
      <c r="J370" s="2641"/>
      <c r="K370" s="2641"/>
      <c r="L370" s="2642"/>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t="e">
        <v>#N/A</v>
      </c>
    </row>
    <row r="371" spans="1:63" ht="15" customHeight="1" x14ac:dyDescent="0.2">
      <c r="A371"/>
      <c r="B371" s="2636"/>
      <c r="C371" s="2637"/>
      <c r="D371" s="2638"/>
      <c r="E371" s="2639"/>
      <c r="F371" s="2640"/>
      <c r="G371" s="2641"/>
      <c r="H371" s="2641"/>
      <c r="I371" s="2641"/>
      <c r="J371" s="2641"/>
      <c r="K371" s="2641"/>
      <c r="L371" s="2642"/>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t="e">
        <v>#N/A</v>
      </c>
    </row>
    <row r="372" spans="1:63" ht="15" customHeight="1" x14ac:dyDescent="0.2">
      <c r="A372"/>
      <c r="B372" s="2636"/>
      <c r="C372" s="2637"/>
      <c r="D372" s="2638"/>
      <c r="E372" s="2639"/>
      <c r="F372" s="2640"/>
      <c r="G372" s="2641"/>
      <c r="H372" s="2641"/>
      <c r="I372" s="2641"/>
      <c r="J372" s="2641"/>
      <c r="K372" s="2641"/>
      <c r="L372" s="2642"/>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t="e">
        <v>#N/A</v>
      </c>
    </row>
    <row r="373" spans="1:63" ht="15" customHeight="1" x14ac:dyDescent="0.2">
      <c r="A373"/>
      <c r="B373" s="2636"/>
      <c r="C373" s="2637"/>
      <c r="D373" s="2638"/>
      <c r="E373" s="2639"/>
      <c r="F373" s="2640"/>
      <c r="G373" s="2641"/>
      <c r="H373" s="2641"/>
      <c r="I373" s="2641"/>
      <c r="J373" s="2641"/>
      <c r="K373" s="2641"/>
      <c r="L373" s="2642"/>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t="e">
        <v>#N/A</v>
      </c>
    </row>
    <row r="374" spans="1:63" ht="15" customHeight="1" x14ac:dyDescent="0.2">
      <c r="A374"/>
      <c r="B374" s="2636"/>
      <c r="C374" s="2637"/>
      <c r="D374" s="2638"/>
      <c r="E374" s="2639"/>
      <c r="F374" s="2640"/>
      <c r="G374" s="2641"/>
      <c r="H374" s="2641"/>
      <c r="I374" s="2641"/>
      <c r="J374" s="2641"/>
      <c r="K374" s="2641"/>
      <c r="L374" s="2642"/>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t="e">
        <v>#N/A</v>
      </c>
    </row>
    <row r="375" spans="1:63" ht="15" customHeight="1" x14ac:dyDescent="0.2">
      <c r="A375"/>
      <c r="B375" s="2636"/>
      <c r="C375" s="2637"/>
      <c r="D375" s="2638"/>
      <c r="E375" s="2639"/>
      <c r="F375" s="2640"/>
      <c r="G375" s="2641"/>
      <c r="H375" s="2641"/>
      <c r="I375" s="2641"/>
      <c r="J375" s="2641"/>
      <c r="K375" s="2641"/>
      <c r="L375" s="2642"/>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t="e">
        <v>#N/A</v>
      </c>
    </row>
    <row r="376" spans="1:63" ht="15" customHeight="1" x14ac:dyDescent="0.2">
      <c r="A376"/>
      <c r="B376" s="2636"/>
      <c r="C376" s="2637"/>
      <c r="D376" s="2638"/>
      <c r="E376" s="2639"/>
      <c r="F376" s="2640"/>
      <c r="G376" s="2641"/>
      <c r="H376" s="2641"/>
      <c r="I376" s="2641"/>
      <c r="J376" s="2641"/>
      <c r="K376" s="2641"/>
      <c r="L376" s="2642"/>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t="e">
        <v>#N/A</v>
      </c>
    </row>
    <row r="377" spans="1:63" ht="15" customHeight="1" x14ac:dyDescent="0.2">
      <c r="A377"/>
      <c r="B377" s="2636"/>
      <c r="C377" s="2637"/>
      <c r="D377" s="2638"/>
      <c r="E377" s="2639"/>
      <c r="F377" s="2640"/>
      <c r="G377" s="2641"/>
      <c r="H377" s="2641"/>
      <c r="I377" s="2641"/>
      <c r="J377" s="2641"/>
      <c r="K377" s="2641"/>
      <c r="L377" s="2642"/>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t="e">
        <v>#N/A</v>
      </c>
    </row>
    <row r="378" spans="1:63" ht="15" customHeight="1" x14ac:dyDescent="0.2">
      <c r="A378"/>
      <c r="B378" s="2636"/>
      <c r="C378" s="2637"/>
      <c r="D378" s="2638"/>
      <c r="E378" s="2639"/>
      <c r="F378" s="2640"/>
      <c r="G378" s="2641"/>
      <c r="H378" s="2641"/>
      <c r="I378" s="2641"/>
      <c r="J378" s="2641"/>
      <c r="K378" s="2641"/>
      <c r="L378" s="2642"/>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t="e">
        <v>#N/A</v>
      </c>
    </row>
    <row r="379" spans="1:63" ht="15" customHeight="1" x14ac:dyDescent="0.2">
      <c r="A379"/>
      <c r="B379" s="2636"/>
      <c r="C379" s="2637"/>
      <c r="D379" s="2638"/>
      <c r="E379" s="2639"/>
      <c r="F379" s="2640"/>
      <c r="G379" s="2641"/>
      <c r="H379" s="2641"/>
      <c r="I379" s="2641"/>
      <c r="J379" s="2641"/>
      <c r="K379" s="2641"/>
      <c r="L379" s="2642"/>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t="e">
        <v>#N/A</v>
      </c>
    </row>
    <row r="380" spans="1:63" ht="15" customHeight="1" x14ac:dyDescent="0.2">
      <c r="A380"/>
      <c r="B380" s="2636"/>
      <c r="C380" s="2637"/>
      <c r="D380" s="2638"/>
      <c r="E380" s="2639"/>
      <c r="F380" s="2640"/>
      <c r="G380" s="2641"/>
      <c r="H380" s="2641"/>
      <c r="I380" s="2641"/>
      <c r="J380" s="2641"/>
      <c r="K380" s="2641"/>
      <c r="L380" s="2642"/>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t="e">
        <v>#N/A</v>
      </c>
    </row>
    <row r="381" spans="1:63" ht="15" customHeight="1" x14ac:dyDescent="0.2">
      <c r="A381"/>
      <c r="B381" s="2636"/>
      <c r="C381" s="2637"/>
      <c r="D381" s="2638"/>
      <c r="E381" s="2639"/>
      <c r="F381" s="2640"/>
      <c r="G381" s="2641"/>
      <c r="H381" s="2641"/>
      <c r="I381" s="2641"/>
      <c r="J381" s="2641"/>
      <c r="K381" s="2641"/>
      <c r="L381" s="2642"/>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t="e">
        <v>#N/A</v>
      </c>
    </row>
    <row r="382" spans="1:63" ht="15" customHeight="1" x14ac:dyDescent="0.2">
      <c r="A382"/>
      <c r="B382" s="2636"/>
      <c r="C382" s="2637"/>
      <c r="D382" s="2638"/>
      <c r="E382" s="2639"/>
      <c r="F382" s="2640"/>
      <c r="G382" s="2641"/>
      <c r="H382" s="2641"/>
      <c r="I382" s="2641"/>
      <c r="J382" s="2641"/>
      <c r="K382" s="2641"/>
      <c r="L382" s="2642"/>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t="e">
        <v>#N/A</v>
      </c>
    </row>
    <row r="383" spans="1:63" ht="15" customHeight="1" x14ac:dyDescent="0.2">
      <c r="A383"/>
      <c r="B383" s="2636"/>
      <c r="C383" s="2637"/>
      <c r="D383" s="2638"/>
      <c r="E383" s="2639"/>
      <c r="F383" s="2640"/>
      <c r="G383" s="2641"/>
      <c r="H383" s="2641"/>
      <c r="I383" s="2641"/>
      <c r="J383" s="2641"/>
      <c r="K383" s="2641"/>
      <c r="L383" s="2642"/>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t="e">
        <v>#N/A</v>
      </c>
    </row>
    <row r="384" spans="1:63" ht="15" customHeight="1" x14ac:dyDescent="0.2">
      <c r="A384"/>
      <c r="B384" s="2636"/>
      <c r="C384" s="2637"/>
      <c r="D384" s="2638"/>
      <c r="E384" s="2639"/>
      <c r="F384" s="2640"/>
      <c r="G384" s="2641"/>
      <c r="H384" s="2641"/>
      <c r="I384" s="2641"/>
      <c r="J384" s="2641"/>
      <c r="K384" s="2641"/>
      <c r="L384" s="2642"/>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t="e">
        <v>#N/A</v>
      </c>
    </row>
    <row r="385" spans="1:63" ht="15" customHeight="1" x14ac:dyDescent="0.2">
      <c r="A385"/>
      <c r="B385" s="2636"/>
      <c r="C385" s="2637"/>
      <c r="D385" s="2638"/>
      <c r="E385" s="2639"/>
      <c r="F385" s="2640"/>
      <c r="G385" s="2641"/>
      <c r="H385" s="2641"/>
      <c r="I385" s="2641"/>
      <c r="J385" s="2641"/>
      <c r="K385" s="2641"/>
      <c r="L385" s="2642"/>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t="e">
        <v>#N/A</v>
      </c>
    </row>
    <row r="386" spans="1:63" ht="15" customHeight="1" x14ac:dyDescent="0.2">
      <c r="A386"/>
      <c r="B386" s="2636"/>
      <c r="C386" s="2637"/>
      <c r="D386" s="2638"/>
      <c r="E386" s="2639"/>
      <c r="F386" s="2640"/>
      <c r="G386" s="2641"/>
      <c r="H386" s="2641"/>
      <c r="I386" s="2641"/>
      <c r="J386" s="2641"/>
      <c r="K386" s="2641"/>
      <c r="L386" s="2642"/>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t="e">
        <v>#N/A</v>
      </c>
    </row>
    <row r="387" spans="1:63" ht="15" customHeight="1" x14ac:dyDescent="0.2">
      <c r="A387"/>
      <c r="B387" s="2636"/>
      <c r="C387" s="2637"/>
      <c r="D387" s="2638"/>
      <c r="E387" s="2639"/>
      <c r="F387" s="2640"/>
      <c r="G387" s="2641"/>
      <c r="H387" s="2641"/>
      <c r="I387" s="2641"/>
      <c r="J387" s="2641"/>
      <c r="K387" s="2641"/>
      <c r="L387" s="2642"/>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t="e">
        <v>#N/A</v>
      </c>
    </row>
    <row r="388" spans="1:63" ht="15" customHeight="1" x14ac:dyDescent="0.2">
      <c r="A388"/>
      <c r="B388" s="2636"/>
      <c r="C388" s="2637"/>
      <c r="D388" s="2638"/>
      <c r="E388" s="2639"/>
      <c r="F388" s="2640"/>
      <c r="G388" s="2641"/>
      <c r="H388" s="2641"/>
      <c r="I388" s="2641"/>
      <c r="J388" s="2641"/>
      <c r="K388" s="2641"/>
      <c r="L388" s="2642"/>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t="e">
        <v>#N/A</v>
      </c>
    </row>
    <row r="389" spans="1:63" ht="15" customHeight="1" x14ac:dyDescent="0.2">
      <c r="A389"/>
      <c r="B389" s="2636"/>
      <c r="C389" s="2637"/>
      <c r="D389" s="2638"/>
      <c r="E389" s="2639"/>
      <c r="F389" s="2640"/>
      <c r="G389" s="2641"/>
      <c r="H389" s="2641"/>
      <c r="I389" s="2641"/>
      <c r="J389" s="2641"/>
      <c r="K389" s="2641"/>
      <c r="L389" s="2642"/>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t="e">
        <v>#N/A</v>
      </c>
    </row>
    <row r="390" spans="1:63" ht="15" customHeight="1" x14ac:dyDescent="0.2">
      <c r="A390"/>
      <c r="B390" s="2636"/>
      <c r="C390" s="2637"/>
      <c r="D390" s="2638"/>
      <c r="E390" s="2639"/>
      <c r="F390" s="2640"/>
      <c r="G390" s="2641"/>
      <c r="H390" s="2641"/>
      <c r="I390" s="2641"/>
      <c r="J390" s="2641"/>
      <c r="K390" s="2641"/>
      <c r="L390" s="2642"/>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t="e">
        <v>#N/A</v>
      </c>
    </row>
    <row r="391" spans="1:63" ht="15" customHeight="1" x14ac:dyDescent="0.2">
      <c r="A391"/>
      <c r="B391" s="2636"/>
      <c r="C391" s="2637"/>
      <c r="D391" s="2638"/>
      <c r="E391" s="2639"/>
      <c r="F391" s="2640"/>
      <c r="G391" s="2641"/>
      <c r="H391" s="2641"/>
      <c r="I391" s="2641"/>
      <c r="J391" s="2641"/>
      <c r="K391" s="2641"/>
      <c r="L391" s="2642"/>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t="e">
        <v>#N/A</v>
      </c>
    </row>
    <row r="392" spans="1:63" ht="15" customHeight="1" x14ac:dyDescent="0.2">
      <c r="A392"/>
      <c r="B392" s="2636"/>
      <c r="C392" s="2637"/>
      <c r="D392" s="2638"/>
      <c r="E392" s="2639"/>
      <c r="F392" s="2640"/>
      <c r="G392" s="2641"/>
      <c r="H392" s="2641"/>
      <c r="I392" s="2641"/>
      <c r="J392" s="2641"/>
      <c r="K392" s="2641"/>
      <c r="L392" s="2642"/>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t="e">
        <v>#N/A</v>
      </c>
    </row>
    <row r="393" spans="1:63" ht="15" customHeight="1" x14ac:dyDescent="0.2">
      <c r="A393"/>
      <c r="B393" s="2636"/>
      <c r="C393" s="2637"/>
      <c r="D393" s="2638"/>
      <c r="E393" s="2639"/>
      <c r="F393" s="2640"/>
      <c r="G393" s="2641"/>
      <c r="H393" s="2641"/>
      <c r="I393" s="2641"/>
      <c r="J393" s="2641"/>
      <c r="K393" s="2641"/>
      <c r="L393" s="2642"/>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t="e">
        <v>#N/A</v>
      </c>
    </row>
    <row r="394" spans="1:63" ht="15" customHeight="1" x14ac:dyDescent="0.2">
      <c r="A394"/>
      <c r="B394" s="2636"/>
      <c r="C394" s="2637"/>
      <c r="D394" s="2638"/>
      <c r="E394" s="2639"/>
      <c r="F394" s="2640"/>
      <c r="G394" s="2641"/>
      <c r="H394" s="2641"/>
      <c r="I394" s="2641"/>
      <c r="J394" s="2641"/>
      <c r="K394" s="2641"/>
      <c r="L394" s="2642"/>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t="e">
        <v>#N/A</v>
      </c>
    </row>
    <row r="395" spans="1:63" ht="15" customHeight="1" x14ac:dyDescent="0.2">
      <c r="A395"/>
      <c r="B395" s="2636"/>
      <c r="C395" s="2637"/>
      <c r="D395" s="2638"/>
      <c r="E395" s="2639"/>
      <c r="F395" s="2640"/>
      <c r="G395" s="2641"/>
      <c r="H395" s="2641"/>
      <c r="I395" s="2641"/>
      <c r="J395" s="2641"/>
      <c r="K395" s="2641"/>
      <c r="L395" s="2642"/>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t="e">
        <v>#N/A</v>
      </c>
    </row>
    <row r="396" spans="1:63" ht="15" customHeight="1" x14ac:dyDescent="0.2">
      <c r="A396"/>
      <c r="B396" s="2636"/>
      <c r="C396" s="2637"/>
      <c r="D396" s="2638"/>
      <c r="E396" s="2639"/>
      <c r="F396" s="2640"/>
      <c r="G396" s="2641"/>
      <c r="H396" s="2641"/>
      <c r="I396" s="2641"/>
      <c r="J396" s="2641"/>
      <c r="K396" s="2641"/>
      <c r="L396" s="2642"/>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t="e">
        <v>#N/A</v>
      </c>
    </row>
    <row r="397" spans="1:63" ht="15" customHeight="1" x14ac:dyDescent="0.2">
      <c r="A397"/>
      <c r="B397" s="2636"/>
      <c r="C397" s="2637"/>
      <c r="D397" s="2638"/>
      <c r="E397" s="2639"/>
      <c r="F397" s="2640"/>
      <c r="G397" s="2641"/>
      <c r="H397" s="2641"/>
      <c r="I397" s="2641"/>
      <c r="J397" s="2641"/>
      <c r="K397" s="2641"/>
      <c r="L397" s="2642"/>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t="e">
        <v>#N/A</v>
      </c>
    </row>
    <row r="398" spans="1:63" ht="15" customHeight="1" x14ac:dyDescent="0.2">
      <c r="A398"/>
      <c r="B398" s="2636"/>
      <c r="C398" s="2637"/>
      <c r="D398" s="2638"/>
      <c r="E398" s="2639"/>
      <c r="F398" s="2640"/>
      <c r="G398" s="2641"/>
      <c r="H398" s="2641"/>
      <c r="I398" s="2641"/>
      <c r="J398" s="2641"/>
      <c r="K398" s="2641"/>
      <c r="L398" s="2642"/>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t="e">
        <v>#N/A</v>
      </c>
    </row>
    <row r="399" spans="1:63" ht="15" customHeight="1" x14ac:dyDescent="0.2">
      <c r="A399"/>
      <c r="B399" s="2636"/>
      <c r="C399" s="2637"/>
      <c r="D399" s="2638"/>
      <c r="E399" s="2639"/>
      <c r="F399" s="2640"/>
      <c r="G399" s="2641"/>
      <c r="H399" s="2641"/>
      <c r="I399" s="2641"/>
      <c r="J399" s="2641"/>
      <c r="K399" s="2641"/>
      <c r="L399" s="2642"/>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t="e">
        <v>#N/A</v>
      </c>
    </row>
    <row r="400" spans="1:63" ht="15" customHeight="1" x14ac:dyDescent="0.2">
      <c r="A400"/>
      <c r="B400" s="2636"/>
      <c r="C400" s="2637"/>
      <c r="D400" s="2638"/>
      <c r="E400" s="2639"/>
      <c r="F400" s="2640"/>
      <c r="G400" s="2641"/>
      <c r="H400" s="2641"/>
      <c r="I400" s="2641"/>
      <c r="J400" s="2641"/>
      <c r="K400" s="2641"/>
      <c r="L400" s="2642"/>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t="e">
        <v>#N/A</v>
      </c>
    </row>
    <row r="401" spans="1:63" ht="15" customHeight="1" x14ac:dyDescent="0.2">
      <c r="A401"/>
      <c r="B401" s="2636"/>
      <c r="C401" s="2637"/>
      <c r="D401" s="2638"/>
      <c r="E401" s="2639"/>
      <c r="F401" s="2640"/>
      <c r="G401" s="2641"/>
      <c r="H401" s="2641"/>
      <c r="I401" s="2641"/>
      <c r="J401" s="2641"/>
      <c r="K401" s="2641"/>
      <c r="L401" s="2642"/>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t="e">
        <v>#N/A</v>
      </c>
    </row>
    <row r="402" spans="1:63" ht="15" customHeight="1" x14ac:dyDescent="0.2">
      <c r="A402"/>
      <c r="B402" s="2636"/>
      <c r="C402" s="2637"/>
      <c r="D402" s="2638"/>
      <c r="E402" s="2639"/>
      <c r="F402" s="2640"/>
      <c r="G402" s="2641"/>
      <c r="H402" s="2641"/>
      <c r="I402" s="2641"/>
      <c r="J402" s="2641"/>
      <c r="K402" s="2641"/>
      <c r="L402" s="2642"/>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t="e">
        <v>#N/A</v>
      </c>
    </row>
    <row r="403" spans="1:63" ht="15" customHeight="1" x14ac:dyDescent="0.2">
      <c r="A403"/>
      <c r="B403" s="2636"/>
      <c r="C403" s="2637"/>
      <c r="D403" s="2638"/>
      <c r="E403" s="2639"/>
      <c r="F403" s="2640"/>
      <c r="G403" s="2641"/>
      <c r="H403" s="2641"/>
      <c r="I403" s="2641"/>
      <c r="J403" s="2641"/>
      <c r="K403" s="2641"/>
      <c r="L403" s="2642"/>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t="e">
        <v>#N/A</v>
      </c>
    </row>
    <row r="404" spans="1:63" ht="15" customHeight="1" x14ac:dyDescent="0.2">
      <c r="A404"/>
      <c r="B404" s="2636"/>
      <c r="C404" s="2637"/>
      <c r="D404" s="2638"/>
      <c r="E404" s="2639"/>
      <c r="F404" s="2640"/>
      <c r="G404" s="2641"/>
      <c r="H404" s="2641"/>
      <c r="I404" s="2641"/>
      <c r="J404" s="2641"/>
      <c r="K404" s="2641"/>
      <c r="L404" s="2642"/>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t="e">
        <v>#N/A</v>
      </c>
    </row>
    <row r="405" spans="1:63" ht="15" customHeight="1" x14ac:dyDescent="0.2">
      <c r="A405"/>
      <c r="B405" s="2636"/>
      <c r="C405" s="2637"/>
      <c r="D405" s="2638"/>
      <c r="E405" s="2639"/>
      <c r="F405" s="2640"/>
      <c r="G405" s="2641"/>
      <c r="H405" s="2641"/>
      <c r="I405" s="2641"/>
      <c r="J405" s="2641"/>
      <c r="K405" s="2641"/>
      <c r="L405" s="2642"/>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t="e">
        <v>#N/A</v>
      </c>
    </row>
    <row r="406" spans="1:63" ht="15" customHeight="1" x14ac:dyDescent="0.2">
      <c r="A406"/>
      <c r="B406" s="2636"/>
      <c r="C406" s="2637"/>
      <c r="D406" s="2638"/>
      <c r="E406" s="2639"/>
      <c r="F406" s="2640"/>
      <c r="G406" s="2641"/>
      <c r="H406" s="2641"/>
      <c r="I406" s="2641"/>
      <c r="J406" s="2641"/>
      <c r="K406" s="2641"/>
      <c r="L406" s="2642"/>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t="e">
        <v>#N/A</v>
      </c>
    </row>
    <row r="407" spans="1:63" ht="15" customHeight="1" x14ac:dyDescent="0.2">
      <c r="A407"/>
      <c r="B407" s="2636"/>
      <c r="C407" s="2637"/>
      <c r="D407" s="2638"/>
      <c r="E407" s="2639"/>
      <c r="F407" s="2640"/>
      <c r="G407" s="2641"/>
      <c r="H407" s="2641"/>
      <c r="I407" s="2641"/>
      <c r="J407" s="2641"/>
      <c r="K407" s="2641"/>
      <c r="L407" s="2642"/>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t="e">
        <v>#N/A</v>
      </c>
    </row>
    <row r="408" spans="1:63" ht="15" customHeight="1" x14ac:dyDescent="0.2">
      <c r="A408"/>
      <c r="B408" s="2636"/>
      <c r="C408" s="2637"/>
      <c r="D408" s="2638"/>
      <c r="E408" s="2639"/>
      <c r="F408" s="2640"/>
      <c r="G408" s="2641"/>
      <c r="H408" s="2641"/>
      <c r="I408" s="2641"/>
      <c r="J408" s="2641"/>
      <c r="K408" s="2641"/>
      <c r="L408" s="2642"/>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t="e">
        <v>#N/A</v>
      </c>
    </row>
    <row r="409" spans="1:63" ht="15" customHeight="1" x14ac:dyDescent="0.2">
      <c r="A409"/>
      <c r="B409" s="2636"/>
      <c r="C409" s="2637"/>
      <c r="D409" s="2638"/>
      <c r="E409" s="2639"/>
      <c r="F409" s="2640"/>
      <c r="G409" s="2641"/>
      <c r="H409" s="2641"/>
      <c r="I409" s="2641"/>
      <c r="J409" s="2641"/>
      <c r="K409" s="2641"/>
      <c r="L409" s="2642"/>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t="e">
        <v>#N/A</v>
      </c>
    </row>
    <row r="410" spans="1:63" ht="15" customHeight="1" x14ac:dyDescent="0.2">
      <c r="A410"/>
      <c r="B410" s="2636"/>
      <c r="C410" s="2637"/>
      <c r="D410" s="2638"/>
      <c r="E410" s="2639"/>
      <c r="F410" s="2640"/>
      <c r="G410" s="2641"/>
      <c r="H410" s="2641"/>
      <c r="I410" s="2641"/>
      <c r="J410" s="2641"/>
      <c r="K410" s="2641"/>
      <c r="L410" s="2642"/>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t="e">
        <v>#N/A</v>
      </c>
    </row>
    <row r="411" spans="1:63" ht="15" customHeight="1" x14ac:dyDescent="0.2">
      <c r="A411"/>
      <c r="B411" s="2636"/>
      <c r="C411" s="2637"/>
      <c r="D411" s="2638"/>
      <c r="E411" s="2639"/>
      <c r="F411" s="2640"/>
      <c r="G411" s="2641"/>
      <c r="H411" s="2641"/>
      <c r="I411" s="2641"/>
      <c r="J411" s="2641"/>
      <c r="K411" s="2641"/>
      <c r="L411" s="2642"/>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t="e">
        <v>#N/A</v>
      </c>
    </row>
    <row r="412" spans="1:63" ht="15" customHeight="1" x14ac:dyDescent="0.2">
      <c r="A412"/>
      <c r="B412" s="2636"/>
      <c r="C412" s="2637"/>
      <c r="D412" s="2638"/>
      <c r="E412" s="2639"/>
      <c r="F412" s="2640"/>
      <c r="G412" s="2641"/>
      <c r="H412" s="2641"/>
      <c r="I412" s="2641"/>
      <c r="J412" s="2641"/>
      <c r="K412" s="2641"/>
      <c r="L412" s="2642"/>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t="e">
        <v>#N/A</v>
      </c>
    </row>
    <row r="413" spans="1:63" ht="15" customHeight="1" x14ac:dyDescent="0.2">
      <c r="A413"/>
      <c r="B413" s="2636"/>
      <c r="C413" s="2637"/>
      <c r="D413" s="2638"/>
      <c r="E413" s="2639"/>
      <c r="F413" s="2640"/>
      <c r="G413" s="2641"/>
      <c r="H413" s="2641"/>
      <c r="I413" s="2641"/>
      <c r="J413" s="2641"/>
      <c r="K413" s="2641"/>
      <c r="L413" s="2642"/>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t="e">
        <v>#N/A</v>
      </c>
    </row>
    <row r="414" spans="1:63" ht="15" customHeight="1" x14ac:dyDescent="0.2">
      <c r="A414"/>
      <c r="B414" s="2636"/>
      <c r="C414" s="2637"/>
      <c r="D414" s="2638"/>
      <c r="E414" s="2639"/>
      <c r="F414" s="2640"/>
      <c r="G414" s="2641"/>
      <c r="H414" s="2641"/>
      <c r="I414" s="2641"/>
      <c r="J414" s="2641"/>
      <c r="K414" s="2641"/>
      <c r="L414" s="2642"/>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t="e">
        <v>#N/A</v>
      </c>
    </row>
    <row r="415" spans="1:63" ht="15" customHeight="1" x14ac:dyDescent="0.2">
      <c r="A415"/>
      <c r="B415" s="2636"/>
      <c r="C415" s="2637"/>
      <c r="D415" s="2638"/>
      <c r="E415" s="2639"/>
      <c r="F415" s="2640"/>
      <c r="G415" s="2641"/>
      <c r="H415" s="2641"/>
      <c r="I415" s="2641"/>
      <c r="J415" s="2641"/>
      <c r="K415" s="2641"/>
      <c r="L415" s="2642"/>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t="e">
        <v>#N/A</v>
      </c>
    </row>
    <row r="416" spans="1:63" ht="15" customHeight="1" x14ac:dyDescent="0.2">
      <c r="A416"/>
      <c r="B416" s="2636"/>
      <c r="C416" s="2637"/>
      <c r="D416" s="2638"/>
      <c r="E416" s="2639"/>
      <c r="F416" s="2640"/>
      <c r="G416" s="2641"/>
      <c r="H416" s="2641"/>
      <c r="I416" s="2641"/>
      <c r="J416" s="2641"/>
      <c r="K416" s="2641"/>
      <c r="L416" s="2642"/>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t="e">
        <v>#N/A</v>
      </c>
    </row>
    <row r="417" spans="1:63" ht="15" customHeight="1" x14ac:dyDescent="0.2">
      <c r="A417"/>
      <c r="B417" s="2636"/>
      <c r="C417" s="2637"/>
      <c r="D417" s="2638"/>
      <c r="E417" s="2639"/>
      <c r="F417" s="2640"/>
      <c r="G417" s="2641"/>
      <c r="H417" s="2641"/>
      <c r="I417" s="2641"/>
      <c r="J417" s="2641"/>
      <c r="K417" s="2641"/>
      <c r="L417" s="2642"/>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t="e">
        <v>#N/A</v>
      </c>
    </row>
    <row r="418" spans="1:63" ht="15" customHeight="1" x14ac:dyDescent="0.2">
      <c r="A418"/>
      <c r="B418" s="2636"/>
      <c r="C418" s="2637"/>
      <c r="D418" s="2638"/>
      <c r="E418" s="2639"/>
      <c r="F418" s="2640"/>
      <c r="G418" s="2641"/>
      <c r="H418" s="2641"/>
      <c r="I418" s="2641"/>
      <c r="J418" s="2641"/>
      <c r="K418" s="2641"/>
      <c r="L418" s="2642"/>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t="e">
        <v>#N/A</v>
      </c>
    </row>
    <row r="419" spans="1:63" ht="15" customHeight="1" x14ac:dyDescent="0.2">
      <c r="A419"/>
      <c r="B419" s="2636"/>
      <c r="C419" s="2637"/>
      <c r="D419" s="2638"/>
      <c r="E419" s="2639"/>
      <c r="F419" s="2640"/>
      <c r="G419" s="2641"/>
      <c r="H419" s="2641"/>
      <c r="I419" s="2641"/>
      <c r="J419" s="2641"/>
      <c r="K419" s="2641"/>
      <c r="L419" s="2642"/>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t="e">
        <v>#N/A</v>
      </c>
    </row>
    <row r="420" spans="1:63" ht="15" customHeight="1" x14ac:dyDescent="0.2">
      <c r="A420"/>
      <c r="B420" s="2636"/>
      <c r="C420" s="2637"/>
      <c r="D420" s="2638"/>
      <c r="E420" s="2639"/>
      <c r="F420" s="2640"/>
      <c r="G420" s="2641"/>
      <c r="H420" s="2641"/>
      <c r="I420" s="2641"/>
      <c r="J420" s="2641"/>
      <c r="K420" s="2641"/>
      <c r="L420" s="2642"/>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t="e">
        <v>#N/A</v>
      </c>
    </row>
    <row r="421" spans="1:63" ht="15" customHeight="1" x14ac:dyDescent="0.2">
      <c r="A421"/>
      <c r="B421" s="2636"/>
      <c r="C421" s="2637"/>
      <c r="D421" s="2638"/>
      <c r="E421" s="2639"/>
      <c r="F421" s="2640"/>
      <c r="G421" s="2641"/>
      <c r="H421" s="2641"/>
      <c r="I421" s="2641"/>
      <c r="J421" s="2641"/>
      <c r="K421" s="2641"/>
      <c r="L421" s="2642"/>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t="e">
        <v>#N/A</v>
      </c>
    </row>
    <row r="422" spans="1:63" ht="15" customHeight="1" x14ac:dyDescent="0.2">
      <c r="A422"/>
      <c r="B422" s="2636"/>
      <c r="C422" s="2637"/>
      <c r="D422" s="2638"/>
      <c r="E422" s="2639"/>
      <c r="F422" s="2640"/>
      <c r="G422" s="2641"/>
      <c r="H422" s="2641"/>
      <c r="I422" s="2641"/>
      <c r="J422" s="2641"/>
      <c r="K422" s="2641"/>
      <c r="L422" s="2642"/>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t="e">
        <v>#N/A</v>
      </c>
    </row>
    <row r="423" spans="1:63" ht="15" customHeight="1" x14ac:dyDescent="0.2">
      <c r="A423"/>
      <c r="B423" s="2636"/>
      <c r="C423" s="2637"/>
      <c r="D423" s="2638"/>
      <c r="E423" s="2639"/>
      <c r="F423" s="2640"/>
      <c r="G423" s="2641"/>
      <c r="H423" s="2641"/>
      <c r="I423" s="2641"/>
      <c r="J423" s="2641"/>
      <c r="K423" s="2641"/>
      <c r="L423" s="2642"/>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t="e">
        <v>#N/A</v>
      </c>
    </row>
    <row r="424" spans="1:63" ht="15" customHeight="1" x14ac:dyDescent="0.2">
      <c r="A424"/>
      <c r="B424" s="2636"/>
      <c r="C424" s="2637"/>
      <c r="D424" s="2638"/>
      <c r="E424" s="2639"/>
      <c r="F424" s="2640"/>
      <c r="G424" s="2641"/>
      <c r="H424" s="2641"/>
      <c r="I424" s="2641"/>
      <c r="J424" s="2641"/>
      <c r="K424" s="2641"/>
      <c r="L424" s="2642"/>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t="e">
        <v>#N/A</v>
      </c>
    </row>
    <row r="425" spans="1:63" ht="15" customHeight="1" x14ac:dyDescent="0.2">
      <c r="A425"/>
      <c r="B425" s="2636"/>
      <c r="C425" s="2637"/>
      <c r="D425" s="2638"/>
      <c r="E425" s="2639"/>
      <c r="F425" s="2640"/>
      <c r="G425" s="2641"/>
      <c r="H425" s="2641"/>
      <c r="I425" s="2641"/>
      <c r="J425" s="2641"/>
      <c r="K425" s="2641"/>
      <c r="L425" s="2642"/>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t="e">
        <v>#N/A</v>
      </c>
    </row>
    <row r="426" spans="1:63" ht="15" customHeight="1" x14ac:dyDescent="0.2">
      <c r="A426"/>
      <c r="B426" s="2636"/>
      <c r="C426" s="2637"/>
      <c r="D426" s="2638"/>
      <c r="E426" s="2639"/>
      <c r="F426" s="2640"/>
      <c r="G426" s="2641"/>
      <c r="H426" s="2641"/>
      <c r="I426" s="2641"/>
      <c r="J426" s="2641"/>
      <c r="K426" s="2641"/>
      <c r="L426" s="2642"/>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t="e">
        <v>#N/A</v>
      </c>
    </row>
    <row r="427" spans="1:63" ht="15" customHeight="1" x14ac:dyDescent="0.2">
      <c r="A427"/>
      <c r="B427" s="2636"/>
      <c r="C427" s="2637"/>
      <c r="D427" s="2638"/>
      <c r="E427" s="2639"/>
      <c r="F427" s="2640"/>
      <c r="G427" s="2641"/>
      <c r="H427" s="2641"/>
      <c r="I427" s="2641"/>
      <c r="J427" s="2641"/>
      <c r="K427" s="2641"/>
      <c r="L427" s="2642"/>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t="e">
        <v>#N/A</v>
      </c>
    </row>
    <row r="428" spans="1:63" ht="15" customHeight="1" x14ac:dyDescent="0.2">
      <c r="A428"/>
      <c r="B428" s="2636"/>
      <c r="C428" s="2637"/>
      <c r="D428" s="2638"/>
      <c r="E428" s="2639"/>
      <c r="F428" s="2640"/>
      <c r="G428" s="2641"/>
      <c r="H428" s="2641"/>
      <c r="I428" s="2641"/>
      <c r="J428" s="2641"/>
      <c r="K428" s="2641"/>
      <c r="L428" s="2642"/>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t="e">
        <v>#N/A</v>
      </c>
    </row>
    <row r="429" spans="1:63" ht="15" customHeight="1" x14ac:dyDescent="0.2">
      <c r="A429"/>
      <c r="B429" s="2636"/>
      <c r="C429" s="2637"/>
      <c r="D429" s="2638"/>
      <c r="E429" s="2639"/>
      <c r="F429" s="2640"/>
      <c r="G429" s="2641"/>
      <c r="H429" s="2641"/>
      <c r="I429" s="2641"/>
      <c r="J429" s="2641"/>
      <c r="K429" s="2641"/>
      <c r="L429" s="2642"/>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t="e">
        <v>#N/A</v>
      </c>
    </row>
    <row r="430" spans="1:63" ht="15" customHeight="1" x14ac:dyDescent="0.2">
      <c r="A430"/>
      <c r="B430" s="2636"/>
      <c r="C430" s="2637"/>
      <c r="D430" s="2638"/>
      <c r="E430" s="2639"/>
      <c r="F430" s="2640"/>
      <c r="G430" s="2641"/>
      <c r="H430" s="2641"/>
      <c r="I430" s="2641"/>
      <c r="J430" s="2641"/>
      <c r="K430" s="2641"/>
      <c r="L430" s="2642"/>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t="e">
        <v>#N/A</v>
      </c>
    </row>
    <row r="431" spans="1:63" ht="15" customHeight="1" x14ac:dyDescent="0.2">
      <c r="A431"/>
      <c r="B431" s="2636"/>
      <c r="C431" s="2637"/>
      <c r="D431" s="2638"/>
      <c r="E431" s="2639"/>
      <c r="F431" s="2640"/>
      <c r="G431" s="2641"/>
      <c r="H431" s="2641"/>
      <c r="I431" s="2641"/>
      <c r="J431" s="2641"/>
      <c r="K431" s="2641"/>
      <c r="L431" s="2642"/>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t="e">
        <v>#N/A</v>
      </c>
    </row>
    <row r="432" spans="1:63" ht="15" customHeight="1" x14ac:dyDescent="0.2">
      <c r="A432"/>
      <c r="B432" s="2636"/>
      <c r="C432" s="2637"/>
      <c r="D432" s="2638"/>
      <c r="E432" s="2639"/>
      <c r="F432" s="2640"/>
      <c r="G432" s="2641"/>
      <c r="H432" s="2641"/>
      <c r="I432" s="2641"/>
      <c r="J432" s="2641"/>
      <c r="K432" s="2641"/>
      <c r="L432" s="2642"/>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t="e">
        <v>#N/A</v>
      </c>
    </row>
    <row r="433" spans="1:63" ht="15" customHeight="1" x14ac:dyDescent="0.2">
      <c r="A433"/>
      <c r="B433" s="2636"/>
      <c r="C433" s="2637"/>
      <c r="D433" s="2638"/>
      <c r="E433" s="2639"/>
      <c r="F433" s="2640"/>
      <c r="G433" s="2641"/>
      <c r="H433" s="2641"/>
      <c r="I433" s="2641"/>
      <c r="J433" s="2641"/>
      <c r="K433" s="2641"/>
      <c r="L433" s="2642"/>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t="e">
        <v>#N/A</v>
      </c>
    </row>
    <row r="434" spans="1:63" ht="15" customHeight="1" x14ac:dyDescent="0.2">
      <c r="A434"/>
      <c r="B434" s="2636"/>
      <c r="C434" s="2637"/>
      <c r="D434" s="2638"/>
      <c r="E434" s="2639"/>
      <c r="F434" s="2640"/>
      <c r="G434" s="2641"/>
      <c r="H434" s="2641"/>
      <c r="I434" s="2641"/>
      <c r="J434" s="2641"/>
      <c r="K434" s="2641"/>
      <c r="L434" s="2642"/>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t="e">
        <v>#N/A</v>
      </c>
    </row>
    <row r="435" spans="1:63" ht="15" customHeight="1" x14ac:dyDescent="0.2">
      <c r="A435"/>
      <c r="B435" s="2636"/>
      <c r="C435" s="2637"/>
      <c r="D435" s="2638"/>
      <c r="E435" s="2639"/>
      <c r="F435" s="2640"/>
      <c r="G435" s="2641"/>
      <c r="H435" s="2641"/>
      <c r="I435" s="2641"/>
      <c r="J435" s="2641"/>
      <c r="K435" s="2641"/>
      <c r="L435" s="2642"/>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t="e">
        <v>#N/A</v>
      </c>
    </row>
    <row r="436" spans="1:63" ht="15" customHeight="1" x14ac:dyDescent="0.2">
      <c r="A436"/>
      <c r="B436" s="2636"/>
      <c r="C436" s="2637"/>
      <c r="D436" s="2638"/>
      <c r="E436" s="2639"/>
      <c r="F436" s="2640"/>
      <c r="G436" s="2641"/>
      <c r="H436" s="2641"/>
      <c r="I436" s="2641"/>
      <c r="J436" s="2641"/>
      <c r="K436" s="2641"/>
      <c r="L436" s="2642"/>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t="e">
        <v>#N/A</v>
      </c>
    </row>
    <row r="437" spans="1:63" ht="15" customHeight="1" x14ac:dyDescent="0.2">
      <c r="A437"/>
      <c r="B437" s="2636"/>
      <c r="C437" s="2637"/>
      <c r="D437" s="2638"/>
      <c r="E437" s="2639"/>
      <c r="F437" s="2640"/>
      <c r="G437" s="2641"/>
      <c r="H437" s="2641"/>
      <c r="I437" s="2641"/>
      <c r="J437" s="2641"/>
      <c r="K437" s="2641"/>
      <c r="L437" s="2642"/>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t="e">
        <v>#N/A</v>
      </c>
    </row>
    <row r="438" spans="1:63" ht="15" customHeight="1" x14ac:dyDescent="0.2">
      <c r="A438"/>
      <c r="B438" s="2636"/>
      <c r="C438" s="2637"/>
      <c r="D438" s="2638"/>
      <c r="E438" s="2639"/>
      <c r="F438" s="2640"/>
      <c r="G438" s="2641"/>
      <c r="H438" s="2641"/>
      <c r="I438" s="2641"/>
      <c r="J438" s="2641"/>
      <c r="K438" s="2641"/>
      <c r="L438" s="2642"/>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t="e">
        <v>#N/A</v>
      </c>
    </row>
    <row r="439" spans="1:63" ht="15" customHeight="1" x14ac:dyDescent="0.2">
      <c r="A439"/>
      <c r="B439" s="2636"/>
      <c r="C439" s="2637"/>
      <c r="D439" s="2638"/>
      <c r="E439" s="2639"/>
      <c r="F439" s="2640"/>
      <c r="G439" s="2641"/>
      <c r="H439" s="2641"/>
      <c r="I439" s="2641"/>
      <c r="J439" s="2641"/>
      <c r="K439" s="2641"/>
      <c r="L439" s="2642"/>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t="e">
        <v>#N/A</v>
      </c>
    </row>
    <row r="440" spans="1:63" ht="15" customHeight="1" x14ac:dyDescent="0.2">
      <c r="A440"/>
      <c r="B440" s="2636"/>
      <c r="C440" s="2637"/>
      <c r="D440" s="2638"/>
      <c r="E440" s="2639"/>
      <c r="F440" s="2640"/>
      <c r="G440" s="2641"/>
      <c r="H440" s="2641"/>
      <c r="I440" s="2641"/>
      <c r="J440" s="2641"/>
      <c r="K440" s="2641"/>
      <c r="L440" s="2642"/>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t="e">
        <v>#N/A</v>
      </c>
    </row>
    <row r="441" spans="1:63" ht="15" customHeight="1" x14ac:dyDescent="0.2">
      <c r="A441"/>
      <c r="B441" s="2636"/>
      <c r="C441" s="2637"/>
      <c r="D441" s="2638"/>
      <c r="E441" s="2639"/>
      <c r="F441" s="2640"/>
      <c r="G441" s="2641"/>
      <c r="H441" s="2641"/>
      <c r="I441" s="2641"/>
      <c r="J441" s="2641"/>
      <c r="K441" s="2641"/>
      <c r="L441" s="2642"/>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t="e">
        <v>#N/A</v>
      </c>
    </row>
    <row r="442" spans="1:63" ht="15" customHeight="1" x14ac:dyDescent="0.2">
      <c r="A442"/>
      <c r="B442" s="2636"/>
      <c r="C442" s="2637"/>
      <c r="D442" s="2638"/>
      <c r="E442" s="2639"/>
      <c r="F442" s="2640"/>
      <c r="G442" s="2641"/>
      <c r="H442" s="2641"/>
      <c r="I442" s="2641"/>
      <c r="J442" s="2641"/>
      <c r="K442" s="2641"/>
      <c r="L442" s="2642"/>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t="e">
        <v>#N/A</v>
      </c>
    </row>
    <row r="443" spans="1:63" ht="15" customHeight="1" x14ac:dyDescent="0.2">
      <c r="A443"/>
      <c r="B443" s="2636"/>
      <c r="C443" s="2637"/>
      <c r="D443" s="2638"/>
      <c r="E443" s="2639"/>
      <c r="F443" s="2640"/>
      <c r="G443" s="2641"/>
      <c r="H443" s="2641"/>
      <c r="I443" s="2641"/>
      <c r="J443" s="2641"/>
      <c r="K443" s="2641"/>
      <c r="L443" s="2642"/>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t="e">
        <v>#N/A</v>
      </c>
    </row>
    <row r="444" spans="1:63" ht="15" customHeight="1" x14ac:dyDescent="0.2">
      <c r="A444"/>
      <c r="B444" s="2636"/>
      <c r="C444" s="2637"/>
      <c r="D444" s="2638"/>
      <c r="E444" s="2639"/>
      <c r="F444" s="2640"/>
      <c r="G444" s="2641"/>
      <c r="H444" s="2641"/>
      <c r="I444" s="2641"/>
      <c r="J444" s="2641"/>
      <c r="K444" s="2641"/>
      <c r="L444" s="2642"/>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t="e">
        <v>#N/A</v>
      </c>
    </row>
    <row r="445" spans="1:63" ht="15" customHeight="1" x14ac:dyDescent="0.2">
      <c r="A445"/>
      <c r="B445" s="2636"/>
      <c r="C445" s="2637"/>
      <c r="D445" s="2638"/>
      <c r="E445" s="2639"/>
      <c r="F445" s="2640"/>
      <c r="G445" s="2641"/>
      <c r="H445" s="2641"/>
      <c r="I445" s="2641"/>
      <c r="J445" s="2641"/>
      <c r="K445" s="2641"/>
      <c r="L445" s="2642"/>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t="e">
        <v>#N/A</v>
      </c>
    </row>
    <row r="446" spans="1:63" ht="15" customHeight="1" x14ac:dyDescent="0.2">
      <c r="A446"/>
      <c r="B446" s="2636"/>
      <c r="C446" s="2637"/>
      <c r="D446" s="2638"/>
      <c r="E446" s="2639"/>
      <c r="F446" s="2640"/>
      <c r="G446" s="2641"/>
      <c r="H446" s="2641"/>
      <c r="I446" s="2641"/>
      <c r="J446" s="2641"/>
      <c r="K446" s="2641"/>
      <c r="L446" s="2642"/>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t="e">
        <v>#N/A</v>
      </c>
    </row>
    <row r="447" spans="1:63" ht="15" customHeight="1" x14ac:dyDescent="0.2">
      <c r="A447"/>
      <c r="B447" s="2636"/>
      <c r="C447" s="2637"/>
      <c r="D447" s="2638"/>
      <c r="E447" s="2639"/>
      <c r="F447" s="2640"/>
      <c r="G447" s="2641"/>
      <c r="H447" s="2641"/>
      <c r="I447" s="2641"/>
      <c r="J447" s="2641"/>
      <c r="K447" s="2641"/>
      <c r="L447" s="2642"/>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t="e">
        <v>#N/A</v>
      </c>
    </row>
    <row r="448" spans="1:63" ht="15" customHeight="1" x14ac:dyDescent="0.2">
      <c r="A448"/>
      <c r="B448" s="2636"/>
      <c r="C448" s="2637"/>
      <c r="D448" s="2638"/>
      <c r="E448" s="2639"/>
      <c r="F448" s="2640"/>
      <c r="G448" s="2641"/>
      <c r="H448" s="2641"/>
      <c r="I448" s="2641"/>
      <c r="J448" s="2641"/>
      <c r="K448" s="2641"/>
      <c r="L448" s="2642"/>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t="e">
        <v>#N/A</v>
      </c>
    </row>
    <row r="449" spans="1:63" ht="15" customHeight="1" x14ac:dyDescent="0.2">
      <c r="A449"/>
      <c r="B449" s="2636"/>
      <c r="C449" s="2637"/>
      <c r="D449" s="2638"/>
      <c r="E449" s="2639"/>
      <c r="F449" s="2640"/>
      <c r="G449" s="2641"/>
      <c r="H449" s="2641"/>
      <c r="I449" s="2641"/>
      <c r="J449" s="2641"/>
      <c r="K449" s="2641"/>
      <c r="L449" s="2642"/>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t="e">
        <v>#N/A</v>
      </c>
    </row>
    <row r="450" spans="1:63" ht="15" customHeight="1" x14ac:dyDescent="0.2">
      <c r="A450"/>
      <c r="B450" s="2636"/>
      <c r="C450" s="2637"/>
      <c r="D450" s="2638"/>
      <c r="E450" s="2639"/>
      <c r="F450" s="2640"/>
      <c r="G450" s="2641"/>
      <c r="H450" s="2641"/>
      <c r="I450" s="2641"/>
      <c r="J450" s="2641"/>
      <c r="K450" s="2641"/>
      <c r="L450" s="2642"/>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t="e">
        <v>#N/A</v>
      </c>
    </row>
    <row r="451" spans="1:63" ht="15" customHeight="1" x14ac:dyDescent="0.2">
      <c r="A451"/>
      <c r="B451" s="2636"/>
      <c r="C451" s="2637"/>
      <c r="D451" s="2638"/>
      <c r="E451" s="2639"/>
      <c r="F451" s="2640"/>
      <c r="G451" s="2641"/>
      <c r="H451" s="2641"/>
      <c r="I451" s="2641"/>
      <c r="J451" s="2641"/>
      <c r="K451" s="2641"/>
      <c r="L451" s="2642"/>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t="e">
        <v>#N/A</v>
      </c>
    </row>
    <row r="452" spans="1:63" ht="15" customHeight="1" x14ac:dyDescent="0.2">
      <c r="A452"/>
      <c r="B452" s="2636"/>
      <c r="C452" s="2637"/>
      <c r="D452" s="2638"/>
      <c r="E452" s="2639"/>
      <c r="F452" s="2640"/>
      <c r="G452" s="2641"/>
      <c r="H452" s="2641"/>
      <c r="I452" s="2641"/>
      <c r="J452" s="2641"/>
      <c r="K452" s="2641"/>
      <c r="L452" s="2642"/>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t="e">
        <v>#N/A</v>
      </c>
    </row>
    <row r="453" spans="1:63" ht="15" customHeight="1" x14ac:dyDescent="0.2">
      <c r="A453"/>
      <c r="B453" s="2636"/>
      <c r="C453" s="2637"/>
      <c r="D453" s="2638"/>
      <c r="E453" s="2639"/>
      <c r="F453" s="2640"/>
      <c r="G453" s="2641"/>
      <c r="H453" s="2641"/>
      <c r="I453" s="2641"/>
      <c r="J453" s="2641"/>
      <c r="K453" s="2641"/>
      <c r="L453" s="2642"/>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t="e">
        <v>#N/A</v>
      </c>
    </row>
    <row r="454" spans="1:63" ht="15" customHeight="1" x14ac:dyDescent="0.2">
      <c r="A454"/>
      <c r="B454" s="2636"/>
      <c r="C454" s="2637"/>
      <c r="D454" s="2638"/>
      <c r="E454" s="2639"/>
      <c r="F454" s="2640"/>
      <c r="G454" s="2641"/>
      <c r="H454" s="2641"/>
      <c r="I454" s="2641"/>
      <c r="J454" s="2641"/>
      <c r="K454" s="2641"/>
      <c r="L454" s="2642"/>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t="e">
        <v>#N/A</v>
      </c>
    </row>
    <row r="455" spans="1:63" ht="15" customHeight="1" x14ac:dyDescent="0.2">
      <c r="A455"/>
      <c r="B455" s="2636"/>
      <c r="C455" s="2637"/>
      <c r="D455" s="2638"/>
      <c r="E455" s="2639"/>
      <c r="F455" s="2640"/>
      <c r="G455" s="2641"/>
      <c r="H455" s="2641"/>
      <c r="I455" s="2641"/>
      <c r="J455" s="2641"/>
      <c r="K455" s="2641"/>
      <c r="L455" s="2642"/>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e">
        <v>#N/A</v>
      </c>
    </row>
    <row r="456" spans="1:63" ht="15" customHeight="1" x14ac:dyDescent="0.2">
      <c r="A456"/>
      <c r="B456" s="2636"/>
      <c r="C456" s="2637"/>
      <c r="D456" s="2638"/>
      <c r="E456" s="2639"/>
      <c r="F456" s="2640"/>
      <c r="G456" s="2641"/>
      <c r="H456" s="2641"/>
      <c r="I456" s="2641"/>
      <c r="J456" s="2641"/>
      <c r="K456" s="2641"/>
      <c r="L456" s="2642"/>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t="e">
        <v>#N/A</v>
      </c>
    </row>
    <row r="457" spans="1:63" ht="15" customHeight="1" x14ac:dyDescent="0.2">
      <c r="A457"/>
      <c r="B457" s="2636"/>
      <c r="C457" s="2637"/>
      <c r="D457" s="2638"/>
      <c r="E457" s="2639"/>
      <c r="F457" s="2640"/>
      <c r="G457" s="2641"/>
      <c r="H457" s="2641"/>
      <c r="I457" s="2641"/>
      <c r="J457" s="2641"/>
      <c r="K457" s="2641"/>
      <c r="L457" s="2642"/>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t="e">
        <v>#N/A</v>
      </c>
    </row>
    <row r="458" spans="1:63" ht="15" customHeight="1" x14ac:dyDescent="0.2">
      <c r="A458"/>
      <c r="B458" s="2636"/>
      <c r="C458" s="2637"/>
      <c r="D458" s="2638"/>
      <c r="E458" s="2639"/>
      <c r="F458" s="2640"/>
      <c r="G458" s="2641"/>
      <c r="H458" s="2641"/>
      <c r="I458" s="2641"/>
      <c r="J458" s="2641"/>
      <c r="K458" s="2641"/>
      <c r="L458" s="2642"/>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t="e">
        <v>#N/A</v>
      </c>
    </row>
    <row r="459" spans="1:63" ht="15" customHeight="1" x14ac:dyDescent="0.2">
      <c r="A459"/>
      <c r="B459" s="2636"/>
      <c r="C459" s="2637"/>
      <c r="D459" s="2638"/>
      <c r="E459" s="2639"/>
      <c r="F459" s="2640"/>
      <c r="G459" s="2641"/>
      <c r="H459" s="2641"/>
      <c r="I459" s="2641"/>
      <c r="J459" s="2641"/>
      <c r="K459" s="2641"/>
      <c r="L459" s="2642"/>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t="e">
        <v>#N/A</v>
      </c>
    </row>
    <row r="460" spans="1:63" ht="15" customHeight="1" x14ac:dyDescent="0.2">
      <c r="A460"/>
      <c r="B460" s="2636"/>
      <c r="C460" s="2637"/>
      <c r="D460" s="2638"/>
      <c r="E460" s="2639"/>
      <c r="F460" s="2640"/>
      <c r="G460" s="2641"/>
      <c r="H460" s="2641"/>
      <c r="I460" s="2641"/>
      <c r="J460" s="2641"/>
      <c r="K460" s="2641"/>
      <c r="L460" s="2642"/>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t="e">
        <v>#N/A</v>
      </c>
    </row>
    <row r="461" spans="1:63" ht="15" customHeight="1" x14ac:dyDescent="0.2">
      <c r="A461"/>
      <c r="B461" s="2636"/>
      <c r="C461" s="2637"/>
      <c r="D461" s="2638"/>
      <c r="E461" s="2639"/>
      <c r="F461" s="2640"/>
      <c r="G461" s="2641"/>
      <c r="H461" s="2641"/>
      <c r="I461" s="2641"/>
      <c r="J461" s="2641"/>
      <c r="K461" s="2641"/>
      <c r="L461" s="2642"/>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t="e">
        <v>#N/A</v>
      </c>
    </row>
    <row r="462" spans="1:63" ht="15" customHeight="1" x14ac:dyDescent="0.2">
      <c r="A462"/>
      <c r="B462" s="2636"/>
      <c r="C462" s="2637"/>
      <c r="D462" s="2638"/>
      <c r="E462" s="2639"/>
      <c r="F462" s="2640"/>
      <c r="G462" s="2641"/>
      <c r="H462" s="2641"/>
      <c r="I462" s="2641"/>
      <c r="J462" s="2641"/>
      <c r="K462" s="2641"/>
      <c r="L462" s="2642"/>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t="e">
        <v>#N/A</v>
      </c>
    </row>
    <row r="463" spans="1:63" ht="15" customHeight="1" x14ac:dyDescent="0.2">
      <c r="A463"/>
      <c r="B463" s="2636"/>
      <c r="C463" s="2637"/>
      <c r="D463" s="2638"/>
      <c r="E463" s="2639"/>
      <c r="F463" s="2640"/>
      <c r="G463" s="2641"/>
      <c r="H463" s="2641"/>
      <c r="I463" s="2641"/>
      <c r="J463" s="2641"/>
      <c r="K463" s="2641"/>
      <c r="L463" s="2642"/>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t="e">
        <v>#N/A</v>
      </c>
    </row>
    <row r="464" spans="1:63" ht="15" customHeight="1" x14ac:dyDescent="0.2">
      <c r="A464"/>
      <c r="B464" s="2636"/>
      <c r="C464" s="2637"/>
      <c r="D464" s="2638"/>
      <c r="E464" s="2639"/>
      <c r="F464" s="2640"/>
      <c r="G464" s="2641"/>
      <c r="H464" s="2641"/>
      <c r="I464" s="2641"/>
      <c r="J464" s="2641"/>
      <c r="K464" s="2641"/>
      <c r="L464" s="2642"/>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t="e">
        <v>#N/A</v>
      </c>
    </row>
    <row r="465" spans="1:63" ht="15" customHeight="1" x14ac:dyDescent="0.2">
      <c r="A465"/>
      <c r="B465" s="2636"/>
      <c r="C465" s="2637"/>
      <c r="D465" s="2638"/>
      <c r="E465" s="2639"/>
      <c r="F465" s="2640"/>
      <c r="G465" s="2641"/>
      <c r="H465" s="2641"/>
      <c r="I465" s="2641"/>
      <c r="J465" s="2641"/>
      <c r="K465" s="2641"/>
      <c r="L465" s="2642"/>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t="e">
        <v>#N/A</v>
      </c>
    </row>
    <row r="466" spans="1:63" ht="15" customHeight="1" x14ac:dyDescent="0.2">
      <c r="A466"/>
      <c r="B466" s="2636"/>
      <c r="C466" s="2637"/>
      <c r="D466" s="2638"/>
      <c r="E466" s="2639"/>
      <c r="F466" s="2640"/>
      <c r="G466" s="2641"/>
      <c r="H466" s="2641"/>
      <c r="I466" s="2641"/>
      <c r="J466" s="2641"/>
      <c r="K466" s="2641"/>
      <c r="L466" s="2642"/>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t="e">
        <v>#N/A</v>
      </c>
    </row>
    <row r="467" spans="1:63" ht="15" customHeight="1" x14ac:dyDescent="0.2">
      <c r="A467"/>
      <c r="B467" s="2636"/>
      <c r="C467" s="2637"/>
      <c r="D467" s="2638"/>
      <c r="E467" s="2639"/>
      <c r="F467" s="2640"/>
      <c r="G467" s="2641"/>
      <c r="H467" s="2641"/>
      <c r="I467" s="2641"/>
      <c r="J467" s="2641"/>
      <c r="K467" s="2641"/>
      <c r="L467" s="2642"/>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t="e">
        <v>#N/A</v>
      </c>
    </row>
    <row r="468" spans="1:63" ht="15" customHeight="1" x14ac:dyDescent="0.2">
      <c r="A468"/>
      <c r="B468" s="2636"/>
      <c r="C468" s="2637"/>
      <c r="D468" s="2638"/>
      <c r="E468" s="2639"/>
      <c r="F468" s="2640"/>
      <c r="G468" s="2641"/>
      <c r="H468" s="2641"/>
      <c r="I468" s="2641"/>
      <c r="J468" s="2641"/>
      <c r="K468" s="2641"/>
      <c r="L468" s="2642"/>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t="e">
        <v>#N/A</v>
      </c>
    </row>
    <row r="469" spans="1:63" ht="15" customHeight="1" x14ac:dyDescent="0.2">
      <c r="A469"/>
      <c r="B469" s="2636"/>
      <c r="C469" s="2637"/>
      <c r="D469" s="2638"/>
      <c r="E469" s="2639"/>
      <c r="F469" s="2640"/>
      <c r="G469" s="2641"/>
      <c r="H469" s="2641"/>
      <c r="I469" s="2641"/>
      <c r="J469" s="2641"/>
      <c r="K469" s="2641"/>
      <c r="L469" s="2642"/>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t="e">
        <v>#N/A</v>
      </c>
    </row>
    <row r="470" spans="1:63" ht="15" customHeight="1" x14ac:dyDescent="0.2">
      <c r="A470"/>
      <c r="B470" s="2636"/>
      <c r="C470" s="2637"/>
      <c r="D470" s="2638"/>
      <c r="E470" s="2639"/>
      <c r="F470" s="2640"/>
      <c r="G470" s="2641"/>
      <c r="H470" s="2641"/>
      <c r="I470" s="2641"/>
      <c r="J470" s="2641"/>
      <c r="K470" s="2641"/>
      <c r="L470" s="2642"/>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t="e">
        <v>#N/A</v>
      </c>
    </row>
    <row r="471" spans="1:63" ht="15" customHeight="1" x14ac:dyDescent="0.2">
      <c r="A471"/>
      <c r="B471" s="2636"/>
      <c r="C471" s="2637"/>
      <c r="D471" s="2638"/>
      <c r="E471" s="2639"/>
      <c r="F471" s="2640"/>
      <c r="G471" s="2641"/>
      <c r="H471" s="2641"/>
      <c r="I471" s="2641"/>
      <c r="J471" s="2641"/>
      <c r="K471" s="2641"/>
      <c r="L471" s="2642"/>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t="e">
        <v>#N/A</v>
      </c>
    </row>
    <row r="472" spans="1:63" ht="15" customHeight="1" x14ac:dyDescent="0.2">
      <c r="A472"/>
      <c r="B472" s="2636"/>
      <c r="C472" s="2637"/>
      <c r="D472" s="2638"/>
      <c r="E472" s="2639"/>
      <c r="F472" s="2640"/>
      <c r="G472" s="2641"/>
      <c r="H472" s="2641"/>
      <c r="I472" s="2641"/>
      <c r="J472" s="2641"/>
      <c r="K472" s="2641"/>
      <c r="L472" s="2642"/>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t="e">
        <v>#N/A</v>
      </c>
    </row>
    <row r="473" spans="1:63" ht="15" customHeight="1" x14ac:dyDescent="0.2">
      <c r="A473"/>
      <c r="B473" s="2636"/>
      <c r="C473" s="2637"/>
      <c r="D473" s="2638"/>
      <c r="E473" s="2639"/>
      <c r="F473" s="2640"/>
      <c r="G473" s="2641"/>
      <c r="H473" s="2641"/>
      <c r="I473" s="2641"/>
      <c r="J473" s="2641"/>
      <c r="K473" s="2641"/>
      <c r="L473" s="2642"/>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t="e">
        <v>#N/A</v>
      </c>
    </row>
    <row r="474" spans="1:63" ht="15" customHeight="1" x14ac:dyDescent="0.2">
      <c r="A474"/>
      <c r="B474" s="2636"/>
      <c r="C474" s="2637"/>
      <c r="D474" s="2638"/>
      <c r="E474" s="2639"/>
      <c r="F474" s="2640"/>
      <c r="G474" s="2641"/>
      <c r="H474" s="2641"/>
      <c r="I474" s="2641"/>
      <c r="J474" s="2641"/>
      <c r="K474" s="2641"/>
      <c r="L474" s="2642"/>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t="e">
        <v>#N/A</v>
      </c>
    </row>
    <row r="475" spans="1:63" ht="15" customHeight="1" x14ac:dyDescent="0.2">
      <c r="A475"/>
      <c r="B475" s="2636"/>
      <c r="C475" s="2637"/>
      <c r="D475" s="2638"/>
      <c r="E475" s="2639"/>
      <c r="F475" s="2640"/>
      <c r="G475" s="2641"/>
      <c r="H475" s="2641"/>
      <c r="I475" s="2641"/>
      <c r="J475" s="2641"/>
      <c r="K475" s="2641"/>
      <c r="L475" s="2642"/>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t="e">
        <v>#N/A</v>
      </c>
    </row>
    <row r="476" spans="1:63" ht="15" customHeight="1" x14ac:dyDescent="0.2">
      <c r="A476"/>
      <c r="B476" s="2636"/>
      <c r="C476" s="2637"/>
      <c r="D476" s="2638"/>
      <c r="E476" s="2639"/>
      <c r="F476" s="2640"/>
      <c r="G476" s="2641"/>
      <c r="H476" s="2641"/>
      <c r="I476" s="2641"/>
      <c r="J476" s="2641"/>
      <c r="K476" s="2641"/>
      <c r="L476" s="2642"/>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t="e">
        <v>#N/A</v>
      </c>
    </row>
    <row r="477" spans="1:63" ht="15" customHeight="1" x14ac:dyDescent="0.2">
      <c r="A477"/>
      <c r="B477" s="2636"/>
      <c r="C477" s="2637"/>
      <c r="D477" s="2638"/>
      <c r="E477" s="2639"/>
      <c r="F477" s="2640"/>
      <c r="G477" s="2641"/>
      <c r="H477" s="2641"/>
      <c r="I477" s="2641"/>
      <c r="J477" s="2641"/>
      <c r="K477" s="2641"/>
      <c r="L477" s="2642"/>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t="e">
        <v>#N/A</v>
      </c>
    </row>
    <row r="478" spans="1:63" ht="15" customHeight="1" x14ac:dyDescent="0.2">
      <c r="A478"/>
      <c r="B478" s="2636"/>
      <c r="C478" s="2637"/>
      <c r="D478" s="2638"/>
      <c r="E478" s="2639"/>
      <c r="F478" s="2640"/>
      <c r="G478" s="2641"/>
      <c r="H478" s="2641"/>
      <c r="I478" s="2641"/>
      <c r="J478" s="2641"/>
      <c r="K478" s="2641"/>
      <c r="L478" s="2642"/>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t="e">
        <v>#N/A</v>
      </c>
    </row>
    <row r="479" spans="1:63" ht="15" customHeight="1" x14ac:dyDescent="0.2">
      <c r="A479"/>
      <c r="B479" s="2636"/>
      <c r="C479" s="2637"/>
      <c r="D479" s="2638"/>
      <c r="E479" s="2639"/>
      <c r="F479" s="2640"/>
      <c r="G479" s="2641"/>
      <c r="H479" s="2641"/>
      <c r="I479" s="2641"/>
      <c r="J479" s="2641"/>
      <c r="K479" s="2641"/>
      <c r="L479" s="2642"/>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t="e">
        <v>#N/A</v>
      </c>
    </row>
    <row r="480" spans="1:63" ht="15" customHeight="1" x14ac:dyDescent="0.2">
      <c r="A480"/>
      <c r="B480" s="2636"/>
      <c r="C480" s="2637"/>
      <c r="D480" s="2638"/>
      <c r="E480" s="2639"/>
      <c r="F480" s="2640"/>
      <c r="G480" s="2641"/>
      <c r="H480" s="2641"/>
      <c r="I480" s="2641"/>
      <c r="J480" s="2641"/>
      <c r="K480" s="2641"/>
      <c r="L480" s="2642"/>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t="e">
        <v>#N/A</v>
      </c>
    </row>
    <row r="481" spans="1:63" ht="15" customHeight="1" x14ac:dyDescent="0.2">
      <c r="A481"/>
      <c r="B481" s="2636"/>
      <c r="C481" s="2637"/>
      <c r="D481" s="2638"/>
      <c r="E481" s="2639"/>
      <c r="F481" s="2640"/>
      <c r="G481" s="2641"/>
      <c r="H481" s="2641"/>
      <c r="I481" s="2641"/>
      <c r="J481" s="2641"/>
      <c r="K481" s="2641"/>
      <c r="L481" s="2642"/>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t="e">
        <v>#N/A</v>
      </c>
    </row>
    <row r="482" spans="1:63" ht="15" customHeight="1" x14ac:dyDescent="0.2">
      <c r="A482"/>
      <c r="B482" s="2636"/>
      <c r="C482" s="2637"/>
      <c r="D482" s="2638"/>
      <c r="E482" s="2639"/>
      <c r="F482" s="2640"/>
      <c r="G482" s="2641"/>
      <c r="H482" s="2641"/>
      <c r="I482" s="2641"/>
      <c r="J482" s="2641"/>
      <c r="K482" s="2641"/>
      <c r="L482" s="2642"/>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t="e">
        <v>#N/A</v>
      </c>
    </row>
    <row r="483" spans="1:63" ht="15" customHeight="1" x14ac:dyDescent="0.2">
      <c r="A483"/>
      <c r="B483" s="2636"/>
      <c r="C483" s="2637"/>
      <c r="D483" s="2638"/>
      <c r="E483" s="2639"/>
      <c r="F483" s="2640"/>
      <c r="G483" s="2641"/>
      <c r="H483" s="2641"/>
      <c r="I483" s="2641"/>
      <c r="J483" s="2641"/>
      <c r="K483" s="2641"/>
      <c r="L483" s="2642"/>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t="e">
        <v>#N/A</v>
      </c>
    </row>
    <row r="484" spans="1:63" ht="15" customHeight="1" x14ac:dyDescent="0.2">
      <c r="A484"/>
      <c r="B484" s="2636"/>
      <c r="C484" s="2637"/>
      <c r="D484" s="2638"/>
      <c r="E484" s="2639"/>
      <c r="F484" s="2640"/>
      <c r="G484" s="2641"/>
      <c r="H484" s="2641"/>
      <c r="I484" s="2641"/>
      <c r="J484" s="2641"/>
      <c r="K484" s="2641"/>
      <c r="L484" s="2642"/>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t="e">
        <v>#N/A</v>
      </c>
    </row>
    <row r="485" spans="1:63" ht="15" customHeight="1" x14ac:dyDescent="0.2">
      <c r="A485"/>
      <c r="B485" s="2636"/>
      <c r="C485" s="2637"/>
      <c r="D485" s="2638"/>
      <c r="E485" s="2639"/>
      <c r="F485" s="2640"/>
      <c r="G485" s="2641"/>
      <c r="H485" s="2641"/>
      <c r="I485" s="2641"/>
      <c r="J485" s="2641"/>
      <c r="K485" s="2641"/>
      <c r="L485" s="2642"/>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t="e">
        <v>#N/A</v>
      </c>
    </row>
    <row r="486" spans="1:63" ht="15" customHeight="1" x14ac:dyDescent="0.2">
      <c r="A486"/>
      <c r="B486" s="2636"/>
      <c r="C486" s="2637"/>
      <c r="D486" s="2638"/>
      <c r="E486" s="2639"/>
      <c r="F486" s="2640"/>
      <c r="G486" s="2641"/>
      <c r="H486" s="2641"/>
      <c r="I486" s="2641"/>
      <c r="J486" s="2641"/>
      <c r="K486" s="2641"/>
      <c r="L486" s="2642"/>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t="e">
        <v>#N/A</v>
      </c>
    </row>
    <row r="487" spans="1:63" ht="15" customHeight="1" x14ac:dyDescent="0.2">
      <c r="A487"/>
      <c r="B487" s="2636"/>
      <c r="C487" s="2637"/>
      <c r="D487" s="2638"/>
      <c r="E487" s="2639"/>
      <c r="F487" s="2640"/>
      <c r="G487" s="2641"/>
      <c r="H487" s="2641"/>
      <c r="I487" s="2641"/>
      <c r="J487" s="2641"/>
      <c r="K487" s="2641"/>
      <c r="L487" s="2642"/>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t="e">
        <v>#N/A</v>
      </c>
    </row>
    <row r="488" spans="1:63" ht="15" customHeight="1" x14ac:dyDescent="0.2">
      <c r="A488"/>
      <c r="B488" s="2636"/>
      <c r="C488" s="2637"/>
      <c r="D488" s="2638"/>
      <c r="E488" s="2639"/>
      <c r="F488" s="2640"/>
      <c r="G488" s="2641"/>
      <c r="H488" s="2641"/>
      <c r="I488" s="2641"/>
      <c r="J488" s="2641"/>
      <c r="K488" s="2641"/>
      <c r="L488" s="2642"/>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t="e">
        <v>#N/A</v>
      </c>
    </row>
    <row r="489" spans="1:63" ht="15" customHeight="1" x14ac:dyDescent="0.2">
      <c r="A489"/>
      <c r="B489" s="2636"/>
      <c r="C489" s="2637"/>
      <c r="D489" s="2638"/>
      <c r="E489" s="2639"/>
      <c r="F489" s="2640"/>
      <c r="G489" s="2641"/>
      <c r="H489" s="2641"/>
      <c r="I489" s="2641"/>
      <c r="J489" s="2641"/>
      <c r="K489" s="2641"/>
      <c r="L489" s="2642"/>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t="e">
        <v>#N/A</v>
      </c>
    </row>
    <row r="490" spans="1:63" ht="15" customHeight="1" x14ac:dyDescent="0.2">
      <c r="A490"/>
      <c r="B490" s="2636"/>
      <c r="C490" s="2637"/>
      <c r="D490" s="2638"/>
      <c r="E490" s="2639"/>
      <c r="F490" s="2640"/>
      <c r="G490" s="2641"/>
      <c r="H490" s="2641"/>
      <c r="I490" s="2641"/>
      <c r="J490" s="2641"/>
      <c r="K490" s="2641"/>
      <c r="L490" s="2642"/>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t="e">
        <v>#N/A</v>
      </c>
    </row>
    <row r="491" spans="1:63" ht="15" customHeight="1" x14ac:dyDescent="0.2">
      <c r="A491"/>
      <c r="B491" s="2636"/>
      <c r="C491" s="2637"/>
      <c r="D491" s="2638"/>
      <c r="E491" s="2639"/>
      <c r="F491" s="2640"/>
      <c r="G491" s="2641"/>
      <c r="H491" s="2641"/>
      <c r="I491" s="2641"/>
      <c r="J491" s="2641"/>
      <c r="K491" s="2641"/>
      <c r="L491" s="2642"/>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t="e">
        <v>#N/A</v>
      </c>
    </row>
    <row r="492" spans="1:63" ht="15" customHeight="1" x14ac:dyDescent="0.2">
      <c r="A492"/>
      <c r="B492" s="2636"/>
      <c r="C492" s="2637"/>
      <c r="D492" s="2638"/>
      <c r="E492" s="2639"/>
      <c r="F492" s="2640"/>
      <c r="G492" s="2641"/>
      <c r="H492" s="2641"/>
      <c r="I492" s="2641"/>
      <c r="J492" s="2641"/>
      <c r="K492" s="2641"/>
      <c r="L492" s="2642"/>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t="e">
        <v>#N/A</v>
      </c>
    </row>
    <row r="493" spans="1:63" ht="15" customHeight="1" x14ac:dyDescent="0.2">
      <c r="A493"/>
      <c r="B493" s="2636"/>
      <c r="C493" s="2637"/>
      <c r="D493" s="2638"/>
      <c r="E493" s="2639"/>
      <c r="F493" s="2640"/>
      <c r="G493" s="2641"/>
      <c r="H493" s="2641"/>
      <c r="I493" s="2641"/>
      <c r="J493" s="2641"/>
      <c r="K493" s="2641"/>
      <c r="L493" s="2642"/>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t="e">
        <v>#N/A</v>
      </c>
    </row>
    <row r="494" spans="1:63" ht="15" customHeight="1" x14ac:dyDescent="0.2">
      <c r="A494"/>
      <c r="B494" s="2636"/>
      <c r="C494" s="2637"/>
      <c r="D494" s="2638"/>
      <c r="E494" s="2639"/>
      <c r="F494" s="2640"/>
      <c r="G494" s="2641"/>
      <c r="H494" s="2641"/>
      <c r="I494" s="2641"/>
      <c r="J494" s="2641"/>
      <c r="K494" s="2641"/>
      <c r="L494" s="2642"/>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t="e">
        <v>#N/A</v>
      </c>
    </row>
    <row r="495" spans="1:63" ht="15" customHeight="1" x14ac:dyDescent="0.2">
      <c r="A495"/>
      <c r="B495" s="2636"/>
      <c r="C495" s="2637"/>
      <c r="D495" s="2638"/>
      <c r="E495" s="2639"/>
      <c r="F495" s="2640"/>
      <c r="G495" s="2641"/>
      <c r="H495" s="2641"/>
      <c r="I495" s="2641"/>
      <c r="J495" s="2641"/>
      <c r="K495" s="2641"/>
      <c r="L495" s="2642"/>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t="e">
        <v>#N/A</v>
      </c>
    </row>
    <row r="496" spans="1:63" ht="15" customHeight="1" x14ac:dyDescent="0.2">
      <c r="A496"/>
      <c r="B496" s="2636"/>
      <c r="C496" s="2637"/>
      <c r="D496" s="2638"/>
      <c r="E496" s="2639"/>
      <c r="F496" s="2640"/>
      <c r="G496" s="2641"/>
      <c r="H496" s="2641"/>
      <c r="I496" s="2641"/>
      <c r="J496" s="2641"/>
      <c r="K496" s="2641"/>
      <c r="L496" s="2642"/>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t="e">
        <v>#N/A</v>
      </c>
    </row>
    <row r="497" spans="1:63" ht="15" customHeight="1" x14ac:dyDescent="0.2">
      <c r="A497"/>
      <c r="B497" s="2636"/>
      <c r="C497" s="2637"/>
      <c r="D497" s="2638"/>
      <c r="E497" s="2639"/>
      <c r="F497" s="2640"/>
      <c r="G497" s="2641"/>
      <c r="H497" s="2641"/>
      <c r="I497" s="2641"/>
      <c r="J497" s="2641"/>
      <c r="K497" s="2641"/>
      <c r="L497" s="2642"/>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t="e">
        <v>#N/A</v>
      </c>
    </row>
    <row r="498" spans="1:63" ht="15" customHeight="1" thickBot="1" x14ac:dyDescent="0.25">
      <c r="A498"/>
      <c r="B498" s="2649"/>
      <c r="C498" s="2650"/>
      <c r="D498" s="2651"/>
      <c r="E498" s="2652"/>
      <c r="F498" s="2653"/>
      <c r="G498" s="2654"/>
      <c r="H498" s="2654"/>
      <c r="I498" s="2654"/>
      <c r="J498" s="2654"/>
      <c r="K498" s="2654"/>
      <c r="L498" s="2655"/>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t="e">
        <v>#N/A</v>
      </c>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algorithmName="SHA-512" hashValue="XhvC4iOgmylGXd6ZDvRUQGFRv51OuZ/mMChHmx//sSZvofccaqLhJAzmaDHdbetlA2aeBCDngd3f/s8deBz74w==" saltValue="aLRAcYAD/x4x0PICH8XRLQ==" spinCount="100000" sheet="1" objects="1" scenarios="1" selectLockedCells="1"/>
  <mergeCells count="2">
    <mergeCell ref="D2:E2"/>
    <mergeCell ref="AD2:AE2"/>
  </mergeCells>
  <phoneticPr fontId="28" type="noConversion"/>
  <conditionalFormatting sqref="G3:G498">
    <cfRule type="expression" dxfId="891" priority="39" stopIfTrue="1">
      <formula>AND(M3&lt;&gt;"",G3="")</formula>
    </cfRule>
  </conditionalFormatting>
  <conditionalFormatting sqref="J3:J498">
    <cfRule type="expression" dxfId="890" priority="40" stopIfTrue="1">
      <formula>AND(M3="C",J3="")</formula>
    </cfRule>
  </conditionalFormatting>
  <conditionalFormatting sqref="H3:H498">
    <cfRule type="expression" dxfId="889" priority="2" stopIfTrue="1">
      <formula>AND(H3="",M3="C")</formula>
    </cfRule>
    <cfRule type="expression" dxfId="888" priority="45" stopIfTrue="1">
      <formula>AND(H3="",OR(M3="B",M3="G"))</formula>
    </cfRule>
  </conditionalFormatting>
  <conditionalFormatting sqref="I3:I498">
    <cfRule type="expression" dxfId="887" priority="46" stopIfTrue="1">
      <formula>AND(H3&lt;&gt;"",I3="")</formula>
    </cfRule>
  </conditionalFormatting>
  <conditionalFormatting sqref="K3:K498">
    <cfRule type="expression" dxfId="886" priority="3" stopIfTrue="1">
      <formula>AND(M3="C",K3="")</formula>
    </cfRule>
    <cfRule type="expression" dxfId="885" priority="47" stopIfTrue="1">
      <formula>AND(M3="C",K3="")</formula>
    </cfRule>
  </conditionalFormatting>
  <conditionalFormatting sqref="L3:L498">
    <cfRule type="expression" dxfId="884" priority="48" stopIfTrue="1">
      <formula>AND(M3="C",L3="",K3&lt;&gt;"")</formula>
    </cfRule>
  </conditionalFormatting>
  <conditionalFormatting sqref="C3:C498">
    <cfRule type="expression" dxfId="883" priority="18" stopIfTrue="1">
      <formula>AND(NOT(ISBLANK(B3)),ISBLANK(C3))</formula>
    </cfRule>
  </conditionalFormatting>
  <conditionalFormatting sqref="E3:E498">
    <cfRule type="expression" dxfId="882" priority="41" stopIfTrue="1">
      <formula>AND(NOT(ISBLANK(C3)),ISBLANK(E3))</formula>
    </cfRule>
  </conditionalFormatting>
  <conditionalFormatting sqref="D3:D498">
    <cfRule type="expression" dxfId="881" priority="43" stopIfTrue="1">
      <formula>AND(NOT(ISBLANK(C3)),ISBLANK(D3))</formula>
    </cfRule>
  </conditionalFormatting>
  <conditionalFormatting sqref="B3:L498">
    <cfRule type="expression" dxfId="88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22.0922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J10" sqref="J10"/>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customWidth="1"/>
    <col min="8" max="14" width="5.7109375" style="1" customWidth="1"/>
    <col min="15" max="15" width="7.28515625" style="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2"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3" t="s">
        <v>453</v>
      </c>
      <c r="AF1" s="2603" t="s">
        <v>1182</v>
      </c>
      <c r="AG1" s="1873" t="s">
        <v>1179</v>
      </c>
      <c r="AH1" s="1204"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9"/>
      <c r="X2" s="54"/>
      <c r="Z2" s="84"/>
      <c r="AC2" s="49">
        <f>IF(ISBLANK(W1),"",W1)</f>
        <v>1</v>
      </c>
      <c r="AD2" s="82" t="s">
        <v>117</v>
      </c>
      <c r="AE2" s="87" t="str">
        <f>IF(ISBLANK(Z1),"",Z1)</f>
        <v/>
      </c>
      <c r="AF2" s="2604"/>
      <c r="AG2" s="1875"/>
      <c r="AI2" s="1019" t="s">
        <v>598</v>
      </c>
      <c r="AJ2" s="1027" t="s">
        <v>1122</v>
      </c>
      <c r="AK2" s="1020"/>
      <c r="AL2" s="1020"/>
      <c r="AM2" s="1020"/>
      <c r="AN2" s="1020"/>
      <c r="AO2" s="1020"/>
      <c r="AR2" s="257" t="s">
        <v>1383</v>
      </c>
    </row>
    <row r="3" spans="2:49" ht="14.25" thickTop="1" thickBot="1" x14ac:dyDescent="0.25">
      <c r="C3" s="12" t="s">
        <v>66</v>
      </c>
      <c r="D3" s="2607" t="s">
        <v>1830</v>
      </c>
      <c r="E3" s="2608"/>
      <c r="G3" s="2611" t="s">
        <v>569</v>
      </c>
      <c r="H3" s="2612"/>
      <c r="I3" s="2612"/>
      <c r="J3" s="2612"/>
      <c r="K3" s="2612"/>
      <c r="L3" s="2612"/>
      <c r="M3" s="2612"/>
      <c r="N3" s="2612"/>
      <c r="O3" s="2613"/>
      <c r="T3" s="31" t="s">
        <v>461</v>
      </c>
      <c r="U3" s="1537" t="b">
        <v>0</v>
      </c>
      <c r="X3" s="54"/>
      <c r="Z3" s="84"/>
      <c r="AC3" s="1214" t="str">
        <f t="shared" ref="AC3:AC66" si="0">IF(ISBLANK(W2),"",W2)</f>
        <v/>
      </c>
      <c r="AD3" s="1205" t="str">
        <f t="shared" ref="AD3:AD66" si="1">IF(ISBLANK(V2),"",V2)</f>
        <v/>
      </c>
      <c r="AE3" s="1206" t="str">
        <f t="shared" ref="AE3:AE66" si="2">IF(ISBLANK(Z2),"",Z2)</f>
        <v/>
      </c>
      <c r="AF3" s="1211"/>
      <c r="AG3" s="1212"/>
      <c r="AI3" s="1018">
        <v>0</v>
      </c>
      <c r="AJ3" s="1021">
        <v>1.1499999999999999</v>
      </c>
      <c r="AK3" s="1021"/>
      <c r="AL3" s="1021"/>
      <c r="AM3" s="1021"/>
      <c r="AN3" s="1021"/>
      <c r="AO3" s="1021"/>
      <c r="AR3" s="633" t="s">
        <v>1384</v>
      </c>
    </row>
    <row r="4" spans="2:49" x14ac:dyDescent="0.2">
      <c r="C4" s="13" t="s">
        <v>67</v>
      </c>
      <c r="D4" s="2609" t="s">
        <v>1831</v>
      </c>
      <c r="E4" s="2610"/>
      <c r="G4" s="2620" t="s">
        <v>570</v>
      </c>
      <c r="H4" s="2614" t="s">
        <v>577</v>
      </c>
      <c r="I4" s="2614" t="s">
        <v>571</v>
      </c>
      <c r="J4" s="2614" t="s">
        <v>572</v>
      </c>
      <c r="K4" s="2614" t="s">
        <v>580</v>
      </c>
      <c r="L4" s="2614" t="s">
        <v>573</v>
      </c>
      <c r="M4" s="2614" t="s">
        <v>574</v>
      </c>
      <c r="N4" s="2614" t="s">
        <v>942</v>
      </c>
      <c r="O4" s="2617" t="s">
        <v>684</v>
      </c>
      <c r="T4" s="31" t="s">
        <v>1258</v>
      </c>
      <c r="U4" s="1537" t="b">
        <v>1</v>
      </c>
      <c r="X4" s="85"/>
      <c r="Z4" s="84"/>
      <c r="AC4" s="1214" t="str">
        <f t="shared" si="0"/>
        <v/>
      </c>
      <c r="AD4" s="1205" t="str">
        <f t="shared" si="1"/>
        <v/>
      </c>
      <c r="AE4" s="1206" t="str">
        <f t="shared" si="2"/>
        <v/>
      </c>
      <c r="AF4" s="1207"/>
      <c r="AG4" s="1208"/>
      <c r="AI4" s="1018" t="s">
        <v>1123</v>
      </c>
      <c r="AJ4" s="1021">
        <v>1.1499999999999999</v>
      </c>
      <c r="AK4" s="1022"/>
      <c r="AL4" s="1022"/>
      <c r="AM4" s="1022"/>
      <c r="AN4" s="1022"/>
      <c r="AO4" s="1022"/>
      <c r="AR4" s="633" t="s">
        <v>1389</v>
      </c>
    </row>
    <row r="5" spans="2:49" x14ac:dyDescent="0.2">
      <c r="C5" s="13" t="s">
        <v>68</v>
      </c>
      <c r="D5" s="2609" t="s">
        <v>1832</v>
      </c>
      <c r="E5" s="2610"/>
      <c r="G5" s="2621"/>
      <c r="H5" s="2615"/>
      <c r="I5" s="2615"/>
      <c r="J5" s="2615"/>
      <c r="K5" s="2615"/>
      <c r="L5" s="2615"/>
      <c r="M5" s="2615"/>
      <c r="N5" s="2615"/>
      <c r="O5" s="2618"/>
      <c r="T5" s="31" t="s">
        <v>792</v>
      </c>
      <c r="U5" s="1213" t="b">
        <v>0</v>
      </c>
      <c r="X5" s="85"/>
      <c r="Z5" s="84"/>
      <c r="AC5" s="1214" t="str">
        <f t="shared" si="0"/>
        <v/>
      </c>
      <c r="AD5" s="1205" t="str">
        <f t="shared" si="1"/>
        <v/>
      </c>
      <c r="AE5" s="1206" t="str">
        <f t="shared" si="2"/>
        <v/>
      </c>
      <c r="AF5" s="1207"/>
      <c r="AG5" s="1539"/>
      <c r="AI5" s="1014" t="s">
        <v>1124</v>
      </c>
      <c r="AJ5" s="1022">
        <v>0.87</v>
      </c>
      <c r="AK5" s="1022"/>
      <c r="AL5" s="1022"/>
      <c r="AM5" s="1022"/>
      <c r="AN5" s="1022"/>
      <c r="AO5" s="1022"/>
      <c r="AR5" s="633" t="s">
        <v>1385</v>
      </c>
    </row>
    <row r="6" spans="2:49" ht="13.5" thickBot="1" x14ac:dyDescent="0.25">
      <c r="C6" s="13" t="s">
        <v>69</v>
      </c>
      <c r="D6" s="2609" t="s">
        <v>1833</v>
      </c>
      <c r="E6" s="2610"/>
      <c r="G6" s="2622"/>
      <c r="H6" s="2616"/>
      <c r="I6" s="2616"/>
      <c r="J6" s="2616"/>
      <c r="K6" s="2616"/>
      <c r="L6" s="2616"/>
      <c r="M6" s="2616"/>
      <c r="N6" s="2616"/>
      <c r="O6" s="2619"/>
      <c r="T6" s="31" t="s">
        <v>791</v>
      </c>
      <c r="U6" s="1213" t="b">
        <v>0</v>
      </c>
      <c r="X6" s="85"/>
      <c r="Z6" s="84"/>
      <c r="AC6" s="1214" t="str">
        <f t="shared" si="0"/>
        <v/>
      </c>
      <c r="AD6" s="1205" t="str">
        <f t="shared" si="1"/>
        <v/>
      </c>
      <c r="AE6" s="1206" t="str">
        <f t="shared" si="2"/>
        <v/>
      </c>
      <c r="AF6" s="1207"/>
      <c r="AG6" s="1208"/>
      <c r="AI6" s="1014" t="s">
        <v>1125</v>
      </c>
      <c r="AJ6" s="1022">
        <v>1</v>
      </c>
      <c r="AK6" s="1022"/>
      <c r="AL6" s="1022"/>
      <c r="AM6" s="1022"/>
      <c r="AN6" s="1022"/>
      <c r="AO6" s="1022"/>
      <c r="AR6" s="633" t="s">
        <v>1386</v>
      </c>
    </row>
    <row r="7" spans="2:49" ht="13.5" thickTop="1" x14ac:dyDescent="0.2">
      <c r="C7" s="13" t="s">
        <v>70</v>
      </c>
      <c r="D7" s="2609" t="s">
        <v>1834</v>
      </c>
      <c r="E7" s="2610"/>
      <c r="G7" s="965" t="s">
        <v>575</v>
      </c>
      <c r="H7" s="966">
        <v>2.5</v>
      </c>
      <c r="I7" s="966">
        <v>2.5</v>
      </c>
      <c r="J7" s="966">
        <v>4</v>
      </c>
      <c r="K7" s="966">
        <v>3.5</v>
      </c>
      <c r="L7" s="1297">
        <v>1.5</v>
      </c>
      <c r="M7" s="967">
        <v>0.5625</v>
      </c>
      <c r="N7" s="966">
        <v>1</v>
      </c>
      <c r="O7" s="968">
        <v>2.5</v>
      </c>
      <c r="T7" s="31" t="s">
        <v>798</v>
      </c>
      <c r="U7" s="1213" t="b">
        <v>0</v>
      </c>
      <c r="X7" s="85"/>
      <c r="Z7" s="84"/>
      <c r="AC7" s="1214" t="str">
        <f t="shared" si="0"/>
        <v/>
      </c>
      <c r="AD7" s="1205" t="str">
        <f t="shared" si="1"/>
        <v/>
      </c>
      <c r="AE7" s="1206" t="str">
        <f t="shared" si="2"/>
        <v/>
      </c>
      <c r="AF7" s="1207"/>
      <c r="AG7" s="1208"/>
      <c r="AI7" s="1014" t="s">
        <v>1126</v>
      </c>
      <c r="AJ7" s="1022">
        <v>1.1499999999999999</v>
      </c>
      <c r="AK7" s="1022"/>
      <c r="AL7" s="1022"/>
      <c r="AM7" s="1022"/>
      <c r="AN7" s="1022"/>
      <c r="AO7" s="1022"/>
      <c r="AR7" s="633" t="s">
        <v>1387</v>
      </c>
    </row>
    <row r="8" spans="2:49" x14ac:dyDescent="0.2">
      <c r="C8" s="13" t="s">
        <v>71</v>
      </c>
      <c r="D8" s="2625">
        <v>44909</v>
      </c>
      <c r="E8" s="2626"/>
      <c r="G8" s="969" t="s">
        <v>1116</v>
      </c>
      <c r="H8" s="970">
        <v>2.5</v>
      </c>
      <c r="I8" s="970">
        <v>2.5</v>
      </c>
      <c r="J8" s="970">
        <v>4</v>
      </c>
      <c r="K8" s="970">
        <v>3.5</v>
      </c>
      <c r="L8" s="1298">
        <v>1.5</v>
      </c>
      <c r="M8" s="971">
        <v>0.5625</v>
      </c>
      <c r="N8" s="970">
        <v>1</v>
      </c>
      <c r="O8" s="972">
        <v>2.5</v>
      </c>
      <c r="T8" s="31" t="s">
        <v>1169</v>
      </c>
      <c r="U8" s="1213" t="b">
        <v>1</v>
      </c>
      <c r="X8" s="85"/>
      <c r="Z8" s="84"/>
      <c r="AC8" s="1214" t="str">
        <f t="shared" si="0"/>
        <v/>
      </c>
      <c r="AD8" s="1205" t="str">
        <f t="shared" si="1"/>
        <v/>
      </c>
      <c r="AE8" s="1206" t="str">
        <f t="shared" si="2"/>
        <v/>
      </c>
      <c r="AF8" s="1207"/>
      <c r="AG8" s="1208"/>
      <c r="AI8" s="1014" t="s">
        <v>1127</v>
      </c>
      <c r="AJ8" s="1022">
        <v>1</v>
      </c>
      <c r="AK8" s="1022"/>
      <c r="AL8" s="1022"/>
      <c r="AM8" s="1022"/>
      <c r="AN8" s="1022"/>
      <c r="AO8" s="1022"/>
      <c r="AU8" s="1687"/>
    </row>
    <row r="9" spans="2:49" x14ac:dyDescent="0.2">
      <c r="C9" s="13" t="s">
        <v>72</v>
      </c>
      <c r="D9" s="2609">
        <v>28</v>
      </c>
      <c r="E9" s="2610"/>
      <c r="G9" s="969" t="s">
        <v>1117</v>
      </c>
      <c r="H9" s="970">
        <v>2.5</v>
      </c>
      <c r="I9" s="970">
        <v>2.5</v>
      </c>
      <c r="J9" s="970">
        <v>4</v>
      </c>
      <c r="K9" s="970">
        <v>3.5</v>
      </c>
      <c r="L9" s="1298">
        <v>1.5</v>
      </c>
      <c r="M9" s="971">
        <v>0.5625</v>
      </c>
      <c r="N9" s="970">
        <v>1</v>
      </c>
      <c r="O9" s="972">
        <v>2.5</v>
      </c>
      <c r="T9" s="31" t="s">
        <v>1266</v>
      </c>
      <c r="U9" s="1213">
        <f>COUNTA(AF:AF)-1</f>
        <v>0</v>
      </c>
      <c r="X9" s="85"/>
      <c r="Z9" s="84"/>
      <c r="AC9" s="1214" t="str">
        <f t="shared" si="0"/>
        <v/>
      </c>
      <c r="AD9" s="1205" t="str">
        <f t="shared" si="1"/>
        <v/>
      </c>
      <c r="AE9" s="1206" t="str">
        <f t="shared" si="2"/>
        <v/>
      </c>
      <c r="AF9" s="1209"/>
      <c r="AG9" s="1208"/>
      <c r="AI9" s="1014" t="s">
        <v>1128</v>
      </c>
      <c r="AJ9" s="1022">
        <v>1.1499999999999999</v>
      </c>
      <c r="AK9" s="1022"/>
      <c r="AL9" s="1022"/>
      <c r="AM9" s="1022"/>
      <c r="AN9" s="1022"/>
      <c r="AO9" s="1022"/>
    </row>
    <row r="10" spans="2:49" ht="13.5" thickBot="1" x14ac:dyDescent="0.25">
      <c r="C10" s="14"/>
      <c r="D10" s="2629"/>
      <c r="E10" s="2630"/>
      <c r="G10" s="969" t="s">
        <v>1294</v>
      </c>
      <c r="H10" s="970">
        <v>5</v>
      </c>
      <c r="I10" s="970">
        <v>2.5</v>
      </c>
      <c r="J10" s="970">
        <v>4</v>
      </c>
      <c r="K10" s="970">
        <v>4</v>
      </c>
      <c r="L10" s="1298">
        <v>1.5</v>
      </c>
      <c r="M10" s="971">
        <v>0.8125</v>
      </c>
      <c r="N10" s="970">
        <v>2</v>
      </c>
      <c r="O10" s="972">
        <v>4</v>
      </c>
      <c r="R10" s="778"/>
      <c r="T10" s="31" t="s">
        <v>1259</v>
      </c>
      <c r="U10" s="1537" t="b">
        <v>1</v>
      </c>
      <c r="X10" s="85"/>
      <c r="Z10" s="84"/>
      <c r="AC10" s="1214" t="str">
        <f t="shared" si="0"/>
        <v/>
      </c>
      <c r="AD10" s="1205" t="str">
        <f t="shared" si="1"/>
        <v/>
      </c>
      <c r="AE10" s="1206" t="str">
        <f t="shared" si="2"/>
        <v/>
      </c>
      <c r="AF10" s="1207"/>
      <c r="AG10" s="1208"/>
      <c r="AI10" s="1015"/>
      <c r="AJ10" s="1022"/>
      <c r="AK10" s="1022"/>
      <c r="AL10" s="1022"/>
      <c r="AM10" s="1022"/>
      <c r="AN10" s="1022"/>
      <c r="AO10" s="1022"/>
    </row>
    <row r="11" spans="2:49" x14ac:dyDescent="0.2">
      <c r="C11" s="15" t="s">
        <v>83</v>
      </c>
      <c r="D11" s="2627" t="str">
        <f ca="1">IF(P34=0,"",OFFSET(R33,1+((P34-1)*6),0))</f>
        <v>8200 Woolery Way | Fallon, NV 89406 | www.newmill.com</v>
      </c>
      <c r="E11" s="2628"/>
      <c r="G11" s="969" t="s">
        <v>1295</v>
      </c>
      <c r="H11" s="970">
        <v>5</v>
      </c>
      <c r="I11" s="970">
        <v>4</v>
      </c>
      <c r="J11" s="970">
        <v>4</v>
      </c>
      <c r="K11" s="970">
        <v>4</v>
      </c>
      <c r="L11" s="1298">
        <v>1.5</v>
      </c>
      <c r="M11" s="971">
        <v>0.8125</v>
      </c>
      <c r="N11" s="970">
        <v>2</v>
      </c>
      <c r="O11" s="972">
        <v>4</v>
      </c>
      <c r="X11" s="85"/>
      <c r="Z11" s="84"/>
      <c r="AC11" s="1214" t="str">
        <f t="shared" si="0"/>
        <v/>
      </c>
      <c r="AD11" s="1205" t="str">
        <f t="shared" si="1"/>
        <v/>
      </c>
      <c r="AE11" s="1206" t="str">
        <f t="shared" si="2"/>
        <v/>
      </c>
      <c r="AF11" s="1207"/>
      <c r="AG11" s="1208"/>
      <c r="AI11" s="1015"/>
      <c r="AJ11" s="1022"/>
      <c r="AK11" s="1022"/>
      <c r="AL11" s="1022"/>
      <c r="AM11" s="1022"/>
      <c r="AN11" s="1022"/>
      <c r="AO11" s="1022"/>
    </row>
    <row r="12" spans="2:49" x14ac:dyDescent="0.2">
      <c r="C12" s="16" t="s">
        <v>84</v>
      </c>
      <c r="D12" s="2634" t="str">
        <f ca="1">IF(P34=0,"",OFFSET(R33,2+((P34-1)*6),0))</f>
        <v>775-428-0600</v>
      </c>
      <c r="E12" s="2635"/>
      <c r="G12" s="969" t="s">
        <v>1118</v>
      </c>
      <c r="H12" s="970">
        <v>5</v>
      </c>
      <c r="I12" s="970">
        <v>4</v>
      </c>
      <c r="J12" s="970">
        <v>4</v>
      </c>
      <c r="K12" s="970">
        <v>4</v>
      </c>
      <c r="L12" s="1298">
        <v>1.5</v>
      </c>
      <c r="M12" s="971">
        <v>0.8125</v>
      </c>
      <c r="N12" s="970">
        <v>2</v>
      </c>
      <c r="O12" s="972">
        <v>4</v>
      </c>
      <c r="R12" s="779"/>
      <c r="X12" s="85"/>
      <c r="Z12" s="84"/>
      <c r="AC12" s="1214" t="str">
        <f t="shared" si="0"/>
        <v/>
      </c>
      <c r="AD12" s="1205" t="str">
        <f t="shared" si="1"/>
        <v/>
      </c>
      <c r="AE12" s="1206" t="str">
        <f t="shared" si="2"/>
        <v/>
      </c>
      <c r="AF12" s="1207"/>
      <c r="AG12" s="1208"/>
      <c r="AI12" s="1023"/>
      <c r="AJ12" s="1024"/>
      <c r="AK12" s="1024"/>
      <c r="AL12" s="1024"/>
      <c r="AM12" s="1024"/>
      <c r="AN12" s="1024"/>
      <c r="AO12" s="1024"/>
    </row>
    <row r="13" spans="2:49" x14ac:dyDescent="0.2">
      <c r="C13" s="16" t="s">
        <v>85</v>
      </c>
      <c r="D13" s="2634" t="str">
        <f ca="1">IF(P34=0,"",OFFSET(R33,3+((P34-1)*6),0))</f>
        <v>775-867-2140</v>
      </c>
      <c r="E13" s="2635"/>
      <c r="G13" s="969" t="s">
        <v>1119</v>
      </c>
      <c r="H13" s="970">
        <v>5</v>
      </c>
      <c r="I13" s="970">
        <v>4</v>
      </c>
      <c r="J13" s="970">
        <v>4</v>
      </c>
      <c r="K13" s="970">
        <v>4</v>
      </c>
      <c r="L13" s="1298">
        <v>1.5</v>
      </c>
      <c r="M13" s="971">
        <v>0.8125</v>
      </c>
      <c r="N13" s="970">
        <v>2</v>
      </c>
      <c r="O13" s="972">
        <v>4</v>
      </c>
      <c r="T13" s="256"/>
      <c r="U13" s="257"/>
      <c r="X13" s="85"/>
      <c r="Z13" s="84"/>
      <c r="AC13" s="1214" t="str">
        <f t="shared" si="0"/>
        <v/>
      </c>
      <c r="AD13" s="1205" t="str">
        <f t="shared" si="1"/>
        <v/>
      </c>
      <c r="AE13" s="1206" t="str">
        <f t="shared" si="2"/>
        <v/>
      </c>
      <c r="AF13" s="1207"/>
      <c r="AG13" s="1208"/>
    </row>
    <row r="14" spans="2:49" x14ac:dyDescent="0.2">
      <c r="C14" s="16" t="s">
        <v>86</v>
      </c>
      <c r="D14" s="2634" t="str">
        <f ca="1">IF(P34=0,"",OFFSET(R33,4+((P34-1)*6),0))</f>
        <v>775-867-2169</v>
      </c>
      <c r="E14" s="2635"/>
      <c r="G14" s="969" t="s">
        <v>1120</v>
      </c>
      <c r="H14" s="970">
        <v>5</v>
      </c>
      <c r="I14" s="970">
        <v>4</v>
      </c>
      <c r="J14" s="970">
        <v>6</v>
      </c>
      <c r="K14" s="970">
        <v>4</v>
      </c>
      <c r="L14" s="1298">
        <v>1.5</v>
      </c>
      <c r="M14" s="971">
        <v>0.8125</v>
      </c>
      <c r="N14" s="970">
        <v>2</v>
      </c>
      <c r="O14" s="972">
        <v>4</v>
      </c>
      <c r="T14" s="256" t="s">
        <v>956</v>
      </c>
      <c r="U14" s="758">
        <v>44826</v>
      </c>
      <c r="X14" s="85"/>
      <c r="Z14" s="84"/>
      <c r="AC14" s="1214" t="str">
        <f t="shared" si="0"/>
        <v/>
      </c>
      <c r="AD14" s="1205" t="str">
        <f t="shared" si="1"/>
        <v/>
      </c>
      <c r="AE14" s="1206" t="str">
        <f t="shared" si="2"/>
        <v/>
      </c>
      <c r="AF14" s="1207"/>
      <c r="AG14" s="1210"/>
    </row>
    <row r="15" spans="2:49" ht="13.5" thickBot="1" x14ac:dyDescent="0.25">
      <c r="C15" s="17" t="s">
        <v>87</v>
      </c>
      <c r="D15" s="2623" t="str">
        <f ca="1">IF(P34=0,"",OFFSET(R33,5+((P34-1)*6),0))</f>
        <v>775-867-2060</v>
      </c>
      <c r="E15" s="2624"/>
      <c r="G15" s="973" t="s">
        <v>566</v>
      </c>
      <c r="H15" s="974">
        <v>7.5</v>
      </c>
      <c r="I15" s="974">
        <v>4</v>
      </c>
      <c r="J15" s="974">
        <v>6</v>
      </c>
      <c r="K15" s="974">
        <v>5</v>
      </c>
      <c r="L15" s="1299">
        <v>1.5</v>
      </c>
      <c r="M15" s="975">
        <v>0.8125</v>
      </c>
      <c r="N15" s="974">
        <v>3</v>
      </c>
      <c r="O15" s="976">
        <v>5</v>
      </c>
      <c r="T15" s="256" t="s">
        <v>954</v>
      </c>
      <c r="U15" s="854" t="str">
        <f>CONCATENATE(TEXT(U14,"yy"),".",TEXT(U14,"mmdd"))</f>
        <v>22.0922</v>
      </c>
      <c r="X15" s="85"/>
      <c r="Z15" s="84"/>
      <c r="AC15" s="1214" t="str">
        <f t="shared" si="0"/>
        <v/>
      </c>
      <c r="AD15" s="1205" t="str">
        <f t="shared" si="1"/>
        <v/>
      </c>
      <c r="AE15" s="1206" t="str">
        <f t="shared" si="2"/>
        <v/>
      </c>
      <c r="AF15" s="1209"/>
      <c r="AG15" s="1208"/>
    </row>
    <row r="16" spans="2:49" x14ac:dyDescent="0.2">
      <c r="D16" s="93" t="s">
        <v>698</v>
      </c>
      <c r="E16" s="634">
        <v>22.092199999999998</v>
      </c>
      <c r="F16" s="82"/>
      <c r="T16" s="256" t="s">
        <v>955</v>
      </c>
      <c r="U16" s="855">
        <v>1</v>
      </c>
      <c r="X16" s="85"/>
      <c r="Z16" s="84"/>
      <c r="AC16" s="1214" t="str">
        <f t="shared" si="0"/>
        <v/>
      </c>
      <c r="AD16" s="1205" t="str">
        <f t="shared" si="1"/>
        <v/>
      </c>
      <c r="AE16" s="1206" t="str">
        <f t="shared" si="2"/>
        <v/>
      </c>
      <c r="AF16" s="1207"/>
      <c r="AG16" s="1208"/>
    </row>
    <row r="17" spans="3:33" ht="13.5" thickBot="1" x14ac:dyDescent="0.25">
      <c r="T17" s="256"/>
      <c r="U17" s="855" t="str">
        <f>CONCATENATE(TEXT(U14,"yy"),".",TEXT(U14,"mmdd"),".",TEXT(U16,"##"))</f>
        <v>22.0922.1</v>
      </c>
      <c r="X17" s="85"/>
      <c r="Z17" s="84"/>
      <c r="AC17" s="1214" t="str">
        <f t="shared" si="0"/>
        <v/>
      </c>
      <c r="AD17" s="1205" t="str">
        <f t="shared" si="1"/>
        <v/>
      </c>
      <c r="AE17" s="1206" t="str">
        <f t="shared" si="2"/>
        <v/>
      </c>
      <c r="AF17" s="1207"/>
      <c r="AG17" s="1208"/>
    </row>
    <row r="18" spans="3:33" ht="13.5" thickBot="1" x14ac:dyDescent="0.25">
      <c r="G18" s="2631" t="s">
        <v>1108</v>
      </c>
      <c r="H18" s="2632"/>
      <c r="I18" s="2632"/>
      <c r="J18" s="2632"/>
      <c r="K18" s="2632"/>
      <c r="L18" s="2632"/>
      <c r="M18" s="2633"/>
      <c r="X18" s="85"/>
      <c r="Z18" s="84"/>
      <c r="AC18" s="1214" t="str">
        <f t="shared" si="0"/>
        <v/>
      </c>
      <c r="AD18" s="1205" t="str">
        <f t="shared" si="1"/>
        <v/>
      </c>
      <c r="AE18" s="1206" t="str">
        <f t="shared" si="2"/>
        <v/>
      </c>
      <c r="AF18" s="1207"/>
      <c r="AG18" s="1208"/>
    </row>
    <row r="19" spans="3:33" ht="13.5" thickBot="1" x14ac:dyDescent="0.25">
      <c r="G19" s="2605" t="s">
        <v>650</v>
      </c>
      <c r="H19" s="2606"/>
      <c r="I19" s="2606"/>
      <c r="J19" s="2606"/>
      <c r="K19" s="2606"/>
      <c r="L19" s="977">
        <v>0.375</v>
      </c>
      <c r="M19" s="978" t="s">
        <v>576</v>
      </c>
      <c r="Z19" s="84"/>
      <c r="AC19" s="1214" t="str">
        <f t="shared" si="0"/>
        <v/>
      </c>
      <c r="AD19" s="1205" t="str">
        <f t="shared" si="1"/>
        <v/>
      </c>
      <c r="AE19" s="1206" t="str">
        <f t="shared" si="2"/>
        <v/>
      </c>
      <c r="AF19" s="1207"/>
      <c r="AG19" s="1208"/>
    </row>
    <row r="20" spans="3:33" ht="13.5" thickBot="1" x14ac:dyDescent="0.25">
      <c r="G20" s="2605" t="s">
        <v>653</v>
      </c>
      <c r="H20" s="2606"/>
      <c r="I20" s="2606"/>
      <c r="J20" s="2606"/>
      <c r="K20" s="2606"/>
      <c r="L20" s="979">
        <v>0.1875</v>
      </c>
      <c r="M20" s="633"/>
      <c r="AC20" s="1214" t="str">
        <f t="shared" si="0"/>
        <v/>
      </c>
      <c r="AD20" s="1205" t="str">
        <f t="shared" si="1"/>
        <v/>
      </c>
      <c r="AE20" s="1206" t="str">
        <f t="shared" si="2"/>
        <v/>
      </c>
      <c r="AF20" s="1207"/>
      <c r="AG20" s="1208"/>
    </row>
    <row r="21" spans="3:33" ht="13.5" thickBot="1" x14ac:dyDescent="0.25">
      <c r="G21" s="2605" t="s">
        <v>651</v>
      </c>
      <c r="H21" s="2606"/>
      <c r="I21" s="2606"/>
      <c r="J21" s="2606"/>
      <c r="K21" s="2606"/>
      <c r="L21" s="979">
        <v>0.5</v>
      </c>
      <c r="M21" s="633"/>
      <c r="AC21" s="1214" t="str">
        <f t="shared" si="0"/>
        <v/>
      </c>
      <c r="AD21" s="1205" t="str">
        <f t="shared" si="1"/>
        <v/>
      </c>
      <c r="AE21" s="1206" t="str">
        <f t="shared" si="2"/>
        <v/>
      </c>
      <c r="AF21" s="1207"/>
      <c r="AG21" s="1208"/>
    </row>
    <row r="22" spans="3:33" ht="13.5" thickBot="1" x14ac:dyDescent="0.25">
      <c r="G22" s="2605" t="s">
        <v>652</v>
      </c>
      <c r="H22" s="2606"/>
      <c r="I22" s="2606"/>
      <c r="J22" s="2606"/>
      <c r="K22" s="2606"/>
      <c r="L22" s="979">
        <v>0.25</v>
      </c>
      <c r="M22" s="633"/>
      <c r="AC22" s="1214" t="str">
        <f t="shared" si="0"/>
        <v/>
      </c>
      <c r="AD22" s="1205" t="str">
        <f t="shared" si="1"/>
        <v/>
      </c>
      <c r="AE22" s="1206" t="str">
        <f t="shared" si="2"/>
        <v/>
      </c>
      <c r="AF22" s="1207"/>
      <c r="AG22" s="1208"/>
    </row>
    <row r="23" spans="3:33" ht="13.5" thickBot="1" x14ac:dyDescent="0.25">
      <c r="G23" s="2605" t="s">
        <v>1109</v>
      </c>
      <c r="H23" s="2606"/>
      <c r="I23" s="2606"/>
      <c r="J23" s="2606"/>
      <c r="K23" s="2606"/>
      <c r="L23" s="977">
        <v>0.5</v>
      </c>
      <c r="M23" s="978" t="s">
        <v>576</v>
      </c>
      <c r="AC23" s="1214" t="str">
        <f t="shared" si="0"/>
        <v/>
      </c>
      <c r="AD23" s="1205" t="str">
        <f t="shared" si="1"/>
        <v/>
      </c>
      <c r="AE23" s="1206" t="str">
        <f t="shared" si="2"/>
        <v/>
      </c>
      <c r="AF23" s="1207"/>
      <c r="AG23" s="1208"/>
    </row>
    <row r="24" spans="3:33" x14ac:dyDescent="0.2">
      <c r="AC24" s="1214" t="str">
        <f t="shared" si="0"/>
        <v/>
      </c>
      <c r="AD24" s="1205" t="str">
        <f t="shared" si="1"/>
        <v/>
      </c>
      <c r="AE24" s="1206" t="str">
        <f t="shared" si="2"/>
        <v/>
      </c>
      <c r="AF24" s="1207"/>
      <c r="AG24" s="1208"/>
    </row>
    <row r="25" spans="3:33" x14ac:dyDescent="0.2">
      <c r="T25" s="256" t="s">
        <v>733</v>
      </c>
      <c r="U25" s="257">
        <v>3</v>
      </c>
      <c r="AC25" s="1214" t="str">
        <f t="shared" si="0"/>
        <v/>
      </c>
      <c r="AD25" s="1205" t="str">
        <f t="shared" si="1"/>
        <v/>
      </c>
      <c r="AE25" s="1206" t="str">
        <f t="shared" si="2"/>
        <v/>
      </c>
      <c r="AF25" s="1207"/>
      <c r="AG25" s="1208"/>
    </row>
    <row r="26" spans="3:33" x14ac:dyDescent="0.2">
      <c r="T26" s="256" t="s">
        <v>734</v>
      </c>
      <c r="U26" s="257">
        <v>3</v>
      </c>
      <c r="AC26" s="1214" t="str">
        <f t="shared" si="0"/>
        <v/>
      </c>
      <c r="AD26" s="1205" t="str">
        <f t="shared" si="1"/>
        <v/>
      </c>
      <c r="AE26" s="1206" t="str">
        <f t="shared" si="2"/>
        <v/>
      </c>
      <c r="AF26" s="1207"/>
      <c r="AG26" s="1208"/>
    </row>
    <row r="27" spans="3:33" ht="15" customHeight="1" x14ac:dyDescent="0.2">
      <c r="C27" s="91" t="s">
        <v>119</v>
      </c>
      <c r="D27" s="1628" t="s">
        <v>117</v>
      </c>
      <c r="T27" s="256" t="s">
        <v>940</v>
      </c>
      <c r="U27" s="633" t="s">
        <v>34</v>
      </c>
      <c r="AC27" s="1214" t="str">
        <f t="shared" si="0"/>
        <v/>
      </c>
      <c r="AD27" s="1205" t="str">
        <f t="shared" si="1"/>
        <v/>
      </c>
      <c r="AE27" s="1206" t="str">
        <f t="shared" si="2"/>
        <v/>
      </c>
      <c r="AF27" s="1207"/>
      <c r="AG27" s="1208"/>
    </row>
    <row r="28" spans="3:33" ht="24.95" customHeight="1" x14ac:dyDescent="0.2">
      <c r="AC28" s="1214" t="str">
        <f t="shared" si="0"/>
        <v/>
      </c>
      <c r="AD28" s="1205" t="str">
        <f t="shared" si="1"/>
        <v/>
      </c>
      <c r="AE28" s="1206" t="str">
        <f t="shared" si="2"/>
        <v/>
      </c>
      <c r="AF28" s="1207"/>
      <c r="AG28" s="1208"/>
    </row>
    <row r="29" spans="3:33" ht="15" customHeight="1" x14ac:dyDescent="0.2">
      <c r="D29" s="1527" t="str">
        <f>IF(ISBLANK(VLOOKUP(D27,V:Z,5,FALSE)),"",VLOOKUP(D27,V:Z,5,FALSE))</f>
        <v/>
      </c>
      <c r="O29" s="32"/>
      <c r="Q29" s="1" t="s">
        <v>747</v>
      </c>
      <c r="AC29" s="1214" t="str">
        <f t="shared" si="0"/>
        <v/>
      </c>
      <c r="AD29" s="1205" t="str">
        <f t="shared" si="1"/>
        <v/>
      </c>
      <c r="AE29" s="1206" t="str">
        <f t="shared" si="2"/>
        <v/>
      </c>
      <c r="AF29" s="1207"/>
      <c r="AG29" s="1208"/>
    </row>
    <row r="30" spans="3:33" ht="12.75" customHeight="1" x14ac:dyDescent="0.2">
      <c r="Q30" s="231" t="str">
        <f>VLOOKUP(D27,V:Z,3,FALSE)</f>
        <v>M</v>
      </c>
      <c r="R30" s="1" t="s">
        <v>685</v>
      </c>
      <c r="AC30" s="1214" t="str">
        <f t="shared" si="0"/>
        <v/>
      </c>
      <c r="AD30" s="1205" t="str">
        <f t="shared" si="1"/>
        <v/>
      </c>
      <c r="AE30" s="1206" t="str">
        <f t="shared" si="2"/>
        <v/>
      </c>
      <c r="AF30" s="1207"/>
      <c r="AG30" s="1208"/>
    </row>
    <row r="31" spans="3:33" ht="12.75" customHeight="1" x14ac:dyDescent="0.2">
      <c r="Q31" s="231">
        <f>VLOOKUP(D27,V:Z,2,FALSE)</f>
        <v>1</v>
      </c>
      <c r="R31" s="1" t="s">
        <v>686</v>
      </c>
      <c r="AC31" s="1214" t="str">
        <f t="shared" si="0"/>
        <v/>
      </c>
      <c r="AD31" s="1205" t="str">
        <f t="shared" si="1"/>
        <v/>
      </c>
      <c r="AE31" s="1206" t="str">
        <f t="shared" si="2"/>
        <v/>
      </c>
      <c r="AF31" s="1207"/>
      <c r="AG31" s="1208"/>
    </row>
    <row r="32" spans="3:33" ht="12.75" customHeight="1" x14ac:dyDescent="0.2">
      <c r="Q32" s="232" t="b">
        <v>0</v>
      </c>
      <c r="R32" s="1" t="s">
        <v>687</v>
      </c>
      <c r="AC32" s="1214" t="str">
        <f t="shared" si="0"/>
        <v/>
      </c>
      <c r="AD32" s="1205" t="str">
        <f t="shared" si="1"/>
        <v/>
      </c>
      <c r="AE32" s="1206" t="str">
        <f t="shared" si="2"/>
        <v/>
      </c>
      <c r="AF32" s="1207"/>
      <c r="AG32" s="1208"/>
    </row>
    <row r="33" spans="1:33" ht="12.75" customHeight="1" thickBot="1" x14ac:dyDescent="0.25">
      <c r="A33" s="124"/>
      <c r="Q33" s="91" t="b">
        <f>AND(Q31=U1,Q31&gt;1)</f>
        <v>0</v>
      </c>
      <c r="R33" s="1" t="s">
        <v>688</v>
      </c>
      <c r="AC33" s="1214" t="str">
        <f t="shared" si="0"/>
        <v/>
      </c>
      <c r="AD33" s="1205" t="str">
        <f t="shared" si="1"/>
        <v/>
      </c>
      <c r="AE33" s="1206" t="str">
        <f t="shared" si="2"/>
        <v/>
      </c>
      <c r="AF33" s="1207"/>
      <c r="AG33" s="1208"/>
    </row>
    <row r="34" spans="1:33" ht="12.75" customHeight="1" x14ac:dyDescent="0.2">
      <c r="P34" s="761">
        <v>6</v>
      </c>
      <c r="Q34" s="6" t="s">
        <v>83</v>
      </c>
      <c r="R34" s="9" t="s">
        <v>89</v>
      </c>
      <c r="AC34" s="1214" t="str">
        <f t="shared" si="0"/>
        <v/>
      </c>
      <c r="AD34" s="1205" t="str">
        <f t="shared" si="1"/>
        <v/>
      </c>
      <c r="AE34" s="1206" t="str">
        <f t="shared" si="2"/>
        <v/>
      </c>
      <c r="AF34" s="1207"/>
      <c r="AG34" s="1208"/>
    </row>
    <row r="35" spans="1:33" ht="12.75" customHeight="1" x14ac:dyDescent="0.2">
      <c r="Q35" s="7" t="s">
        <v>84</v>
      </c>
      <c r="R35" s="10" t="s">
        <v>91</v>
      </c>
      <c r="AC35" s="1214" t="str">
        <f t="shared" si="0"/>
        <v/>
      </c>
      <c r="AD35" s="1205" t="str">
        <f t="shared" si="1"/>
        <v/>
      </c>
      <c r="AE35" s="1206" t="str">
        <f t="shared" si="2"/>
        <v/>
      </c>
      <c r="AF35" s="1207"/>
      <c r="AG35" s="1208"/>
    </row>
    <row r="36" spans="1:33" ht="12.75" customHeight="1" x14ac:dyDescent="0.2">
      <c r="A36" s="1013"/>
      <c r="Q36" s="7" t="s">
        <v>85</v>
      </c>
      <c r="R36" s="10" t="s">
        <v>92</v>
      </c>
      <c r="AC36" s="1214" t="str">
        <f t="shared" si="0"/>
        <v/>
      </c>
      <c r="AD36" s="1205" t="str">
        <f t="shared" si="1"/>
        <v/>
      </c>
      <c r="AE36" s="1206" t="str">
        <f t="shared" si="2"/>
        <v/>
      </c>
      <c r="AF36" s="1207"/>
      <c r="AG36" s="1208"/>
    </row>
    <row r="37" spans="1:33" ht="12.75" customHeight="1" x14ac:dyDescent="0.2">
      <c r="Q37" s="7" t="s">
        <v>86</v>
      </c>
      <c r="R37" s="10" t="s">
        <v>93</v>
      </c>
      <c r="AC37" s="1214" t="str">
        <f t="shared" si="0"/>
        <v/>
      </c>
      <c r="AD37" s="1205" t="str">
        <f t="shared" si="1"/>
        <v/>
      </c>
      <c r="AE37" s="1206" t="str">
        <f t="shared" si="2"/>
        <v/>
      </c>
      <c r="AF37" s="1207"/>
      <c r="AG37" s="1208"/>
    </row>
    <row r="38" spans="1:33" ht="12.75" customHeight="1" thickBot="1" x14ac:dyDescent="0.25">
      <c r="Q38" s="8" t="s">
        <v>87</v>
      </c>
      <c r="R38" s="11" t="s">
        <v>94</v>
      </c>
      <c r="AC38" s="1214" t="str">
        <f t="shared" si="0"/>
        <v/>
      </c>
      <c r="AD38" s="1205" t="str">
        <f t="shared" si="1"/>
        <v/>
      </c>
      <c r="AE38" s="1206" t="str">
        <f t="shared" si="2"/>
        <v/>
      </c>
      <c r="AF38" s="1207"/>
      <c r="AG38" s="1208"/>
    </row>
    <row r="39" spans="1:33" ht="12.75" customHeight="1" thickBot="1" x14ac:dyDescent="0.25">
      <c r="AC39" s="1214" t="str">
        <f t="shared" si="0"/>
        <v/>
      </c>
      <c r="AD39" s="1205" t="str">
        <f t="shared" si="1"/>
        <v/>
      </c>
      <c r="AE39" s="1206" t="str">
        <f t="shared" si="2"/>
        <v/>
      </c>
      <c r="AF39" s="1207"/>
      <c r="AG39" s="1208"/>
    </row>
    <row r="40" spans="1:33" ht="12.75" customHeight="1" x14ac:dyDescent="0.2">
      <c r="Q40" s="6" t="s">
        <v>83</v>
      </c>
      <c r="R40" s="9" t="s">
        <v>809</v>
      </c>
      <c r="AC40" s="1214" t="str">
        <f t="shared" si="0"/>
        <v/>
      </c>
      <c r="AD40" s="1205" t="str">
        <f t="shared" si="1"/>
        <v/>
      </c>
      <c r="AE40" s="1206" t="str">
        <f t="shared" si="2"/>
        <v/>
      </c>
      <c r="AF40" s="1207"/>
      <c r="AG40" s="1208"/>
    </row>
    <row r="41" spans="1:33" ht="12.75" customHeight="1" x14ac:dyDescent="0.2">
      <c r="Q41" s="7" t="s">
        <v>84</v>
      </c>
      <c r="R41" s="10" t="s">
        <v>103</v>
      </c>
      <c r="AC41" s="1214" t="str">
        <f t="shared" si="0"/>
        <v/>
      </c>
      <c r="AD41" s="1205" t="str">
        <f t="shared" si="1"/>
        <v/>
      </c>
      <c r="AE41" s="1206" t="str">
        <f t="shared" si="2"/>
        <v/>
      </c>
      <c r="AF41" s="1207"/>
      <c r="AG41" s="1208"/>
    </row>
    <row r="42" spans="1:33" ht="12.75" customHeight="1" x14ac:dyDescent="0.2">
      <c r="Q42" s="7" t="s">
        <v>85</v>
      </c>
      <c r="R42" s="10" t="s">
        <v>104</v>
      </c>
      <c r="AC42" s="1214" t="str">
        <f t="shared" si="0"/>
        <v/>
      </c>
      <c r="AD42" s="1205" t="str">
        <f t="shared" si="1"/>
        <v/>
      </c>
      <c r="AE42" s="1206" t="str">
        <f t="shared" si="2"/>
        <v/>
      </c>
      <c r="AF42" s="1207"/>
      <c r="AG42" s="1208"/>
    </row>
    <row r="43" spans="1:33" ht="12.75" customHeight="1" x14ac:dyDescent="0.2">
      <c r="Q43" s="7" t="s">
        <v>86</v>
      </c>
      <c r="R43" s="10" t="s">
        <v>105</v>
      </c>
      <c r="AC43" s="1214" t="str">
        <f t="shared" si="0"/>
        <v/>
      </c>
      <c r="AD43" s="1205" t="str">
        <f t="shared" si="1"/>
        <v/>
      </c>
      <c r="AE43" s="1206" t="str">
        <f t="shared" si="2"/>
        <v/>
      </c>
      <c r="AF43" s="1207"/>
      <c r="AG43" s="1208"/>
    </row>
    <row r="44" spans="1:33" ht="12.75" customHeight="1" thickBot="1" x14ac:dyDescent="0.25">
      <c r="Q44" s="8" t="s">
        <v>87</v>
      </c>
      <c r="R44" s="11" t="s">
        <v>106</v>
      </c>
      <c r="AC44" s="1214" t="str">
        <f t="shared" si="0"/>
        <v/>
      </c>
      <c r="AD44" s="1205" t="str">
        <f t="shared" si="1"/>
        <v/>
      </c>
      <c r="AE44" s="1206" t="str">
        <f t="shared" si="2"/>
        <v/>
      </c>
      <c r="AF44" s="1207"/>
      <c r="AG44" s="1208"/>
    </row>
    <row r="45" spans="1:33" ht="12.75" customHeight="1" thickBot="1" x14ac:dyDescent="0.25">
      <c r="AC45" s="1214" t="str">
        <f t="shared" si="0"/>
        <v/>
      </c>
      <c r="AD45" s="1205" t="str">
        <f t="shared" si="1"/>
        <v/>
      </c>
      <c r="AE45" s="1206" t="str">
        <f t="shared" si="2"/>
        <v/>
      </c>
      <c r="AF45" s="1207"/>
      <c r="AG45" s="1208"/>
    </row>
    <row r="46" spans="1:33" ht="12.75" customHeight="1" x14ac:dyDescent="0.2">
      <c r="Q46" s="6" t="s">
        <v>83</v>
      </c>
      <c r="R46" s="9" t="s">
        <v>958</v>
      </c>
      <c r="AC46" s="1214" t="str">
        <f t="shared" si="0"/>
        <v/>
      </c>
      <c r="AD46" s="1205" t="str">
        <f t="shared" si="1"/>
        <v/>
      </c>
      <c r="AE46" s="1206" t="str">
        <f t="shared" si="2"/>
        <v/>
      </c>
      <c r="AF46" s="1207"/>
      <c r="AG46" s="1208"/>
    </row>
    <row r="47" spans="1:33" ht="12.75" customHeight="1" x14ac:dyDescent="0.2">
      <c r="Q47" s="7" t="s">
        <v>84</v>
      </c>
      <c r="R47" s="10" t="s">
        <v>99</v>
      </c>
      <c r="AC47" s="1214" t="str">
        <f t="shared" si="0"/>
        <v/>
      </c>
      <c r="AD47" s="1205" t="str">
        <f t="shared" si="1"/>
        <v/>
      </c>
      <c r="AE47" s="1206" t="str">
        <f t="shared" si="2"/>
        <v/>
      </c>
      <c r="AF47" s="1207"/>
      <c r="AG47" s="1208"/>
    </row>
    <row r="48" spans="1:33" ht="12.75" customHeight="1" x14ac:dyDescent="0.2">
      <c r="Q48" s="7" t="s">
        <v>85</v>
      </c>
      <c r="R48" s="10" t="s">
        <v>100</v>
      </c>
      <c r="AC48" s="1214" t="str">
        <f t="shared" si="0"/>
        <v/>
      </c>
      <c r="AD48" s="1205" t="str">
        <f t="shared" si="1"/>
        <v/>
      </c>
      <c r="AE48" s="1206" t="str">
        <f t="shared" si="2"/>
        <v/>
      </c>
      <c r="AF48" s="1207"/>
      <c r="AG48" s="1208"/>
    </row>
    <row r="49" spans="1:33" ht="12.75" customHeight="1" x14ac:dyDescent="0.2">
      <c r="Q49" s="7" t="s">
        <v>86</v>
      </c>
      <c r="R49" s="10" t="s">
        <v>101</v>
      </c>
      <c r="AC49" s="1214" t="str">
        <f t="shared" si="0"/>
        <v/>
      </c>
      <c r="AD49" s="1205" t="str">
        <f t="shared" si="1"/>
        <v/>
      </c>
      <c r="AE49" s="1206" t="str">
        <f t="shared" si="2"/>
        <v/>
      </c>
      <c r="AF49" s="1207"/>
      <c r="AG49" s="1208"/>
    </row>
    <row r="50" spans="1:33" ht="12.75" customHeight="1" thickBot="1" x14ac:dyDescent="0.25">
      <c r="Q50" s="8" t="s">
        <v>87</v>
      </c>
      <c r="R50" s="11" t="s">
        <v>102</v>
      </c>
      <c r="AC50" s="1214" t="str">
        <f t="shared" si="0"/>
        <v/>
      </c>
      <c r="AD50" s="1205" t="str">
        <f t="shared" si="1"/>
        <v/>
      </c>
      <c r="AE50" s="1206" t="str">
        <f t="shared" si="2"/>
        <v/>
      </c>
      <c r="AF50" s="1207"/>
      <c r="AG50" s="1208"/>
    </row>
    <row r="51" spans="1:33" ht="12.75" customHeight="1" thickBot="1" x14ac:dyDescent="0.25">
      <c r="AC51" s="1214" t="str">
        <f t="shared" si="0"/>
        <v/>
      </c>
      <c r="AD51" s="1205" t="str">
        <f t="shared" si="1"/>
        <v/>
      </c>
      <c r="AE51" s="1206" t="str">
        <f t="shared" si="2"/>
        <v/>
      </c>
      <c r="AF51" s="1207"/>
      <c r="AG51" s="1208"/>
    </row>
    <row r="52" spans="1:33" ht="12.75" customHeight="1" x14ac:dyDescent="0.2">
      <c r="Q52" s="6" t="s">
        <v>83</v>
      </c>
      <c r="R52" s="9" t="s">
        <v>959</v>
      </c>
      <c r="AC52" s="1214" t="str">
        <f t="shared" si="0"/>
        <v/>
      </c>
      <c r="AD52" s="1205" t="str">
        <f t="shared" si="1"/>
        <v/>
      </c>
      <c r="AE52" s="1206" t="str">
        <f t="shared" si="2"/>
        <v/>
      </c>
      <c r="AF52" s="1207"/>
      <c r="AG52" s="1208"/>
    </row>
    <row r="53" spans="1:33" ht="12.75" customHeight="1" x14ac:dyDescent="0.2">
      <c r="Q53" s="7" t="s">
        <v>84</v>
      </c>
      <c r="R53" s="10" t="s">
        <v>962</v>
      </c>
      <c r="AC53" s="1214" t="str">
        <f t="shared" si="0"/>
        <v/>
      </c>
      <c r="AD53" s="1205" t="str">
        <f t="shared" si="1"/>
        <v/>
      </c>
      <c r="AE53" s="1206" t="str">
        <f t="shared" si="2"/>
        <v/>
      </c>
      <c r="AF53" s="1207"/>
      <c r="AG53" s="1208"/>
    </row>
    <row r="54" spans="1:33" ht="12.75" customHeight="1" x14ac:dyDescent="0.2">
      <c r="Q54" s="7" t="s">
        <v>85</v>
      </c>
      <c r="R54" s="10" t="s">
        <v>693</v>
      </c>
      <c r="AC54" s="1214" t="str">
        <f t="shared" si="0"/>
        <v/>
      </c>
      <c r="AD54" s="1205" t="str">
        <f t="shared" si="1"/>
        <v/>
      </c>
      <c r="AE54" s="1206" t="str">
        <f t="shared" si="2"/>
        <v/>
      </c>
      <c r="AF54" s="1207"/>
      <c r="AG54" s="1208"/>
    </row>
    <row r="55" spans="1:33" ht="12.75" customHeight="1" x14ac:dyDescent="0.2">
      <c r="Q55" s="7" t="s">
        <v>86</v>
      </c>
      <c r="R55" s="10" t="s">
        <v>694</v>
      </c>
      <c r="AC55" s="1214" t="str">
        <f t="shared" si="0"/>
        <v/>
      </c>
      <c r="AD55" s="1205" t="str">
        <f t="shared" si="1"/>
        <v/>
      </c>
      <c r="AE55" s="1206" t="str">
        <f t="shared" si="2"/>
        <v/>
      </c>
      <c r="AF55" s="1207"/>
      <c r="AG55" s="1208"/>
    </row>
    <row r="56" spans="1:33" ht="12.75" customHeight="1" thickBot="1" x14ac:dyDescent="0.25">
      <c r="Q56" s="8" t="s">
        <v>87</v>
      </c>
      <c r="R56" s="11" t="s">
        <v>690</v>
      </c>
      <c r="AC56" s="1214" t="str">
        <f t="shared" si="0"/>
        <v/>
      </c>
      <c r="AD56" s="1205" t="str">
        <f t="shared" si="1"/>
        <v/>
      </c>
      <c r="AE56" s="1206" t="str">
        <f t="shared" si="2"/>
        <v/>
      </c>
      <c r="AF56" s="1207"/>
      <c r="AG56" s="1208"/>
    </row>
    <row r="57" spans="1:33" ht="12.75" customHeight="1" thickBot="1" x14ac:dyDescent="0.25">
      <c r="AC57" s="1214" t="str">
        <f t="shared" si="0"/>
        <v/>
      </c>
      <c r="AD57" s="1205" t="str">
        <f t="shared" si="1"/>
        <v/>
      </c>
      <c r="AE57" s="1206" t="str">
        <f t="shared" si="2"/>
        <v/>
      </c>
      <c r="AF57" s="1207"/>
      <c r="AG57" s="1208"/>
    </row>
    <row r="58" spans="1:33" ht="12.75" customHeight="1" x14ac:dyDescent="0.2">
      <c r="Q58" s="6" t="s">
        <v>83</v>
      </c>
      <c r="R58" s="9" t="s">
        <v>689</v>
      </c>
      <c r="AC58" s="1214" t="str">
        <f t="shared" si="0"/>
        <v/>
      </c>
      <c r="AD58" s="1205" t="str">
        <f t="shared" si="1"/>
        <v/>
      </c>
      <c r="AE58" s="1206" t="str">
        <f t="shared" si="2"/>
        <v/>
      </c>
      <c r="AF58" s="1207"/>
      <c r="AG58" s="1208"/>
    </row>
    <row r="59" spans="1:33" ht="12.75" customHeight="1" x14ac:dyDescent="0.2">
      <c r="Q59" s="7" t="s">
        <v>84</v>
      </c>
      <c r="R59" s="10" t="s">
        <v>691</v>
      </c>
      <c r="AC59" s="1214" t="str">
        <f t="shared" si="0"/>
        <v/>
      </c>
      <c r="AD59" s="1205" t="str">
        <f t="shared" si="1"/>
        <v/>
      </c>
      <c r="AE59" s="1206" t="str">
        <f t="shared" si="2"/>
        <v/>
      </c>
      <c r="AF59" s="1207"/>
      <c r="AG59" s="1208"/>
    </row>
    <row r="60" spans="1:33" ht="12.75" customHeight="1" x14ac:dyDescent="0.2">
      <c r="Q60" s="7" t="s">
        <v>85</v>
      </c>
      <c r="R60" s="10" t="s">
        <v>692</v>
      </c>
      <c r="AC60" s="1214" t="str">
        <f t="shared" si="0"/>
        <v/>
      </c>
      <c r="AD60" s="1205" t="str">
        <f t="shared" si="1"/>
        <v/>
      </c>
      <c r="AE60" s="1206" t="str">
        <f t="shared" si="2"/>
        <v/>
      </c>
      <c r="AF60" s="1207"/>
      <c r="AG60" s="1208"/>
    </row>
    <row r="61" spans="1:33" ht="12.75" customHeight="1" x14ac:dyDescent="0.2">
      <c r="A61" s="1198" t="s">
        <v>1171</v>
      </c>
      <c r="Q61" s="7" t="s">
        <v>86</v>
      </c>
      <c r="R61" s="10" t="s">
        <v>692</v>
      </c>
      <c r="AC61" s="1214" t="str">
        <f t="shared" si="0"/>
        <v/>
      </c>
      <c r="AD61" s="1205" t="str">
        <f t="shared" si="1"/>
        <v/>
      </c>
      <c r="AE61" s="1206" t="str">
        <f t="shared" si="2"/>
        <v/>
      </c>
      <c r="AF61" s="1207"/>
      <c r="AG61" s="1208"/>
    </row>
    <row r="62" spans="1:33" ht="12.75" customHeight="1" thickBot="1" x14ac:dyDescent="0.25">
      <c r="Q62" s="8" t="s">
        <v>87</v>
      </c>
      <c r="R62" s="11" t="s">
        <v>692</v>
      </c>
      <c r="AC62" s="1214" t="str">
        <f t="shared" si="0"/>
        <v/>
      </c>
      <c r="AD62" s="1205" t="str">
        <f t="shared" si="1"/>
        <v/>
      </c>
      <c r="AE62" s="1206" t="str">
        <f t="shared" si="2"/>
        <v/>
      </c>
      <c r="AF62" s="1207"/>
      <c r="AG62" s="1208"/>
    </row>
    <row r="63" spans="1:33" ht="12.75" customHeight="1" thickBot="1" x14ac:dyDescent="0.25">
      <c r="AC63" s="1214" t="str">
        <f t="shared" si="0"/>
        <v/>
      </c>
      <c r="AD63" s="1205" t="str">
        <f t="shared" si="1"/>
        <v/>
      </c>
      <c r="AE63" s="1206" t="str">
        <f t="shared" si="2"/>
        <v/>
      </c>
      <c r="AF63" s="1207"/>
      <c r="AG63" s="1208"/>
    </row>
    <row r="64" spans="1:33" ht="12.75" customHeight="1" x14ac:dyDescent="0.2">
      <c r="Q64" s="6" t="s">
        <v>83</v>
      </c>
      <c r="R64" s="9" t="s">
        <v>680</v>
      </c>
      <c r="AC64" s="1214" t="str">
        <f t="shared" si="0"/>
        <v/>
      </c>
      <c r="AD64" s="1205" t="str">
        <f t="shared" si="1"/>
        <v/>
      </c>
      <c r="AE64" s="1206" t="str">
        <f t="shared" si="2"/>
        <v/>
      </c>
      <c r="AF64" s="1207"/>
      <c r="AG64" s="1208"/>
    </row>
    <row r="65" spans="1:33" ht="12.75" customHeight="1" x14ac:dyDescent="0.2">
      <c r="Q65" s="7" t="s">
        <v>84</v>
      </c>
      <c r="R65" s="10" t="s">
        <v>960</v>
      </c>
      <c r="AC65" s="1214" t="str">
        <f t="shared" si="0"/>
        <v/>
      </c>
      <c r="AD65" s="1205" t="str">
        <f t="shared" si="1"/>
        <v/>
      </c>
      <c r="AE65" s="1206" t="str">
        <f t="shared" si="2"/>
        <v/>
      </c>
      <c r="AF65" s="1207"/>
      <c r="AG65" s="1208"/>
    </row>
    <row r="66" spans="1:33" ht="12.75" customHeight="1" x14ac:dyDescent="0.2">
      <c r="Q66" s="7" t="s">
        <v>85</v>
      </c>
      <c r="R66" s="10" t="s">
        <v>695</v>
      </c>
      <c r="AC66" s="1214" t="str">
        <f t="shared" si="0"/>
        <v/>
      </c>
      <c r="AD66" s="1205" t="str">
        <f t="shared" si="1"/>
        <v/>
      </c>
      <c r="AE66" s="1206" t="str">
        <f t="shared" si="2"/>
        <v/>
      </c>
      <c r="AF66" s="1207"/>
      <c r="AG66" s="1208"/>
    </row>
    <row r="67" spans="1:33" ht="12.75" customHeight="1" x14ac:dyDescent="0.2">
      <c r="Q67" s="7" t="s">
        <v>86</v>
      </c>
      <c r="R67" s="10" t="s">
        <v>961</v>
      </c>
      <c r="AC67" s="1214" t="str">
        <f t="shared" ref="AC67:AC130" si="3">IF(ISBLANK(W66),"",W66)</f>
        <v/>
      </c>
      <c r="AD67" s="1205" t="str">
        <f t="shared" ref="AD67:AD130" si="4">IF(ISBLANK(V66),"",V66)</f>
        <v/>
      </c>
      <c r="AE67" s="1206" t="str">
        <f t="shared" ref="AE67:AE130" si="5">IF(ISBLANK(Z66),"",Z66)</f>
        <v/>
      </c>
      <c r="AF67" s="1207"/>
      <c r="AG67" s="1208"/>
    </row>
    <row r="68" spans="1:33" ht="12.75" customHeight="1" thickBot="1" x14ac:dyDescent="0.25">
      <c r="Q68" s="8" t="s">
        <v>87</v>
      </c>
      <c r="R68" s="11" t="s">
        <v>696</v>
      </c>
      <c r="AC68" s="1214" t="str">
        <f t="shared" si="3"/>
        <v/>
      </c>
      <c r="AD68" s="1205" t="str">
        <f t="shared" si="4"/>
        <v/>
      </c>
      <c r="AE68" s="1206" t="str">
        <f t="shared" si="5"/>
        <v/>
      </c>
      <c r="AF68" s="1207"/>
      <c r="AG68" s="1208"/>
    </row>
    <row r="69" spans="1:33" ht="12.75" customHeight="1" thickBot="1" x14ac:dyDescent="0.25">
      <c r="AC69" s="1214" t="str">
        <f t="shared" si="3"/>
        <v/>
      </c>
      <c r="AD69" s="1205" t="str">
        <f t="shared" si="4"/>
        <v/>
      </c>
      <c r="AE69" s="1206" t="str">
        <f t="shared" si="5"/>
        <v/>
      </c>
      <c r="AF69" s="1207"/>
      <c r="AG69" s="1208"/>
    </row>
    <row r="70" spans="1:33" ht="12.75" customHeight="1" x14ac:dyDescent="0.2">
      <c r="Q70" s="6" t="s">
        <v>83</v>
      </c>
      <c r="R70" s="9" t="s">
        <v>945</v>
      </c>
      <c r="AC70" s="1214" t="str">
        <f t="shared" si="3"/>
        <v/>
      </c>
      <c r="AD70" s="1205" t="str">
        <f t="shared" si="4"/>
        <v/>
      </c>
      <c r="AE70" s="1206" t="str">
        <f t="shared" si="5"/>
        <v/>
      </c>
      <c r="AF70" s="1207"/>
      <c r="AG70" s="1208"/>
    </row>
    <row r="71" spans="1:33" ht="12.75" customHeight="1" x14ac:dyDescent="0.2">
      <c r="Q71" s="7" t="s">
        <v>84</v>
      </c>
      <c r="R71" s="10" t="s">
        <v>91</v>
      </c>
      <c r="AC71" s="1214" t="str">
        <f t="shared" si="3"/>
        <v/>
      </c>
      <c r="AD71" s="1205" t="str">
        <f t="shared" si="4"/>
        <v/>
      </c>
      <c r="AE71" s="1206" t="str">
        <f t="shared" si="5"/>
        <v/>
      </c>
      <c r="AF71" s="1207"/>
      <c r="AG71" s="1208"/>
    </row>
    <row r="72" spans="1:33" ht="12.75" customHeight="1" x14ac:dyDescent="0.2">
      <c r="Q72" s="7" t="s">
        <v>85</v>
      </c>
      <c r="R72" s="10" t="s">
        <v>92</v>
      </c>
      <c r="AC72" s="1214" t="str">
        <f t="shared" si="3"/>
        <v/>
      </c>
      <c r="AD72" s="1205" t="str">
        <f t="shared" si="4"/>
        <v/>
      </c>
      <c r="AE72" s="1206" t="str">
        <f t="shared" si="5"/>
        <v/>
      </c>
      <c r="AF72" s="1207"/>
      <c r="AG72" s="1208"/>
    </row>
    <row r="73" spans="1:33" ht="12.75" customHeight="1" x14ac:dyDescent="0.2">
      <c r="Q73" s="7" t="s">
        <v>86</v>
      </c>
      <c r="R73" s="10" t="s">
        <v>93</v>
      </c>
      <c r="AC73" s="1214" t="str">
        <f t="shared" si="3"/>
        <v/>
      </c>
      <c r="AD73" s="1205" t="str">
        <f t="shared" si="4"/>
        <v/>
      </c>
      <c r="AE73" s="1206" t="str">
        <f t="shared" si="5"/>
        <v/>
      </c>
      <c r="AF73" s="1207"/>
      <c r="AG73" s="1208"/>
    </row>
    <row r="74" spans="1:33" ht="12.75" customHeight="1" thickBot="1" x14ac:dyDescent="0.25">
      <c r="Q74" s="8" t="s">
        <v>87</v>
      </c>
      <c r="R74" s="11" t="s">
        <v>94</v>
      </c>
      <c r="AC74" s="1214" t="str">
        <f t="shared" si="3"/>
        <v/>
      </c>
      <c r="AD74" s="1205" t="str">
        <f t="shared" si="4"/>
        <v/>
      </c>
      <c r="AE74" s="1206" t="str">
        <f t="shared" si="5"/>
        <v/>
      </c>
      <c r="AF74" s="1207"/>
      <c r="AG74" s="1208"/>
    </row>
    <row r="75" spans="1:33" ht="12.75" customHeight="1" thickBot="1" x14ac:dyDescent="0.25">
      <c r="AC75" s="1214" t="str">
        <f t="shared" si="3"/>
        <v/>
      </c>
      <c r="AD75" s="1205" t="str">
        <f t="shared" si="4"/>
        <v/>
      </c>
      <c r="AE75" s="1206" t="str">
        <f t="shared" si="5"/>
        <v/>
      </c>
      <c r="AF75" s="1207"/>
      <c r="AG75" s="1208"/>
    </row>
    <row r="76" spans="1:33" ht="12.75" customHeight="1" x14ac:dyDescent="0.2">
      <c r="Q76" s="6" t="s">
        <v>83</v>
      </c>
      <c r="R76" s="9" t="s">
        <v>943</v>
      </c>
      <c r="AC76" s="1214" t="str">
        <f t="shared" si="3"/>
        <v/>
      </c>
      <c r="AD76" s="1205" t="str">
        <f t="shared" si="4"/>
        <v/>
      </c>
      <c r="AE76" s="1206" t="str">
        <f t="shared" si="5"/>
        <v/>
      </c>
      <c r="AF76" s="1207"/>
      <c r="AG76" s="1208"/>
    </row>
    <row r="77" spans="1:33" ht="12.75" customHeight="1" x14ac:dyDescent="0.2">
      <c r="A77" s="32"/>
      <c r="Q77" s="7" t="s">
        <v>84</v>
      </c>
      <c r="R77" s="10" t="s">
        <v>943</v>
      </c>
      <c r="AC77" s="1214" t="str">
        <f t="shared" si="3"/>
        <v/>
      </c>
      <c r="AD77" s="1205" t="str">
        <f t="shared" si="4"/>
        <v/>
      </c>
      <c r="AE77" s="1206" t="str">
        <f t="shared" si="5"/>
        <v/>
      </c>
      <c r="AF77" s="1207"/>
      <c r="AG77" s="1208"/>
    </row>
    <row r="78" spans="1:33" ht="12.75" customHeight="1" x14ac:dyDescent="0.2">
      <c r="Q78" s="7" t="s">
        <v>85</v>
      </c>
      <c r="R78" s="10" t="s">
        <v>943</v>
      </c>
      <c r="AC78" s="1214" t="str">
        <f t="shared" si="3"/>
        <v/>
      </c>
      <c r="AD78" s="1205" t="str">
        <f t="shared" si="4"/>
        <v/>
      </c>
      <c r="AE78" s="1206" t="str">
        <f t="shared" si="5"/>
        <v/>
      </c>
      <c r="AF78" s="1207"/>
      <c r="AG78" s="1208"/>
    </row>
    <row r="79" spans="1:33" ht="12.75" customHeight="1" x14ac:dyDescent="0.2">
      <c r="Q79" s="7" t="s">
        <v>86</v>
      </c>
      <c r="R79" s="10" t="s">
        <v>943</v>
      </c>
      <c r="AC79" s="1214" t="str">
        <f t="shared" si="3"/>
        <v/>
      </c>
      <c r="AD79" s="1205" t="str">
        <f t="shared" si="4"/>
        <v/>
      </c>
      <c r="AE79" s="1206" t="str">
        <f t="shared" si="5"/>
        <v/>
      </c>
      <c r="AF79" s="1207"/>
      <c r="AG79" s="1208"/>
    </row>
    <row r="80" spans="1:33" ht="12.75" customHeight="1" thickBot="1" x14ac:dyDescent="0.25">
      <c r="Q80" s="8" t="s">
        <v>87</v>
      </c>
      <c r="R80" s="11">
        <v>8</v>
      </c>
      <c r="AC80" s="1214" t="str">
        <f t="shared" si="3"/>
        <v/>
      </c>
      <c r="AD80" s="1205" t="str">
        <f t="shared" si="4"/>
        <v/>
      </c>
      <c r="AE80" s="1206" t="str">
        <f t="shared" si="5"/>
        <v/>
      </c>
      <c r="AF80" s="1207"/>
      <c r="AG80" s="1208"/>
    </row>
    <row r="81" spans="17:33" ht="12.75" customHeight="1" thickBot="1" x14ac:dyDescent="0.25">
      <c r="AC81" s="1214" t="str">
        <f t="shared" si="3"/>
        <v/>
      </c>
      <c r="AD81" s="1205" t="str">
        <f t="shared" si="4"/>
        <v/>
      </c>
      <c r="AE81" s="1206" t="str">
        <f t="shared" si="5"/>
        <v/>
      </c>
      <c r="AF81" s="1207"/>
      <c r="AG81" s="1208"/>
    </row>
    <row r="82" spans="17:33" ht="12.75" customHeight="1" x14ac:dyDescent="0.2">
      <c r="Q82" s="6" t="s">
        <v>83</v>
      </c>
      <c r="R82" s="9" t="s">
        <v>944</v>
      </c>
      <c r="AC82" s="1214" t="str">
        <f t="shared" si="3"/>
        <v/>
      </c>
      <c r="AD82" s="1205" t="str">
        <f t="shared" si="4"/>
        <v/>
      </c>
      <c r="AE82" s="1206" t="str">
        <f t="shared" si="5"/>
        <v/>
      </c>
      <c r="AF82" s="1207"/>
      <c r="AG82" s="1208"/>
    </row>
    <row r="83" spans="17:33" ht="12.75" customHeight="1" x14ac:dyDescent="0.2">
      <c r="Q83" s="7" t="s">
        <v>84</v>
      </c>
      <c r="R83" s="10" t="s">
        <v>944</v>
      </c>
      <c r="AC83" s="1214" t="str">
        <f t="shared" si="3"/>
        <v/>
      </c>
      <c r="AD83" s="1205" t="str">
        <f t="shared" si="4"/>
        <v/>
      </c>
      <c r="AE83" s="1206" t="str">
        <f t="shared" si="5"/>
        <v/>
      </c>
      <c r="AF83" s="1207"/>
      <c r="AG83" s="1208"/>
    </row>
    <row r="84" spans="17:33" ht="12.75" customHeight="1" x14ac:dyDescent="0.2">
      <c r="Q84" s="7" t="s">
        <v>85</v>
      </c>
      <c r="R84" s="10" t="s">
        <v>944</v>
      </c>
      <c r="AC84" s="1214" t="str">
        <f t="shared" si="3"/>
        <v/>
      </c>
      <c r="AD84" s="1205" t="str">
        <f t="shared" si="4"/>
        <v/>
      </c>
      <c r="AE84" s="1206" t="str">
        <f t="shared" si="5"/>
        <v/>
      </c>
      <c r="AF84" s="1207"/>
      <c r="AG84" s="1208"/>
    </row>
    <row r="85" spans="17:33" ht="12.75" customHeight="1" x14ac:dyDescent="0.2">
      <c r="Q85" s="7" t="s">
        <v>86</v>
      </c>
      <c r="R85" s="10" t="s">
        <v>944</v>
      </c>
      <c r="AC85" s="1214" t="str">
        <f t="shared" si="3"/>
        <v/>
      </c>
      <c r="AD85" s="1205" t="str">
        <f t="shared" si="4"/>
        <v/>
      </c>
      <c r="AE85" s="1206" t="str">
        <f t="shared" si="5"/>
        <v/>
      </c>
      <c r="AF85" s="1207"/>
      <c r="AG85" s="1208"/>
    </row>
    <row r="86" spans="17:33" ht="12.75" customHeight="1" thickBot="1" x14ac:dyDescent="0.25">
      <c r="Q86" s="8" t="s">
        <v>87</v>
      </c>
      <c r="R86" s="11">
        <v>9</v>
      </c>
      <c r="AC86" s="1214" t="str">
        <f t="shared" si="3"/>
        <v/>
      </c>
      <c r="AD86" s="1205" t="str">
        <f t="shared" si="4"/>
        <v/>
      </c>
      <c r="AE86" s="1206" t="str">
        <f t="shared" si="5"/>
        <v/>
      </c>
      <c r="AF86" s="1207"/>
      <c r="AG86" s="1208"/>
    </row>
    <row r="87" spans="17:33" ht="12.75" customHeight="1" x14ac:dyDescent="0.2">
      <c r="AC87" s="1214" t="str">
        <f t="shared" si="3"/>
        <v/>
      </c>
      <c r="AD87" s="1205" t="str">
        <f t="shared" si="4"/>
        <v/>
      </c>
      <c r="AE87" s="1206" t="str">
        <f t="shared" si="5"/>
        <v/>
      </c>
      <c r="AF87" s="1207"/>
      <c r="AG87" s="1208"/>
    </row>
    <row r="88" spans="17:33" ht="12.75" customHeight="1" x14ac:dyDescent="0.2">
      <c r="AC88" s="1214" t="str">
        <f t="shared" si="3"/>
        <v/>
      </c>
      <c r="AD88" s="1205" t="str">
        <f t="shared" si="4"/>
        <v/>
      </c>
      <c r="AE88" s="1206" t="str">
        <f t="shared" si="5"/>
        <v/>
      </c>
      <c r="AF88" s="1207"/>
      <c r="AG88" s="1208"/>
    </row>
    <row r="89" spans="17:33" ht="12.75" customHeight="1" x14ac:dyDescent="0.2">
      <c r="AC89" s="1214" t="str">
        <f t="shared" si="3"/>
        <v/>
      </c>
      <c r="AD89" s="1205" t="str">
        <f t="shared" si="4"/>
        <v/>
      </c>
      <c r="AE89" s="1206" t="str">
        <f t="shared" si="5"/>
        <v/>
      </c>
      <c r="AF89" s="1207"/>
      <c r="AG89" s="1208"/>
    </row>
    <row r="90" spans="17:33" ht="12.75" customHeight="1" x14ac:dyDescent="0.2">
      <c r="AC90" s="1214" t="str">
        <f t="shared" si="3"/>
        <v/>
      </c>
      <c r="AD90" s="1205" t="str">
        <f t="shared" si="4"/>
        <v/>
      </c>
      <c r="AE90" s="1206" t="str">
        <f t="shared" si="5"/>
        <v/>
      </c>
      <c r="AF90" s="1207"/>
      <c r="AG90" s="1208"/>
    </row>
    <row r="91" spans="17:33" ht="12.75" customHeight="1" x14ac:dyDescent="0.2">
      <c r="AC91" s="1214" t="str">
        <f t="shared" si="3"/>
        <v/>
      </c>
      <c r="AD91" s="1205" t="str">
        <f t="shared" si="4"/>
        <v/>
      </c>
      <c r="AE91" s="1206" t="str">
        <f t="shared" si="5"/>
        <v/>
      </c>
      <c r="AF91" s="1207"/>
      <c r="AG91" s="1208"/>
    </row>
    <row r="92" spans="17:33" ht="12.75" customHeight="1" x14ac:dyDescent="0.2">
      <c r="AC92" s="1214" t="str">
        <f t="shared" si="3"/>
        <v/>
      </c>
      <c r="AD92" s="1205" t="str">
        <f t="shared" si="4"/>
        <v/>
      </c>
      <c r="AE92" s="1206" t="str">
        <f t="shared" si="5"/>
        <v/>
      </c>
      <c r="AF92" s="1207"/>
      <c r="AG92" s="1208"/>
    </row>
    <row r="93" spans="17:33" ht="12.75" customHeight="1" x14ac:dyDescent="0.2">
      <c r="AC93" s="1214" t="str">
        <f t="shared" si="3"/>
        <v/>
      </c>
      <c r="AD93" s="1205" t="str">
        <f t="shared" si="4"/>
        <v/>
      </c>
      <c r="AE93" s="1206" t="str">
        <f t="shared" si="5"/>
        <v/>
      </c>
      <c r="AF93" s="1207"/>
      <c r="AG93" s="1208"/>
    </row>
    <row r="94" spans="17:33" x14ac:dyDescent="0.2">
      <c r="AC94" s="1214" t="str">
        <f t="shared" si="3"/>
        <v/>
      </c>
      <c r="AD94" s="1205" t="str">
        <f t="shared" si="4"/>
        <v/>
      </c>
      <c r="AE94" s="1206" t="str">
        <f t="shared" si="5"/>
        <v/>
      </c>
      <c r="AF94" s="1207"/>
      <c r="AG94" s="1208"/>
    </row>
    <row r="95" spans="17:33" x14ac:dyDescent="0.2">
      <c r="AC95" s="1214" t="str">
        <f t="shared" si="3"/>
        <v/>
      </c>
      <c r="AD95" s="1205" t="str">
        <f t="shared" si="4"/>
        <v/>
      </c>
      <c r="AE95" s="1206" t="str">
        <f t="shared" si="5"/>
        <v/>
      </c>
      <c r="AF95" s="1207"/>
      <c r="AG95" s="1208"/>
    </row>
    <row r="96" spans="17:33" x14ac:dyDescent="0.2">
      <c r="AC96" s="1214" t="str">
        <f t="shared" si="3"/>
        <v/>
      </c>
      <c r="AD96" s="1205" t="str">
        <f t="shared" si="4"/>
        <v/>
      </c>
      <c r="AE96" s="1206" t="str">
        <f t="shared" si="5"/>
        <v/>
      </c>
      <c r="AF96" s="1207"/>
      <c r="AG96" s="1208"/>
    </row>
    <row r="97" spans="29:33" x14ac:dyDescent="0.2">
      <c r="AC97" s="1214" t="str">
        <f t="shared" si="3"/>
        <v/>
      </c>
      <c r="AD97" s="1205" t="str">
        <f t="shared" si="4"/>
        <v/>
      </c>
      <c r="AE97" s="1206" t="str">
        <f t="shared" si="5"/>
        <v/>
      </c>
      <c r="AF97" s="1207"/>
      <c r="AG97" s="1208"/>
    </row>
    <row r="98" spans="29:33" x14ac:dyDescent="0.2">
      <c r="AC98" s="1214" t="str">
        <f t="shared" si="3"/>
        <v/>
      </c>
      <c r="AD98" s="1205" t="str">
        <f t="shared" si="4"/>
        <v/>
      </c>
      <c r="AE98" s="1206" t="str">
        <f t="shared" si="5"/>
        <v/>
      </c>
      <c r="AF98" s="1207"/>
      <c r="AG98" s="1208"/>
    </row>
    <row r="99" spans="29:33" x14ac:dyDescent="0.2">
      <c r="AC99" s="1214" t="str">
        <f t="shared" si="3"/>
        <v/>
      </c>
      <c r="AD99" s="1205" t="str">
        <f t="shared" si="4"/>
        <v/>
      </c>
      <c r="AE99" s="1206" t="str">
        <f t="shared" si="5"/>
        <v/>
      </c>
      <c r="AF99" s="1207"/>
      <c r="AG99" s="1208"/>
    </row>
    <row r="100" spans="29:33" x14ac:dyDescent="0.2">
      <c r="AC100" s="1214" t="str">
        <f t="shared" si="3"/>
        <v/>
      </c>
      <c r="AD100" s="1205" t="str">
        <f t="shared" si="4"/>
        <v/>
      </c>
      <c r="AE100" s="1206" t="str">
        <f t="shared" si="5"/>
        <v/>
      </c>
      <c r="AF100" s="1207"/>
      <c r="AG100" s="1208"/>
    </row>
    <row r="101" spans="29:33" x14ac:dyDescent="0.2">
      <c r="AC101" s="1214" t="str">
        <f t="shared" si="3"/>
        <v/>
      </c>
      <c r="AD101" s="1205" t="str">
        <f t="shared" si="4"/>
        <v/>
      </c>
      <c r="AE101" s="1206" t="str">
        <f t="shared" si="5"/>
        <v/>
      </c>
      <c r="AF101" s="1207"/>
      <c r="AG101" s="1208"/>
    </row>
    <row r="102" spans="29:33" x14ac:dyDescent="0.2">
      <c r="AC102" s="1214" t="str">
        <f t="shared" si="3"/>
        <v/>
      </c>
      <c r="AD102" s="1205" t="str">
        <f t="shared" si="4"/>
        <v/>
      </c>
      <c r="AE102" s="1206" t="str">
        <f t="shared" si="5"/>
        <v/>
      </c>
      <c r="AF102" s="1207"/>
      <c r="AG102" s="1208"/>
    </row>
    <row r="103" spans="29:33" x14ac:dyDescent="0.2">
      <c r="AC103" s="1214" t="str">
        <f t="shared" si="3"/>
        <v/>
      </c>
      <c r="AD103" s="1205" t="str">
        <f t="shared" si="4"/>
        <v/>
      </c>
      <c r="AE103" s="1206" t="str">
        <f t="shared" si="5"/>
        <v/>
      </c>
      <c r="AF103" s="1207"/>
      <c r="AG103" s="1208"/>
    </row>
    <row r="104" spans="29:33" x14ac:dyDescent="0.2">
      <c r="AC104" s="1214" t="str">
        <f t="shared" si="3"/>
        <v/>
      </c>
      <c r="AD104" s="1205" t="str">
        <f t="shared" si="4"/>
        <v/>
      </c>
      <c r="AE104" s="1206" t="str">
        <f t="shared" si="5"/>
        <v/>
      </c>
      <c r="AF104" s="1207"/>
      <c r="AG104" s="1208"/>
    </row>
    <row r="105" spans="29:33" x14ac:dyDescent="0.2">
      <c r="AC105" s="1214" t="str">
        <f t="shared" si="3"/>
        <v/>
      </c>
      <c r="AD105" s="1205" t="str">
        <f t="shared" si="4"/>
        <v/>
      </c>
      <c r="AE105" s="1206" t="str">
        <f t="shared" si="5"/>
        <v/>
      </c>
      <c r="AF105" s="1207"/>
      <c r="AG105" s="1208"/>
    </row>
    <row r="106" spans="29:33" x14ac:dyDescent="0.2">
      <c r="AC106" s="1214" t="str">
        <f t="shared" si="3"/>
        <v/>
      </c>
      <c r="AD106" s="1205" t="str">
        <f t="shared" si="4"/>
        <v/>
      </c>
      <c r="AE106" s="1206" t="str">
        <f t="shared" si="5"/>
        <v/>
      </c>
      <c r="AF106" s="1207"/>
      <c r="AG106" s="1208"/>
    </row>
    <row r="107" spans="29:33" x14ac:dyDescent="0.2">
      <c r="AC107" s="1214" t="str">
        <f t="shared" si="3"/>
        <v/>
      </c>
      <c r="AD107" s="1205" t="str">
        <f t="shared" si="4"/>
        <v/>
      </c>
      <c r="AE107" s="1206" t="str">
        <f t="shared" si="5"/>
        <v/>
      </c>
      <c r="AF107" s="1207"/>
      <c r="AG107" s="1208"/>
    </row>
    <row r="108" spans="29:33" x14ac:dyDescent="0.2">
      <c r="AC108" s="1214" t="str">
        <f t="shared" si="3"/>
        <v/>
      </c>
      <c r="AD108" s="1205" t="str">
        <f t="shared" si="4"/>
        <v/>
      </c>
      <c r="AE108" s="1206" t="str">
        <f t="shared" si="5"/>
        <v/>
      </c>
      <c r="AF108" s="1207"/>
      <c r="AG108" s="1208"/>
    </row>
    <row r="109" spans="29:33" x14ac:dyDescent="0.2">
      <c r="AC109" s="1214" t="str">
        <f t="shared" si="3"/>
        <v/>
      </c>
      <c r="AD109" s="1205" t="str">
        <f t="shared" si="4"/>
        <v/>
      </c>
      <c r="AE109" s="1206" t="str">
        <f t="shared" si="5"/>
        <v/>
      </c>
      <c r="AF109" s="1207"/>
      <c r="AG109" s="1208"/>
    </row>
    <row r="110" spans="29:33" x14ac:dyDescent="0.2">
      <c r="AC110" s="1214" t="str">
        <f t="shared" si="3"/>
        <v/>
      </c>
      <c r="AD110" s="1205" t="str">
        <f t="shared" si="4"/>
        <v/>
      </c>
      <c r="AE110" s="1206" t="str">
        <f t="shared" si="5"/>
        <v/>
      </c>
      <c r="AF110" s="1207"/>
      <c r="AG110" s="1208"/>
    </row>
    <row r="111" spans="29:33" x14ac:dyDescent="0.2">
      <c r="AC111" s="1214" t="str">
        <f t="shared" si="3"/>
        <v/>
      </c>
      <c r="AD111" s="1205" t="str">
        <f t="shared" si="4"/>
        <v/>
      </c>
      <c r="AE111" s="1206" t="str">
        <f t="shared" si="5"/>
        <v/>
      </c>
      <c r="AF111" s="1207"/>
      <c r="AG111" s="1208"/>
    </row>
    <row r="112" spans="29:33" x14ac:dyDescent="0.2">
      <c r="AC112" s="1214" t="str">
        <f t="shared" si="3"/>
        <v/>
      </c>
      <c r="AD112" s="1205" t="str">
        <f t="shared" si="4"/>
        <v/>
      </c>
      <c r="AE112" s="1206" t="str">
        <f t="shared" si="5"/>
        <v/>
      </c>
      <c r="AF112" s="1207"/>
      <c r="AG112" s="1208"/>
    </row>
    <row r="113" spans="29:33" x14ac:dyDescent="0.2">
      <c r="AC113" s="1214" t="str">
        <f t="shared" si="3"/>
        <v/>
      </c>
      <c r="AD113" s="1205" t="str">
        <f t="shared" si="4"/>
        <v/>
      </c>
      <c r="AE113" s="1206" t="str">
        <f t="shared" si="5"/>
        <v/>
      </c>
      <c r="AF113" s="1207"/>
      <c r="AG113" s="1208"/>
    </row>
    <row r="114" spans="29:33" x14ac:dyDescent="0.2">
      <c r="AC114" s="1214" t="str">
        <f t="shared" si="3"/>
        <v/>
      </c>
      <c r="AD114" s="1205" t="str">
        <f t="shared" si="4"/>
        <v/>
      </c>
      <c r="AE114" s="1206" t="str">
        <f t="shared" si="5"/>
        <v/>
      </c>
      <c r="AF114" s="1207"/>
      <c r="AG114" s="1208"/>
    </row>
    <row r="115" spans="29:33" x14ac:dyDescent="0.2">
      <c r="AC115" s="1214" t="str">
        <f t="shared" si="3"/>
        <v/>
      </c>
      <c r="AD115" s="1205" t="str">
        <f t="shared" si="4"/>
        <v/>
      </c>
      <c r="AE115" s="1206" t="str">
        <f t="shared" si="5"/>
        <v/>
      </c>
      <c r="AF115" s="1207"/>
      <c r="AG115" s="1208"/>
    </row>
    <row r="116" spans="29:33" x14ac:dyDescent="0.2">
      <c r="AC116" s="1214" t="str">
        <f t="shared" si="3"/>
        <v/>
      </c>
      <c r="AD116" s="1205" t="str">
        <f t="shared" si="4"/>
        <v/>
      </c>
      <c r="AE116" s="1206" t="str">
        <f t="shared" si="5"/>
        <v/>
      </c>
      <c r="AF116" s="1207"/>
      <c r="AG116" s="1208"/>
    </row>
    <row r="117" spans="29:33" x14ac:dyDescent="0.2">
      <c r="AC117" s="1214" t="str">
        <f t="shared" si="3"/>
        <v/>
      </c>
      <c r="AD117" s="1205" t="str">
        <f t="shared" si="4"/>
        <v/>
      </c>
      <c r="AE117" s="1206" t="str">
        <f t="shared" si="5"/>
        <v/>
      </c>
      <c r="AF117" s="1207"/>
      <c r="AG117" s="1208"/>
    </row>
    <row r="118" spans="29:33" x14ac:dyDescent="0.2">
      <c r="AC118" s="1214" t="str">
        <f t="shared" si="3"/>
        <v/>
      </c>
      <c r="AD118" s="1205" t="str">
        <f t="shared" si="4"/>
        <v/>
      </c>
      <c r="AE118" s="1206" t="str">
        <f t="shared" si="5"/>
        <v/>
      </c>
      <c r="AF118" s="1207"/>
      <c r="AG118" s="1208"/>
    </row>
    <row r="119" spans="29:33" x14ac:dyDescent="0.2">
      <c r="AC119" s="1214" t="str">
        <f t="shared" si="3"/>
        <v/>
      </c>
      <c r="AD119" s="1205" t="str">
        <f t="shared" si="4"/>
        <v/>
      </c>
      <c r="AE119" s="1206" t="str">
        <f t="shared" si="5"/>
        <v/>
      </c>
      <c r="AF119" s="1207"/>
      <c r="AG119" s="1208"/>
    </row>
    <row r="120" spans="29:33" x14ac:dyDescent="0.2">
      <c r="AC120" s="1214" t="str">
        <f t="shared" si="3"/>
        <v/>
      </c>
      <c r="AD120" s="1205" t="str">
        <f t="shared" si="4"/>
        <v/>
      </c>
      <c r="AE120" s="1206" t="str">
        <f t="shared" si="5"/>
        <v/>
      </c>
      <c r="AF120" s="1207"/>
      <c r="AG120" s="1208"/>
    </row>
    <row r="121" spans="29:33" x14ac:dyDescent="0.2">
      <c r="AC121" s="1214" t="str">
        <f t="shared" si="3"/>
        <v/>
      </c>
      <c r="AD121" s="1205" t="str">
        <f t="shared" si="4"/>
        <v/>
      </c>
      <c r="AE121" s="1206" t="str">
        <f t="shared" si="5"/>
        <v/>
      </c>
      <c r="AF121" s="1207"/>
      <c r="AG121" s="1208"/>
    </row>
    <row r="122" spans="29:33" x14ac:dyDescent="0.2">
      <c r="AC122" s="1214" t="str">
        <f t="shared" si="3"/>
        <v/>
      </c>
      <c r="AD122" s="1205" t="str">
        <f t="shared" si="4"/>
        <v/>
      </c>
      <c r="AE122" s="1206" t="str">
        <f t="shared" si="5"/>
        <v/>
      </c>
      <c r="AF122" s="1207"/>
      <c r="AG122" s="1208"/>
    </row>
    <row r="123" spans="29:33" x14ac:dyDescent="0.2">
      <c r="AC123" s="1214" t="str">
        <f t="shared" si="3"/>
        <v/>
      </c>
      <c r="AD123" s="1205" t="str">
        <f t="shared" si="4"/>
        <v/>
      </c>
      <c r="AE123" s="1206" t="str">
        <f t="shared" si="5"/>
        <v/>
      </c>
      <c r="AF123" s="1207"/>
      <c r="AG123" s="1208"/>
    </row>
    <row r="124" spans="29:33" x14ac:dyDescent="0.2">
      <c r="AC124" s="1214" t="str">
        <f t="shared" si="3"/>
        <v/>
      </c>
      <c r="AD124" s="1205" t="str">
        <f t="shared" si="4"/>
        <v/>
      </c>
      <c r="AE124" s="1206" t="str">
        <f t="shared" si="5"/>
        <v/>
      </c>
      <c r="AF124" s="1207"/>
      <c r="AG124" s="1208"/>
    </row>
    <row r="125" spans="29:33" x14ac:dyDescent="0.2">
      <c r="AC125" s="1214" t="str">
        <f t="shared" si="3"/>
        <v/>
      </c>
      <c r="AD125" s="1205" t="str">
        <f t="shared" si="4"/>
        <v/>
      </c>
      <c r="AE125" s="1206" t="str">
        <f t="shared" si="5"/>
        <v/>
      </c>
      <c r="AF125" s="1207"/>
      <c r="AG125" s="1208"/>
    </row>
    <row r="126" spans="29:33" x14ac:dyDescent="0.2">
      <c r="AC126" s="1214" t="str">
        <f t="shared" si="3"/>
        <v/>
      </c>
      <c r="AD126" s="1205" t="str">
        <f t="shared" si="4"/>
        <v/>
      </c>
      <c r="AE126" s="1206" t="str">
        <f t="shared" si="5"/>
        <v/>
      </c>
      <c r="AF126" s="1207"/>
      <c r="AG126" s="1208"/>
    </row>
    <row r="127" spans="29:33" x14ac:dyDescent="0.2">
      <c r="AC127" s="1214" t="str">
        <f t="shared" si="3"/>
        <v/>
      </c>
      <c r="AD127" s="1205" t="str">
        <f t="shared" si="4"/>
        <v/>
      </c>
      <c r="AE127" s="1206" t="str">
        <f t="shared" si="5"/>
        <v/>
      </c>
      <c r="AF127" s="1207"/>
      <c r="AG127" s="1208"/>
    </row>
    <row r="128" spans="29:33" x14ac:dyDescent="0.2">
      <c r="AC128" s="1214" t="str">
        <f t="shared" si="3"/>
        <v/>
      </c>
      <c r="AD128" s="1205" t="str">
        <f t="shared" si="4"/>
        <v/>
      </c>
      <c r="AE128" s="1206" t="str">
        <f t="shared" si="5"/>
        <v/>
      </c>
      <c r="AF128" s="1207"/>
      <c r="AG128" s="1208"/>
    </row>
    <row r="129" spans="29:33" x14ac:dyDescent="0.2">
      <c r="AC129" s="1214" t="str">
        <f t="shared" si="3"/>
        <v/>
      </c>
      <c r="AD129" s="1205" t="str">
        <f t="shared" si="4"/>
        <v/>
      </c>
      <c r="AE129" s="1206" t="str">
        <f t="shared" si="5"/>
        <v/>
      </c>
      <c r="AF129" s="1207"/>
      <c r="AG129" s="1208"/>
    </row>
    <row r="130" spans="29:33" x14ac:dyDescent="0.2">
      <c r="AC130" s="1214" t="str">
        <f t="shared" si="3"/>
        <v/>
      </c>
      <c r="AD130" s="1205" t="str">
        <f t="shared" si="4"/>
        <v/>
      </c>
      <c r="AE130" s="1206" t="str">
        <f t="shared" si="5"/>
        <v/>
      </c>
      <c r="AF130" s="1207"/>
      <c r="AG130" s="1208"/>
    </row>
    <row r="131" spans="29:33" x14ac:dyDescent="0.2">
      <c r="AC131" s="1214" t="str">
        <f t="shared" ref="AC131:AC194" si="6">IF(ISBLANK(W130),"",W130)</f>
        <v/>
      </c>
      <c r="AD131" s="1205" t="str">
        <f t="shared" ref="AD131:AD194" si="7">IF(ISBLANK(V130),"",V130)</f>
        <v/>
      </c>
      <c r="AE131" s="1206" t="str">
        <f t="shared" ref="AE131:AE194" si="8">IF(ISBLANK(Z130),"",Z130)</f>
        <v/>
      </c>
      <c r="AF131" s="1207"/>
      <c r="AG131" s="1208"/>
    </row>
    <row r="132" spans="29:33" x14ac:dyDescent="0.2">
      <c r="AC132" s="1214" t="str">
        <f t="shared" si="6"/>
        <v/>
      </c>
      <c r="AD132" s="1205" t="str">
        <f t="shared" si="7"/>
        <v/>
      </c>
      <c r="AE132" s="1206" t="str">
        <f t="shared" si="8"/>
        <v/>
      </c>
      <c r="AF132" s="1207"/>
      <c r="AG132" s="1208"/>
    </row>
    <row r="133" spans="29:33" x14ac:dyDescent="0.2">
      <c r="AC133" s="1214" t="str">
        <f t="shared" si="6"/>
        <v/>
      </c>
      <c r="AD133" s="1205" t="str">
        <f t="shared" si="7"/>
        <v/>
      </c>
      <c r="AE133" s="1206" t="str">
        <f t="shared" si="8"/>
        <v/>
      </c>
      <c r="AF133" s="1207"/>
      <c r="AG133" s="1208"/>
    </row>
    <row r="134" spans="29:33" x14ac:dyDescent="0.2">
      <c r="AC134" s="1214" t="str">
        <f t="shared" si="6"/>
        <v/>
      </c>
      <c r="AD134" s="1205" t="str">
        <f t="shared" si="7"/>
        <v/>
      </c>
      <c r="AE134" s="1206" t="str">
        <f t="shared" si="8"/>
        <v/>
      </c>
      <c r="AF134" s="1207"/>
      <c r="AG134" s="1208"/>
    </row>
    <row r="135" spans="29:33" x14ac:dyDescent="0.2">
      <c r="AC135" s="1214" t="str">
        <f t="shared" si="6"/>
        <v/>
      </c>
      <c r="AD135" s="1205" t="str">
        <f t="shared" si="7"/>
        <v/>
      </c>
      <c r="AE135" s="1206" t="str">
        <f t="shared" si="8"/>
        <v/>
      </c>
      <c r="AF135" s="1207"/>
      <c r="AG135" s="1208"/>
    </row>
    <row r="136" spans="29:33" x14ac:dyDescent="0.2">
      <c r="AC136" s="1214" t="str">
        <f t="shared" si="6"/>
        <v/>
      </c>
      <c r="AD136" s="1205" t="str">
        <f t="shared" si="7"/>
        <v/>
      </c>
      <c r="AE136" s="1206" t="str">
        <f t="shared" si="8"/>
        <v/>
      </c>
      <c r="AF136" s="1207"/>
      <c r="AG136" s="1208"/>
    </row>
    <row r="137" spans="29:33" x14ac:dyDescent="0.2">
      <c r="AC137" s="1214" t="str">
        <f t="shared" si="6"/>
        <v/>
      </c>
      <c r="AD137" s="1205" t="str">
        <f t="shared" si="7"/>
        <v/>
      </c>
      <c r="AE137" s="1206" t="str">
        <f t="shared" si="8"/>
        <v/>
      </c>
      <c r="AF137" s="1207"/>
      <c r="AG137" s="1208"/>
    </row>
    <row r="138" spans="29:33" x14ac:dyDescent="0.2">
      <c r="AC138" s="1214" t="str">
        <f t="shared" si="6"/>
        <v/>
      </c>
      <c r="AD138" s="1205" t="str">
        <f t="shared" si="7"/>
        <v/>
      </c>
      <c r="AE138" s="1206" t="str">
        <f t="shared" si="8"/>
        <v/>
      </c>
      <c r="AF138" s="1207"/>
      <c r="AG138" s="1208"/>
    </row>
    <row r="139" spans="29:33" x14ac:dyDescent="0.2">
      <c r="AC139" s="1214" t="str">
        <f t="shared" si="6"/>
        <v/>
      </c>
      <c r="AD139" s="1205" t="str">
        <f t="shared" si="7"/>
        <v/>
      </c>
      <c r="AE139" s="1206" t="str">
        <f t="shared" si="8"/>
        <v/>
      </c>
      <c r="AF139" s="1207"/>
      <c r="AG139" s="1208"/>
    </row>
    <row r="140" spans="29:33" x14ac:dyDescent="0.2">
      <c r="AC140" s="1214" t="str">
        <f t="shared" si="6"/>
        <v/>
      </c>
      <c r="AD140" s="1205" t="str">
        <f t="shared" si="7"/>
        <v/>
      </c>
      <c r="AE140" s="1206" t="str">
        <f t="shared" si="8"/>
        <v/>
      </c>
      <c r="AF140" s="1207"/>
      <c r="AG140" s="1208"/>
    </row>
    <row r="141" spans="29:33" x14ac:dyDescent="0.2">
      <c r="AC141" s="1214" t="str">
        <f t="shared" si="6"/>
        <v/>
      </c>
      <c r="AD141" s="1205" t="str">
        <f t="shared" si="7"/>
        <v/>
      </c>
      <c r="AE141" s="1206" t="str">
        <f t="shared" si="8"/>
        <v/>
      </c>
      <c r="AF141" s="1207"/>
      <c r="AG141" s="1208"/>
    </row>
    <row r="142" spans="29:33" x14ac:dyDescent="0.2">
      <c r="AC142" s="1214" t="str">
        <f t="shared" si="6"/>
        <v/>
      </c>
      <c r="AD142" s="1205" t="str">
        <f t="shared" si="7"/>
        <v/>
      </c>
      <c r="AE142" s="1206" t="str">
        <f t="shared" si="8"/>
        <v/>
      </c>
      <c r="AF142" s="1207"/>
      <c r="AG142" s="1208"/>
    </row>
    <row r="143" spans="29:33" x14ac:dyDescent="0.2">
      <c r="AC143" s="1214" t="str">
        <f t="shared" si="6"/>
        <v/>
      </c>
      <c r="AD143" s="1205" t="str">
        <f t="shared" si="7"/>
        <v/>
      </c>
      <c r="AE143" s="1206" t="str">
        <f t="shared" si="8"/>
        <v/>
      </c>
      <c r="AF143" s="1207"/>
      <c r="AG143" s="1208"/>
    </row>
    <row r="144" spans="29:33" x14ac:dyDescent="0.2">
      <c r="AC144" s="1214" t="str">
        <f t="shared" si="6"/>
        <v/>
      </c>
      <c r="AD144" s="1205" t="str">
        <f t="shared" si="7"/>
        <v/>
      </c>
      <c r="AE144" s="1206" t="str">
        <f t="shared" si="8"/>
        <v/>
      </c>
      <c r="AF144" s="1207"/>
      <c r="AG144" s="1208"/>
    </row>
    <row r="145" spans="29:33" x14ac:dyDescent="0.2">
      <c r="AC145" s="1214" t="str">
        <f t="shared" si="6"/>
        <v/>
      </c>
      <c r="AD145" s="1205" t="str">
        <f t="shared" si="7"/>
        <v/>
      </c>
      <c r="AE145" s="1206" t="str">
        <f t="shared" si="8"/>
        <v/>
      </c>
      <c r="AF145" s="1207"/>
      <c r="AG145" s="1208"/>
    </row>
    <row r="146" spans="29:33" x14ac:dyDescent="0.2">
      <c r="AC146" s="1214" t="str">
        <f t="shared" si="6"/>
        <v/>
      </c>
      <c r="AD146" s="1205" t="str">
        <f t="shared" si="7"/>
        <v/>
      </c>
      <c r="AE146" s="1206" t="str">
        <f t="shared" si="8"/>
        <v/>
      </c>
      <c r="AF146" s="1207"/>
      <c r="AG146" s="1208"/>
    </row>
    <row r="147" spans="29:33" x14ac:dyDescent="0.2">
      <c r="AC147" s="1214" t="str">
        <f t="shared" si="6"/>
        <v/>
      </c>
      <c r="AD147" s="1205" t="str">
        <f t="shared" si="7"/>
        <v/>
      </c>
      <c r="AE147" s="1206" t="str">
        <f t="shared" si="8"/>
        <v/>
      </c>
      <c r="AF147" s="1207"/>
      <c r="AG147" s="1208"/>
    </row>
    <row r="148" spans="29:33" x14ac:dyDescent="0.2">
      <c r="AC148" s="1214" t="str">
        <f t="shared" si="6"/>
        <v/>
      </c>
      <c r="AD148" s="1205" t="str">
        <f t="shared" si="7"/>
        <v/>
      </c>
      <c r="AE148" s="1206" t="str">
        <f t="shared" si="8"/>
        <v/>
      </c>
      <c r="AF148" s="1207"/>
      <c r="AG148" s="1208"/>
    </row>
    <row r="149" spans="29:33" x14ac:dyDescent="0.2">
      <c r="AC149" s="1214" t="str">
        <f t="shared" si="6"/>
        <v/>
      </c>
      <c r="AD149" s="1205" t="str">
        <f t="shared" si="7"/>
        <v/>
      </c>
      <c r="AE149" s="1206" t="str">
        <f t="shared" si="8"/>
        <v/>
      </c>
      <c r="AF149" s="1207"/>
      <c r="AG149" s="1208"/>
    </row>
    <row r="150" spans="29:33" x14ac:dyDescent="0.2">
      <c r="AC150" s="1214" t="str">
        <f t="shared" si="6"/>
        <v/>
      </c>
      <c r="AD150" s="1205" t="str">
        <f t="shared" si="7"/>
        <v/>
      </c>
      <c r="AE150" s="1206" t="str">
        <f t="shared" si="8"/>
        <v/>
      </c>
      <c r="AF150" s="1207"/>
      <c r="AG150" s="1208"/>
    </row>
    <row r="151" spans="29:33" x14ac:dyDescent="0.2">
      <c r="AC151" s="1214" t="str">
        <f t="shared" si="6"/>
        <v/>
      </c>
      <c r="AD151" s="1205" t="str">
        <f t="shared" si="7"/>
        <v/>
      </c>
      <c r="AE151" s="1206" t="str">
        <f t="shared" si="8"/>
        <v/>
      </c>
      <c r="AF151" s="1207"/>
      <c r="AG151" s="1208"/>
    </row>
    <row r="152" spans="29:33" x14ac:dyDescent="0.2">
      <c r="AC152" s="1214" t="str">
        <f t="shared" si="6"/>
        <v/>
      </c>
      <c r="AD152" s="1205" t="str">
        <f t="shared" si="7"/>
        <v/>
      </c>
      <c r="AE152" s="1206" t="str">
        <f t="shared" si="8"/>
        <v/>
      </c>
      <c r="AF152" s="1207"/>
      <c r="AG152" s="1208"/>
    </row>
    <row r="153" spans="29:33" x14ac:dyDescent="0.2">
      <c r="AC153" s="1214" t="str">
        <f t="shared" si="6"/>
        <v/>
      </c>
      <c r="AD153" s="1205" t="str">
        <f t="shared" si="7"/>
        <v/>
      </c>
      <c r="AE153" s="1206" t="str">
        <f t="shared" si="8"/>
        <v/>
      </c>
      <c r="AF153" s="1207"/>
      <c r="AG153" s="1208"/>
    </row>
    <row r="154" spans="29:33" x14ac:dyDescent="0.2">
      <c r="AC154" s="1214" t="str">
        <f t="shared" si="6"/>
        <v/>
      </c>
      <c r="AD154" s="1205" t="str">
        <f t="shared" si="7"/>
        <v/>
      </c>
      <c r="AE154" s="1206" t="str">
        <f t="shared" si="8"/>
        <v/>
      </c>
      <c r="AF154" s="1207"/>
      <c r="AG154" s="1208"/>
    </row>
    <row r="155" spans="29:33" x14ac:dyDescent="0.2">
      <c r="AC155" s="1214" t="str">
        <f t="shared" si="6"/>
        <v/>
      </c>
      <c r="AD155" s="1205" t="str">
        <f t="shared" si="7"/>
        <v/>
      </c>
      <c r="AE155" s="1206" t="str">
        <f t="shared" si="8"/>
        <v/>
      </c>
      <c r="AF155" s="1207"/>
      <c r="AG155" s="1208"/>
    </row>
    <row r="156" spans="29:33" x14ac:dyDescent="0.2">
      <c r="AC156" s="1214" t="str">
        <f t="shared" si="6"/>
        <v/>
      </c>
      <c r="AD156" s="1205" t="str">
        <f t="shared" si="7"/>
        <v/>
      </c>
      <c r="AE156" s="1206" t="str">
        <f t="shared" si="8"/>
        <v/>
      </c>
      <c r="AF156" s="1207"/>
      <c r="AG156" s="1208"/>
    </row>
    <row r="157" spans="29:33" x14ac:dyDescent="0.2">
      <c r="AC157" s="1214" t="str">
        <f t="shared" si="6"/>
        <v/>
      </c>
      <c r="AD157" s="1205" t="str">
        <f t="shared" si="7"/>
        <v/>
      </c>
      <c r="AE157" s="1206" t="str">
        <f t="shared" si="8"/>
        <v/>
      </c>
      <c r="AF157" s="1207"/>
      <c r="AG157" s="1208"/>
    </row>
    <row r="158" spans="29:33" x14ac:dyDescent="0.2">
      <c r="AC158" s="1214" t="str">
        <f t="shared" si="6"/>
        <v/>
      </c>
      <c r="AD158" s="1205" t="str">
        <f t="shared" si="7"/>
        <v/>
      </c>
      <c r="AE158" s="1206" t="str">
        <f t="shared" si="8"/>
        <v/>
      </c>
      <c r="AF158" s="1207"/>
      <c r="AG158" s="1208"/>
    </row>
    <row r="159" spans="29:33" x14ac:dyDescent="0.2">
      <c r="AC159" s="1214" t="str">
        <f t="shared" si="6"/>
        <v/>
      </c>
      <c r="AD159" s="1205" t="str">
        <f t="shared" si="7"/>
        <v/>
      </c>
      <c r="AE159" s="1206" t="str">
        <f t="shared" si="8"/>
        <v/>
      </c>
      <c r="AF159" s="1207"/>
      <c r="AG159" s="1208"/>
    </row>
    <row r="160" spans="29:33" x14ac:dyDescent="0.2">
      <c r="AC160" s="1214" t="str">
        <f t="shared" si="6"/>
        <v/>
      </c>
      <c r="AD160" s="1205" t="str">
        <f t="shared" si="7"/>
        <v/>
      </c>
      <c r="AE160" s="1206" t="str">
        <f t="shared" si="8"/>
        <v/>
      </c>
      <c r="AF160" s="1207"/>
      <c r="AG160" s="1208"/>
    </row>
    <row r="161" spans="29:33" x14ac:dyDescent="0.2">
      <c r="AC161" s="1214" t="str">
        <f t="shared" si="6"/>
        <v/>
      </c>
      <c r="AD161" s="1205" t="str">
        <f t="shared" si="7"/>
        <v/>
      </c>
      <c r="AE161" s="1206" t="str">
        <f t="shared" si="8"/>
        <v/>
      </c>
      <c r="AF161" s="1207"/>
      <c r="AG161" s="1208"/>
    </row>
    <row r="162" spans="29:33" x14ac:dyDescent="0.2">
      <c r="AC162" s="1214" t="str">
        <f t="shared" si="6"/>
        <v/>
      </c>
      <c r="AD162" s="1205" t="str">
        <f t="shared" si="7"/>
        <v/>
      </c>
      <c r="AE162" s="1206" t="str">
        <f t="shared" si="8"/>
        <v/>
      </c>
      <c r="AF162" s="1207"/>
      <c r="AG162" s="1208"/>
    </row>
    <row r="163" spans="29:33" x14ac:dyDescent="0.2">
      <c r="AC163" s="1214" t="str">
        <f t="shared" si="6"/>
        <v/>
      </c>
      <c r="AD163" s="1205" t="str">
        <f t="shared" si="7"/>
        <v/>
      </c>
      <c r="AE163" s="1206" t="str">
        <f t="shared" si="8"/>
        <v/>
      </c>
      <c r="AF163" s="1207"/>
      <c r="AG163" s="1208"/>
    </row>
    <row r="164" spans="29:33" x14ac:dyDescent="0.2">
      <c r="AC164" s="1214" t="str">
        <f t="shared" si="6"/>
        <v/>
      </c>
      <c r="AD164" s="1205" t="str">
        <f t="shared" si="7"/>
        <v/>
      </c>
      <c r="AE164" s="1206" t="str">
        <f t="shared" si="8"/>
        <v/>
      </c>
      <c r="AF164" s="1207"/>
      <c r="AG164" s="1208"/>
    </row>
    <row r="165" spans="29:33" x14ac:dyDescent="0.2">
      <c r="AC165" s="1214" t="str">
        <f t="shared" si="6"/>
        <v/>
      </c>
      <c r="AD165" s="1205" t="str">
        <f t="shared" si="7"/>
        <v/>
      </c>
      <c r="AE165" s="1206" t="str">
        <f t="shared" si="8"/>
        <v/>
      </c>
      <c r="AF165" s="1207"/>
      <c r="AG165" s="1208"/>
    </row>
    <row r="166" spans="29:33" x14ac:dyDescent="0.2">
      <c r="AC166" s="1214" t="str">
        <f t="shared" si="6"/>
        <v/>
      </c>
      <c r="AD166" s="1205" t="str">
        <f t="shared" si="7"/>
        <v/>
      </c>
      <c r="AE166" s="1206" t="str">
        <f t="shared" si="8"/>
        <v/>
      </c>
      <c r="AF166" s="1207"/>
      <c r="AG166" s="1208"/>
    </row>
    <row r="167" spans="29:33" x14ac:dyDescent="0.2">
      <c r="AC167" s="1214" t="str">
        <f t="shared" si="6"/>
        <v/>
      </c>
      <c r="AD167" s="1205" t="str">
        <f t="shared" si="7"/>
        <v/>
      </c>
      <c r="AE167" s="1206" t="str">
        <f t="shared" si="8"/>
        <v/>
      </c>
      <c r="AF167" s="1207"/>
      <c r="AG167" s="1208"/>
    </row>
    <row r="168" spans="29:33" x14ac:dyDescent="0.2">
      <c r="AC168" s="1214" t="str">
        <f t="shared" si="6"/>
        <v/>
      </c>
      <c r="AD168" s="1205" t="str">
        <f t="shared" si="7"/>
        <v/>
      </c>
      <c r="AE168" s="1206" t="str">
        <f t="shared" si="8"/>
        <v/>
      </c>
      <c r="AF168" s="1207"/>
      <c r="AG168" s="1208"/>
    </row>
    <row r="169" spans="29:33" x14ac:dyDescent="0.2">
      <c r="AC169" s="1214" t="str">
        <f t="shared" si="6"/>
        <v/>
      </c>
      <c r="AD169" s="1205" t="str">
        <f t="shared" si="7"/>
        <v/>
      </c>
      <c r="AE169" s="1206" t="str">
        <f t="shared" si="8"/>
        <v/>
      </c>
      <c r="AF169" s="1207"/>
      <c r="AG169" s="1208"/>
    </row>
    <row r="170" spans="29:33" x14ac:dyDescent="0.2">
      <c r="AC170" s="1214" t="str">
        <f t="shared" si="6"/>
        <v/>
      </c>
      <c r="AD170" s="1205" t="str">
        <f t="shared" si="7"/>
        <v/>
      </c>
      <c r="AE170" s="1206" t="str">
        <f t="shared" si="8"/>
        <v/>
      </c>
      <c r="AF170" s="1207"/>
      <c r="AG170" s="1208"/>
    </row>
    <row r="171" spans="29:33" x14ac:dyDescent="0.2">
      <c r="AC171" s="1214" t="str">
        <f t="shared" si="6"/>
        <v/>
      </c>
      <c r="AD171" s="1205" t="str">
        <f t="shared" si="7"/>
        <v/>
      </c>
      <c r="AE171" s="1206" t="str">
        <f t="shared" si="8"/>
        <v/>
      </c>
      <c r="AF171" s="1207"/>
      <c r="AG171" s="1208"/>
    </row>
    <row r="172" spans="29:33" x14ac:dyDescent="0.2">
      <c r="AC172" s="1214" t="str">
        <f t="shared" si="6"/>
        <v/>
      </c>
      <c r="AD172" s="1205" t="str">
        <f t="shared" si="7"/>
        <v/>
      </c>
      <c r="AE172" s="1206" t="str">
        <f t="shared" si="8"/>
        <v/>
      </c>
      <c r="AF172" s="1207"/>
      <c r="AG172" s="1208"/>
    </row>
    <row r="173" spans="29:33" x14ac:dyDescent="0.2">
      <c r="AC173" s="1214" t="str">
        <f t="shared" si="6"/>
        <v/>
      </c>
      <c r="AD173" s="1205" t="str">
        <f t="shared" si="7"/>
        <v/>
      </c>
      <c r="AE173" s="1206" t="str">
        <f t="shared" si="8"/>
        <v/>
      </c>
      <c r="AF173" s="1207"/>
      <c r="AG173" s="1208"/>
    </row>
    <row r="174" spans="29:33" x14ac:dyDescent="0.2">
      <c r="AC174" s="1214" t="str">
        <f t="shared" si="6"/>
        <v/>
      </c>
      <c r="AD174" s="1205" t="str">
        <f t="shared" si="7"/>
        <v/>
      </c>
      <c r="AE174" s="1206" t="str">
        <f t="shared" si="8"/>
        <v/>
      </c>
      <c r="AF174" s="1207"/>
      <c r="AG174" s="1208"/>
    </row>
    <row r="175" spans="29:33" x14ac:dyDescent="0.2">
      <c r="AC175" s="1214" t="str">
        <f t="shared" si="6"/>
        <v/>
      </c>
      <c r="AD175" s="1205" t="str">
        <f t="shared" si="7"/>
        <v/>
      </c>
      <c r="AE175" s="1206" t="str">
        <f t="shared" si="8"/>
        <v/>
      </c>
      <c r="AF175" s="1207"/>
      <c r="AG175" s="1208"/>
    </row>
    <row r="176" spans="29:33" x14ac:dyDescent="0.2">
      <c r="AC176" s="1214" t="str">
        <f t="shared" si="6"/>
        <v/>
      </c>
      <c r="AD176" s="1205" t="str">
        <f t="shared" si="7"/>
        <v/>
      </c>
      <c r="AE176" s="1206" t="str">
        <f t="shared" si="8"/>
        <v/>
      </c>
      <c r="AF176" s="1207"/>
      <c r="AG176" s="1208"/>
    </row>
    <row r="177" spans="29:33" x14ac:dyDescent="0.2">
      <c r="AC177" s="1214" t="str">
        <f t="shared" si="6"/>
        <v/>
      </c>
      <c r="AD177" s="1205" t="str">
        <f t="shared" si="7"/>
        <v/>
      </c>
      <c r="AE177" s="1206" t="str">
        <f t="shared" si="8"/>
        <v/>
      </c>
      <c r="AF177" s="1207"/>
      <c r="AG177" s="1208"/>
    </row>
    <row r="178" spans="29:33" x14ac:dyDescent="0.2">
      <c r="AC178" s="1214" t="str">
        <f t="shared" si="6"/>
        <v/>
      </c>
      <c r="AD178" s="1205" t="str">
        <f t="shared" si="7"/>
        <v/>
      </c>
      <c r="AE178" s="1206" t="str">
        <f t="shared" si="8"/>
        <v/>
      </c>
      <c r="AF178" s="1207"/>
      <c r="AG178" s="1208"/>
    </row>
    <row r="179" spans="29:33" x14ac:dyDescent="0.2">
      <c r="AC179" s="1214" t="str">
        <f t="shared" si="6"/>
        <v/>
      </c>
      <c r="AD179" s="1205" t="str">
        <f t="shared" si="7"/>
        <v/>
      </c>
      <c r="AE179" s="1206" t="str">
        <f t="shared" si="8"/>
        <v/>
      </c>
      <c r="AF179" s="1207"/>
      <c r="AG179" s="1208"/>
    </row>
    <row r="180" spans="29:33" x14ac:dyDescent="0.2">
      <c r="AC180" s="1214" t="str">
        <f t="shared" si="6"/>
        <v/>
      </c>
      <c r="AD180" s="1205" t="str">
        <f t="shared" si="7"/>
        <v/>
      </c>
      <c r="AE180" s="1206" t="str">
        <f t="shared" si="8"/>
        <v/>
      </c>
      <c r="AF180" s="1207"/>
      <c r="AG180" s="1208"/>
    </row>
    <row r="181" spans="29:33" x14ac:dyDescent="0.2">
      <c r="AC181" s="1214" t="str">
        <f t="shared" si="6"/>
        <v/>
      </c>
      <c r="AD181" s="1205" t="str">
        <f t="shared" si="7"/>
        <v/>
      </c>
      <c r="AE181" s="1206" t="str">
        <f t="shared" si="8"/>
        <v/>
      </c>
      <c r="AF181" s="1207"/>
      <c r="AG181" s="1208"/>
    </row>
    <row r="182" spans="29:33" x14ac:dyDescent="0.2">
      <c r="AC182" s="1214" t="str">
        <f t="shared" si="6"/>
        <v/>
      </c>
      <c r="AD182" s="1205" t="str">
        <f t="shared" si="7"/>
        <v/>
      </c>
      <c r="AE182" s="1206" t="str">
        <f t="shared" si="8"/>
        <v/>
      </c>
      <c r="AF182" s="1207"/>
      <c r="AG182" s="1208"/>
    </row>
    <row r="183" spans="29:33" x14ac:dyDescent="0.2">
      <c r="AC183" s="1214" t="str">
        <f t="shared" si="6"/>
        <v/>
      </c>
      <c r="AD183" s="1205" t="str">
        <f t="shared" si="7"/>
        <v/>
      </c>
      <c r="AE183" s="1206" t="str">
        <f t="shared" si="8"/>
        <v/>
      </c>
      <c r="AF183" s="1207"/>
      <c r="AG183" s="1208"/>
    </row>
    <row r="184" spans="29:33" x14ac:dyDescent="0.2">
      <c r="AC184" s="1214" t="str">
        <f t="shared" si="6"/>
        <v/>
      </c>
      <c r="AD184" s="1205" t="str">
        <f t="shared" si="7"/>
        <v/>
      </c>
      <c r="AE184" s="1206" t="str">
        <f t="shared" si="8"/>
        <v/>
      </c>
      <c r="AF184" s="1207"/>
      <c r="AG184" s="1208"/>
    </row>
    <row r="185" spans="29:33" x14ac:dyDescent="0.2">
      <c r="AC185" s="1214" t="str">
        <f t="shared" si="6"/>
        <v/>
      </c>
      <c r="AD185" s="1205" t="str">
        <f t="shared" si="7"/>
        <v/>
      </c>
      <c r="AE185" s="1206" t="str">
        <f t="shared" si="8"/>
        <v/>
      </c>
      <c r="AF185" s="1207"/>
      <c r="AG185" s="1208"/>
    </row>
    <row r="186" spans="29:33" x14ac:dyDescent="0.2">
      <c r="AC186" s="1214" t="str">
        <f t="shared" si="6"/>
        <v/>
      </c>
      <c r="AD186" s="1205" t="str">
        <f t="shared" si="7"/>
        <v/>
      </c>
      <c r="AE186" s="1206" t="str">
        <f t="shared" si="8"/>
        <v/>
      </c>
      <c r="AF186" s="1207"/>
      <c r="AG186" s="1208"/>
    </row>
    <row r="187" spans="29:33" x14ac:dyDescent="0.2">
      <c r="AC187" s="1214" t="str">
        <f t="shared" si="6"/>
        <v/>
      </c>
      <c r="AD187" s="1205" t="str">
        <f t="shared" si="7"/>
        <v/>
      </c>
      <c r="AE187" s="1206" t="str">
        <f t="shared" si="8"/>
        <v/>
      </c>
      <c r="AF187" s="1207"/>
      <c r="AG187" s="1208"/>
    </row>
    <row r="188" spans="29:33" x14ac:dyDescent="0.2">
      <c r="AC188" s="1214" t="str">
        <f t="shared" si="6"/>
        <v/>
      </c>
      <c r="AD188" s="1205" t="str">
        <f t="shared" si="7"/>
        <v/>
      </c>
      <c r="AE188" s="1206" t="str">
        <f t="shared" si="8"/>
        <v/>
      </c>
      <c r="AF188" s="1207"/>
      <c r="AG188" s="1208"/>
    </row>
    <row r="189" spans="29:33" x14ac:dyDescent="0.2">
      <c r="AC189" s="1214" t="str">
        <f t="shared" si="6"/>
        <v/>
      </c>
      <c r="AD189" s="1205" t="str">
        <f t="shared" si="7"/>
        <v/>
      </c>
      <c r="AE189" s="1206" t="str">
        <f t="shared" si="8"/>
        <v/>
      </c>
      <c r="AF189" s="1207"/>
      <c r="AG189" s="1208"/>
    </row>
    <row r="190" spans="29:33" x14ac:dyDescent="0.2">
      <c r="AC190" s="1214" t="str">
        <f t="shared" si="6"/>
        <v/>
      </c>
      <c r="AD190" s="1205" t="str">
        <f t="shared" si="7"/>
        <v/>
      </c>
      <c r="AE190" s="1206" t="str">
        <f t="shared" si="8"/>
        <v/>
      </c>
      <c r="AF190" s="1207"/>
      <c r="AG190" s="1208"/>
    </row>
    <row r="191" spans="29:33" x14ac:dyDescent="0.2">
      <c r="AC191" s="1214" t="str">
        <f t="shared" si="6"/>
        <v/>
      </c>
      <c r="AD191" s="1205" t="str">
        <f t="shared" si="7"/>
        <v/>
      </c>
      <c r="AE191" s="1206" t="str">
        <f t="shared" si="8"/>
        <v/>
      </c>
      <c r="AF191" s="1207"/>
      <c r="AG191" s="1208"/>
    </row>
    <row r="192" spans="29:33" x14ac:dyDescent="0.2">
      <c r="AC192" s="1214" t="str">
        <f t="shared" si="6"/>
        <v/>
      </c>
      <c r="AD192" s="1205" t="str">
        <f t="shared" si="7"/>
        <v/>
      </c>
      <c r="AE192" s="1206" t="str">
        <f t="shared" si="8"/>
        <v/>
      </c>
      <c r="AF192" s="1207"/>
      <c r="AG192" s="1208"/>
    </row>
    <row r="193" spans="29:33" x14ac:dyDescent="0.2">
      <c r="AC193" s="1214" t="str">
        <f t="shared" si="6"/>
        <v/>
      </c>
      <c r="AD193" s="1205" t="str">
        <f t="shared" si="7"/>
        <v/>
      </c>
      <c r="AE193" s="1206" t="str">
        <f t="shared" si="8"/>
        <v/>
      </c>
      <c r="AF193" s="1207"/>
      <c r="AG193" s="1208"/>
    </row>
    <row r="194" spans="29:33" x14ac:dyDescent="0.2">
      <c r="AC194" s="1214" t="str">
        <f t="shared" si="6"/>
        <v/>
      </c>
      <c r="AD194" s="1205" t="str">
        <f t="shared" si="7"/>
        <v/>
      </c>
      <c r="AE194" s="1206" t="str">
        <f t="shared" si="8"/>
        <v/>
      </c>
      <c r="AF194" s="1207"/>
      <c r="AG194" s="1208"/>
    </row>
    <row r="195" spans="29:33" x14ac:dyDescent="0.2">
      <c r="AC195" s="1214" t="str">
        <f t="shared" ref="AC195:AC258" si="9">IF(ISBLANK(W194),"",W194)</f>
        <v/>
      </c>
      <c r="AD195" s="1205" t="str">
        <f t="shared" ref="AD195:AD258" si="10">IF(ISBLANK(V194),"",V194)</f>
        <v/>
      </c>
      <c r="AE195" s="1206" t="str">
        <f t="shared" ref="AE195:AE258" si="11">IF(ISBLANK(Z194),"",Z194)</f>
        <v/>
      </c>
      <c r="AF195" s="1207"/>
      <c r="AG195" s="1208"/>
    </row>
    <row r="196" spans="29:33" x14ac:dyDescent="0.2">
      <c r="AC196" s="1214" t="str">
        <f t="shared" si="9"/>
        <v/>
      </c>
      <c r="AD196" s="1205" t="str">
        <f t="shared" si="10"/>
        <v/>
      </c>
      <c r="AE196" s="1206" t="str">
        <f t="shared" si="11"/>
        <v/>
      </c>
      <c r="AF196" s="1207"/>
      <c r="AG196" s="1208"/>
    </row>
    <row r="197" spans="29:33" x14ac:dyDescent="0.2">
      <c r="AC197" s="1214" t="str">
        <f t="shared" si="9"/>
        <v/>
      </c>
      <c r="AD197" s="1205" t="str">
        <f t="shared" si="10"/>
        <v/>
      </c>
      <c r="AE197" s="1206" t="str">
        <f t="shared" si="11"/>
        <v/>
      </c>
      <c r="AF197" s="1207"/>
      <c r="AG197" s="1208"/>
    </row>
    <row r="198" spans="29:33" x14ac:dyDescent="0.2">
      <c r="AC198" s="1214" t="str">
        <f t="shared" si="9"/>
        <v/>
      </c>
      <c r="AD198" s="1205" t="str">
        <f t="shared" si="10"/>
        <v/>
      </c>
      <c r="AE198" s="1206" t="str">
        <f t="shared" si="11"/>
        <v/>
      </c>
      <c r="AF198" s="1207"/>
      <c r="AG198" s="1208"/>
    </row>
    <row r="199" spans="29:33" x14ac:dyDescent="0.2">
      <c r="AC199" s="1214" t="str">
        <f t="shared" si="9"/>
        <v/>
      </c>
      <c r="AD199" s="1205" t="str">
        <f t="shared" si="10"/>
        <v/>
      </c>
      <c r="AE199" s="1206" t="str">
        <f t="shared" si="11"/>
        <v/>
      </c>
      <c r="AF199" s="1207"/>
      <c r="AG199" s="1208"/>
    </row>
    <row r="200" spans="29:33" x14ac:dyDescent="0.2">
      <c r="AC200" s="1214" t="str">
        <f t="shared" si="9"/>
        <v/>
      </c>
      <c r="AD200" s="1205" t="str">
        <f t="shared" si="10"/>
        <v/>
      </c>
      <c r="AE200" s="1206" t="str">
        <f t="shared" si="11"/>
        <v/>
      </c>
      <c r="AF200" s="1207"/>
      <c r="AG200" s="1208"/>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oIA6ypTijHkKq85H1lmmHCQPB9TqyNosvHoY5pEzhXCfWksi1MkwIkFhKczKwwUHpfn9WGrYMLFR15PBli3qEg==" saltValue="qDaV4JH4g4JlRIYEgSPgPA==" spinCount="100000" sheet="1" objects="1" scenarios="1" selectLockedCells="1"/>
  <dataConsolidate link="1"/>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879" priority="2" stopIfTrue="1">
      <formula>AD2&lt;&gt;""</formula>
    </cfRule>
  </conditionalFormatting>
  <conditionalFormatting sqref="AC2:AD301">
    <cfRule type="cellIs" dxfId="878" priority="3" stopIfTrue="1" operator="notEqual">
      <formula>""</formula>
    </cfRule>
  </conditionalFormatting>
  <conditionalFormatting sqref="AF3:AG302">
    <cfRule type="expression" dxfId="87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autoFill="0" autoLine="0" linkedCell="U10" r:id="rId5">
            <anchor>
              <from>
                <xdr:col>4</xdr:col>
                <xdr:colOff>342900</xdr:colOff>
                <xdr:row>24</xdr:row>
                <xdr:rowOff>133350</xdr:rowOff>
              </from>
              <to>
                <xdr:col>4</xdr:col>
                <xdr:colOff>1666875</xdr:colOff>
                <xdr:row>26</xdr:row>
                <xdr:rowOff>38100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r:id="rId7">
            <anchor moveWithCells="1">
              <from>
                <xdr:col>3</xdr:col>
                <xdr:colOff>876300</xdr:colOff>
                <xdr:row>32</xdr:row>
                <xdr:rowOff>152400</xdr:rowOff>
              </from>
              <to>
                <xdr:col>4</xdr:col>
                <xdr:colOff>495300</xdr:colOff>
                <xdr:row>35</xdr:row>
                <xdr:rowOff>123825</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r:id="rId9">
            <anchor moveWithCells="1">
              <from>
                <xdr:col>4</xdr:col>
                <xdr:colOff>342900</xdr:colOff>
                <xdr:row>22</xdr:row>
                <xdr:rowOff>0</xdr:rowOff>
              </from>
              <to>
                <xdr:col>4</xdr:col>
                <xdr:colOff>1447800</xdr:colOff>
                <xdr:row>23</xdr:row>
                <xdr:rowOff>57150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r:id="rId11">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r:id="rId13">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AutoCalcBOM">
          <controlPr defaultSize="0" disabled="1" autoLine="0" r:id="rId17">
            <anchor>
              <from>
                <xdr:col>4</xdr:col>
                <xdr:colOff>342900</xdr:colOff>
                <xdr:row>17</xdr:row>
                <xdr:rowOff>28575</xdr:rowOff>
              </from>
              <to>
                <xdr:col>4</xdr:col>
                <xdr:colOff>1466850</xdr:colOff>
                <xdr:row>18</xdr:row>
                <xdr:rowOff>85725</xdr:rowOff>
              </to>
            </anchor>
          </controlPr>
        </control>
      </mc:Choice>
      <mc:Fallback>
        <control shapeId="414910" r:id="rId16" name="ckbxAutoCalcBOM"/>
      </mc:Fallback>
    </mc:AlternateContent>
    <mc:AlternateContent xmlns:mc="http://schemas.openxmlformats.org/markup-compatibility/2006">
      <mc:Choice Requires="x14">
        <control shapeId="414826" r:id="rId18" name="cmdDeleteView">
          <controlPr defaultSize="0" disabled="1" autoFill="0" autoLine="0" r:id="rId19">
            <anchor moveWithCells="1">
              <from>
                <xdr:col>3</xdr:col>
                <xdr:colOff>876300</xdr:colOff>
                <xdr:row>29</xdr:row>
                <xdr:rowOff>114300</xdr:rowOff>
              </from>
              <to>
                <xdr:col>4</xdr:col>
                <xdr:colOff>495300</xdr:colOff>
                <xdr:row>32</xdr:row>
                <xdr:rowOff>85725</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r:id="rId21">
            <anchor moveWithCells="1">
              <from>
                <xdr:col>2</xdr:col>
                <xdr:colOff>523875</xdr:colOff>
                <xdr:row>29</xdr:row>
                <xdr:rowOff>114300</xdr:rowOff>
              </from>
              <to>
                <xdr:col>3</xdr:col>
                <xdr:colOff>809625</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from>
                <xdr:col>2</xdr:col>
                <xdr:colOff>1038225</xdr:colOff>
                <xdr:row>27</xdr:row>
                <xdr:rowOff>47625</xdr:rowOff>
              </from>
              <to>
                <xdr:col>4</xdr:col>
                <xdr:colOff>114300</xdr:colOff>
                <xdr:row>27</xdr:row>
                <xdr:rowOff>295275</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autoFill="0" autoLine="0" r:id="rId25">
            <anchor>
              <from>
                <xdr:col>4</xdr:col>
                <xdr:colOff>390525</xdr:colOff>
                <xdr:row>26</xdr:row>
                <xdr:rowOff>104775</xdr:rowOff>
              </from>
              <to>
                <xdr:col>4</xdr:col>
                <xdr:colOff>1609725</xdr:colOff>
                <xdr:row>28</xdr:row>
                <xdr:rowOff>142875</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8D697-2165-4674-A7B2-893D6F8B1D13}">
  <sheetPr codeName="Sheet37">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4">
        <f>IF(ISBLANK('Job Info.'!D8),"",'Job Info.'!D8)</f>
        <v>44909</v>
      </c>
      <c r="G1" s="1794"/>
      <c r="H1" s="374"/>
    </row>
    <row r="2" spans="1:8" ht="39.950000000000003" customHeight="1" x14ac:dyDescent="0.2">
      <c r="A2" s="18" t="s">
        <v>41</v>
      </c>
      <c r="B2" s="374"/>
      <c r="C2" s="374"/>
      <c r="D2" s="374"/>
      <c r="E2" s="460" t="s">
        <v>21</v>
      </c>
      <c r="F2" s="541">
        <v>2</v>
      </c>
      <c r="G2" s="541">
        <v>3</v>
      </c>
      <c r="H2" s="374"/>
    </row>
    <row r="3" spans="1:8" ht="6" customHeight="1" x14ac:dyDescent="0.2">
      <c r="A3" s="374"/>
      <c r="B3" s="374"/>
      <c r="C3" s="374"/>
      <c r="D3" s="374"/>
      <c r="E3" s="374"/>
      <c r="F3" s="374"/>
      <c r="G3" s="374"/>
      <c r="H3" s="374"/>
    </row>
    <row r="4" spans="1:8" ht="15.95" customHeight="1" x14ac:dyDescent="0.2">
      <c r="A4" s="471" t="s">
        <v>1</v>
      </c>
      <c r="B4" s="1796" t="str">
        <f>IF(ISBLANK('Job Info.'!D3),"",'Job Info.'!D3)</f>
        <v>SUNCAP CHEYENNE&amp;COMMERCE BLDG A&amp;B PP</v>
      </c>
      <c r="C4" s="1797"/>
      <c r="D4" s="471" t="s">
        <v>2</v>
      </c>
      <c r="E4" s="1796" t="str">
        <f>IF(ISBLANK('Job Info.'!D5),"",'Job Info.'!D5)</f>
        <v>9122-0050</v>
      </c>
      <c r="F4" s="1796"/>
      <c r="G4" s="1796"/>
      <c r="H4" s="1797"/>
    </row>
    <row r="5" spans="1:8" ht="15.95" customHeight="1" x14ac:dyDescent="0.2">
      <c r="A5" s="471" t="s">
        <v>3</v>
      </c>
      <c r="B5" s="1796" t="str">
        <f>IF(ISBLANK('Job Info.'!D4),"",'Job Info.'!D4)</f>
        <v>LAS VEGAS, NV</v>
      </c>
      <c r="C5" s="1797"/>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5" t="s">
        <v>15</v>
      </c>
      <c r="C7" s="1795"/>
      <c r="D7" s="1795"/>
      <c r="E7" s="1795"/>
      <c r="F7" s="1795"/>
      <c r="G7" s="1795"/>
      <c r="H7" s="1795"/>
    </row>
    <row r="8" spans="1:8" ht="15" customHeight="1" x14ac:dyDescent="0.2">
      <c r="A8" s="1051" t="s">
        <v>1398</v>
      </c>
      <c r="B8" s="1792" t="s">
        <v>1761</v>
      </c>
      <c r="C8" s="1792"/>
      <c r="D8" s="1792"/>
      <c r="E8" s="1792"/>
      <c r="F8" s="1792"/>
      <c r="G8" s="1792"/>
      <c r="H8" s="1792"/>
    </row>
    <row r="9" spans="1:8" ht="15" customHeight="1" x14ac:dyDescent="0.2">
      <c r="A9" s="1052"/>
      <c r="B9" s="1791" t="s">
        <v>1762</v>
      </c>
      <c r="C9" s="1791"/>
      <c r="D9" s="1791"/>
      <c r="E9" s="1791"/>
      <c r="F9" s="1791"/>
      <c r="G9" s="1791"/>
      <c r="H9" s="1791"/>
    </row>
    <row r="10" spans="1:8" ht="15" customHeight="1" x14ac:dyDescent="0.2">
      <c r="A10" s="1052" t="s">
        <v>1399</v>
      </c>
      <c r="B10" s="1791" t="s">
        <v>1763</v>
      </c>
      <c r="C10" s="1791"/>
      <c r="D10" s="1791"/>
      <c r="E10" s="1791"/>
      <c r="F10" s="1791"/>
      <c r="G10" s="1791"/>
      <c r="H10" s="1791"/>
    </row>
    <row r="11" spans="1:8" ht="15" customHeight="1" x14ac:dyDescent="0.2">
      <c r="A11" s="1052"/>
      <c r="B11" s="1791" t="s">
        <v>1762</v>
      </c>
      <c r="C11" s="1791"/>
      <c r="D11" s="1791"/>
      <c r="E11" s="1791"/>
      <c r="F11" s="1791"/>
      <c r="G11" s="1791"/>
      <c r="H11" s="1791"/>
    </row>
    <row r="12" spans="1:8" ht="15" customHeight="1" x14ac:dyDescent="0.2">
      <c r="A12" s="1052" t="s">
        <v>1404</v>
      </c>
      <c r="B12" s="1791" t="s">
        <v>1763</v>
      </c>
      <c r="C12" s="1791"/>
      <c r="D12" s="1791"/>
      <c r="E12" s="1791"/>
      <c r="F12" s="1791"/>
      <c r="G12" s="1791"/>
      <c r="H12" s="1791"/>
    </row>
    <row r="13" spans="1:8" ht="15" customHeight="1" x14ac:dyDescent="0.2">
      <c r="A13" s="1052"/>
      <c r="B13" s="1791" t="s">
        <v>1762</v>
      </c>
      <c r="C13" s="1791"/>
      <c r="D13" s="1791"/>
      <c r="E13" s="1791"/>
      <c r="F13" s="1791"/>
      <c r="G13" s="1791"/>
      <c r="H13" s="1791"/>
    </row>
    <row r="14" spans="1:8" ht="15" customHeight="1" x14ac:dyDescent="0.2">
      <c r="A14" s="1052" t="s">
        <v>1405</v>
      </c>
      <c r="B14" s="1791" t="s">
        <v>1763</v>
      </c>
      <c r="C14" s="1791"/>
      <c r="D14" s="1791"/>
      <c r="E14" s="1791"/>
      <c r="F14" s="1791"/>
      <c r="G14" s="1791"/>
      <c r="H14" s="1791"/>
    </row>
    <row r="15" spans="1:8" ht="15" customHeight="1" x14ac:dyDescent="0.2">
      <c r="A15" s="1052"/>
      <c r="B15" s="1791" t="s">
        <v>1762</v>
      </c>
      <c r="C15" s="1791"/>
      <c r="D15" s="1791"/>
      <c r="E15" s="1791"/>
      <c r="F15" s="1791"/>
      <c r="G15" s="1791"/>
      <c r="H15" s="1791"/>
    </row>
    <row r="16" spans="1:8" ht="15" customHeight="1" x14ac:dyDescent="0.2">
      <c r="A16" s="1052" t="s">
        <v>1411</v>
      </c>
      <c r="B16" s="1791" t="s">
        <v>1764</v>
      </c>
      <c r="C16" s="1791"/>
      <c r="D16" s="1791"/>
      <c r="E16" s="1791"/>
      <c r="F16" s="1791"/>
      <c r="G16" s="1791"/>
      <c r="H16" s="1791"/>
    </row>
    <row r="17" spans="1:8" ht="15" customHeight="1" x14ac:dyDescent="0.2">
      <c r="A17" s="1052" t="s">
        <v>1412</v>
      </c>
      <c r="B17" s="1791" t="s">
        <v>1761</v>
      </c>
      <c r="C17" s="1791"/>
      <c r="D17" s="1791"/>
      <c r="E17" s="1791"/>
      <c r="F17" s="1791"/>
      <c r="G17" s="1791"/>
      <c r="H17" s="1791"/>
    </row>
    <row r="18" spans="1:8" ht="15" customHeight="1" x14ac:dyDescent="0.2">
      <c r="A18" s="1052"/>
      <c r="B18" s="1791" t="s">
        <v>1762</v>
      </c>
      <c r="C18" s="1791"/>
      <c r="D18" s="1791"/>
      <c r="E18" s="1791"/>
      <c r="F18" s="1791"/>
      <c r="G18" s="1791"/>
      <c r="H18" s="1791"/>
    </row>
    <row r="19" spans="1:8" ht="15" customHeight="1" x14ac:dyDescent="0.2">
      <c r="A19" s="1052" t="s">
        <v>1413</v>
      </c>
      <c r="B19" s="1791" t="s">
        <v>1763</v>
      </c>
      <c r="C19" s="1791"/>
      <c r="D19" s="1791"/>
      <c r="E19" s="1791"/>
      <c r="F19" s="1791"/>
      <c r="G19" s="1791"/>
      <c r="H19" s="1791"/>
    </row>
    <row r="20" spans="1:8" ht="15" customHeight="1" x14ac:dyDescent="0.2">
      <c r="A20" s="1052"/>
      <c r="B20" s="1791" t="s">
        <v>1762</v>
      </c>
      <c r="C20" s="1791"/>
      <c r="D20" s="1791"/>
      <c r="E20" s="1791"/>
      <c r="F20" s="1791"/>
      <c r="G20" s="1791"/>
      <c r="H20" s="1791"/>
    </row>
    <row r="21" spans="1:8" ht="15" customHeight="1" x14ac:dyDescent="0.2">
      <c r="A21" s="1052" t="s">
        <v>1418</v>
      </c>
      <c r="B21" s="1791" t="s">
        <v>1763</v>
      </c>
      <c r="C21" s="1791"/>
      <c r="D21" s="1791"/>
      <c r="E21" s="1791"/>
      <c r="F21" s="1791"/>
      <c r="G21" s="1791"/>
      <c r="H21" s="1791"/>
    </row>
    <row r="22" spans="1:8" ht="15" customHeight="1" x14ac:dyDescent="0.2">
      <c r="A22" s="1052"/>
      <c r="B22" s="1791" t="s">
        <v>1762</v>
      </c>
      <c r="C22" s="1791"/>
      <c r="D22" s="1791"/>
      <c r="E22" s="1791"/>
      <c r="F22" s="1791"/>
      <c r="G22" s="1791"/>
      <c r="H22" s="1791"/>
    </row>
    <row r="23" spans="1:8" ht="15" customHeight="1" x14ac:dyDescent="0.2">
      <c r="A23" s="1052" t="s">
        <v>1419</v>
      </c>
      <c r="B23" s="1791" t="s">
        <v>1763</v>
      </c>
      <c r="C23" s="1791"/>
      <c r="D23" s="1791"/>
      <c r="E23" s="1791"/>
      <c r="F23" s="1791"/>
      <c r="G23" s="1791"/>
      <c r="H23" s="1791"/>
    </row>
    <row r="24" spans="1:8" ht="15" customHeight="1" x14ac:dyDescent="0.2">
      <c r="A24" s="1052"/>
      <c r="B24" s="1791" t="s">
        <v>1762</v>
      </c>
      <c r="C24" s="1791"/>
      <c r="D24" s="1791"/>
      <c r="E24" s="1791"/>
      <c r="F24" s="1791"/>
      <c r="G24" s="1791"/>
      <c r="H24" s="1791"/>
    </row>
    <row r="25" spans="1:8" ht="15" customHeight="1" x14ac:dyDescent="0.2">
      <c r="A25" s="1052" t="s">
        <v>1423</v>
      </c>
      <c r="B25" s="1791" t="s">
        <v>1764</v>
      </c>
      <c r="C25" s="1791"/>
      <c r="D25" s="1791"/>
      <c r="E25" s="1791"/>
      <c r="F25" s="1791"/>
      <c r="G25" s="1791"/>
      <c r="H25" s="1791"/>
    </row>
    <row r="26" spans="1:8" ht="15" customHeight="1" x14ac:dyDescent="0.2">
      <c r="A26" s="1052" t="s">
        <v>1429</v>
      </c>
      <c r="B26" s="1791" t="s">
        <v>1763</v>
      </c>
      <c r="C26" s="1791"/>
      <c r="D26" s="1791"/>
      <c r="E26" s="1791"/>
      <c r="F26" s="1791"/>
      <c r="G26" s="1791"/>
      <c r="H26" s="1791"/>
    </row>
    <row r="27" spans="1:8" ht="15" customHeight="1" x14ac:dyDescent="0.2">
      <c r="A27" s="1052"/>
      <c r="B27" s="1791" t="s">
        <v>1762</v>
      </c>
      <c r="C27" s="1791"/>
      <c r="D27" s="1791"/>
      <c r="E27" s="1791"/>
      <c r="F27" s="1791"/>
      <c r="G27" s="1791"/>
      <c r="H27" s="1791"/>
    </row>
    <row r="28" spans="1:8" ht="15" customHeight="1" x14ac:dyDescent="0.2">
      <c r="A28" s="1052" t="s">
        <v>1430</v>
      </c>
      <c r="B28" s="1791" t="s">
        <v>1763</v>
      </c>
      <c r="C28" s="1791"/>
      <c r="D28" s="1791"/>
      <c r="E28" s="1791"/>
      <c r="F28" s="1791"/>
      <c r="G28" s="1791"/>
      <c r="H28" s="1791"/>
    </row>
    <row r="29" spans="1:8" ht="15" customHeight="1" x14ac:dyDescent="0.2">
      <c r="A29" s="1052"/>
      <c r="B29" s="1791" t="s">
        <v>1762</v>
      </c>
      <c r="C29" s="1791"/>
      <c r="D29" s="1791"/>
      <c r="E29" s="1791"/>
      <c r="F29" s="1791"/>
      <c r="G29" s="1791"/>
      <c r="H29" s="1791"/>
    </row>
    <row r="30" spans="1:8" ht="15" customHeight="1" x14ac:dyDescent="0.2">
      <c r="A30" s="1052" t="s">
        <v>1436</v>
      </c>
      <c r="B30" s="1791" t="s">
        <v>1764</v>
      </c>
      <c r="C30" s="1791"/>
      <c r="D30" s="1791"/>
      <c r="E30" s="1791"/>
      <c r="F30" s="1791"/>
      <c r="G30" s="1791"/>
      <c r="H30" s="1791"/>
    </row>
    <row r="31" spans="1:8" ht="15" customHeight="1" x14ac:dyDescent="0.2">
      <c r="A31" s="1052" t="s">
        <v>1437</v>
      </c>
      <c r="B31" s="1791" t="s">
        <v>1764</v>
      </c>
      <c r="C31" s="1791"/>
      <c r="D31" s="1791"/>
      <c r="E31" s="1791"/>
      <c r="F31" s="1791"/>
      <c r="G31" s="1791"/>
      <c r="H31" s="1791"/>
    </row>
    <row r="32" spans="1:8" ht="15" customHeight="1" x14ac:dyDescent="0.2">
      <c r="A32" s="1052" t="s">
        <v>1438</v>
      </c>
      <c r="B32" s="1791" t="s">
        <v>1763</v>
      </c>
      <c r="C32" s="1791"/>
      <c r="D32" s="1791"/>
      <c r="E32" s="1791"/>
      <c r="F32" s="1791"/>
      <c r="G32" s="1791"/>
      <c r="H32" s="1791"/>
    </row>
    <row r="33" spans="1:8" ht="15" customHeight="1" x14ac:dyDescent="0.2">
      <c r="A33" s="1052"/>
      <c r="B33" s="1791" t="s">
        <v>1762</v>
      </c>
      <c r="C33" s="1791"/>
      <c r="D33" s="1791"/>
      <c r="E33" s="1791"/>
      <c r="F33" s="1791"/>
      <c r="G33" s="1791"/>
      <c r="H33" s="1791"/>
    </row>
    <row r="34" spans="1:8" ht="15" customHeight="1" x14ac:dyDescent="0.2">
      <c r="A34" s="1052" t="s">
        <v>1439</v>
      </c>
      <c r="B34" s="1791" t="s">
        <v>1763</v>
      </c>
      <c r="C34" s="1791"/>
      <c r="D34" s="1791"/>
      <c r="E34" s="1791"/>
      <c r="F34" s="1791"/>
      <c r="G34" s="1791"/>
      <c r="H34" s="1791"/>
    </row>
    <row r="35" spans="1:8" ht="15" customHeight="1" x14ac:dyDescent="0.2">
      <c r="A35" s="1052"/>
      <c r="B35" s="1791" t="s">
        <v>1762</v>
      </c>
      <c r="C35" s="1791"/>
      <c r="D35" s="1791"/>
      <c r="E35" s="1791"/>
      <c r="F35" s="1791"/>
      <c r="G35" s="1791"/>
      <c r="H35" s="1791"/>
    </row>
    <row r="36" spans="1:8" ht="15" customHeight="1" x14ac:dyDescent="0.2">
      <c r="A36" s="1052" t="s">
        <v>1443</v>
      </c>
      <c r="B36" s="1791" t="s">
        <v>1763</v>
      </c>
      <c r="C36" s="1791"/>
      <c r="D36" s="1791"/>
      <c r="E36" s="1791"/>
      <c r="F36" s="1791"/>
      <c r="G36" s="1791"/>
      <c r="H36" s="1791"/>
    </row>
    <row r="37" spans="1:8" ht="15" customHeight="1" x14ac:dyDescent="0.2">
      <c r="A37" s="1052"/>
      <c r="B37" s="1791" t="s">
        <v>1762</v>
      </c>
      <c r="C37" s="1791"/>
      <c r="D37" s="1791"/>
      <c r="E37" s="1791"/>
      <c r="F37" s="1791"/>
      <c r="G37" s="1791"/>
      <c r="H37" s="1791"/>
    </row>
    <row r="38" spans="1:8" ht="15" customHeight="1" x14ac:dyDescent="0.2">
      <c r="A38" s="1052" t="s">
        <v>1444</v>
      </c>
      <c r="B38" s="1791" t="s">
        <v>1763</v>
      </c>
      <c r="C38" s="1791"/>
      <c r="D38" s="1791"/>
      <c r="E38" s="1791"/>
      <c r="F38" s="1791"/>
      <c r="G38" s="1791"/>
      <c r="H38" s="1791"/>
    </row>
    <row r="39" spans="1:8" ht="15" customHeight="1" x14ac:dyDescent="0.2">
      <c r="A39" s="1052"/>
      <c r="B39" s="1791" t="s">
        <v>1762</v>
      </c>
      <c r="C39" s="1791"/>
      <c r="D39" s="1791"/>
      <c r="E39" s="1791"/>
      <c r="F39" s="1791"/>
      <c r="G39" s="1791"/>
      <c r="H39" s="1791"/>
    </row>
    <row r="40" spans="1:8" ht="15" customHeight="1" x14ac:dyDescent="0.2">
      <c r="A40" s="1052" t="s">
        <v>1452</v>
      </c>
      <c r="B40" s="1791" t="s">
        <v>1764</v>
      </c>
      <c r="C40" s="1791"/>
      <c r="D40" s="1791"/>
      <c r="E40" s="1791"/>
      <c r="F40" s="1791"/>
      <c r="G40" s="1791"/>
      <c r="H40" s="1791"/>
    </row>
    <row r="41" spans="1:8" ht="15" customHeight="1" x14ac:dyDescent="0.2">
      <c r="A41" s="1052" t="s">
        <v>1453</v>
      </c>
      <c r="B41" s="1791" t="s">
        <v>1764</v>
      </c>
      <c r="C41" s="1791"/>
      <c r="D41" s="1791"/>
      <c r="E41" s="1791"/>
      <c r="F41" s="1791"/>
      <c r="G41" s="1791"/>
      <c r="H41" s="1791"/>
    </row>
    <row r="42" spans="1:8" ht="15" customHeight="1" x14ac:dyDescent="0.2">
      <c r="A42" s="1052" t="s">
        <v>1454</v>
      </c>
      <c r="B42" s="1791" t="s">
        <v>1763</v>
      </c>
      <c r="C42" s="1791"/>
      <c r="D42" s="1791"/>
      <c r="E42" s="1791"/>
      <c r="F42" s="1791"/>
      <c r="G42" s="1791"/>
      <c r="H42" s="1791"/>
    </row>
    <row r="43" spans="1:8" ht="15" customHeight="1" x14ac:dyDescent="0.2">
      <c r="A43" s="1052"/>
      <c r="B43" s="1791" t="s">
        <v>1762</v>
      </c>
      <c r="C43" s="1791"/>
      <c r="D43" s="1791"/>
      <c r="E43" s="1791"/>
      <c r="F43" s="1791"/>
      <c r="G43" s="1791"/>
      <c r="H43" s="1791"/>
    </row>
    <row r="44" spans="1:8" ht="15" customHeight="1" x14ac:dyDescent="0.2">
      <c r="A44" s="1052" t="s">
        <v>1455</v>
      </c>
      <c r="B44" s="1791" t="s">
        <v>1763</v>
      </c>
      <c r="C44" s="1791"/>
      <c r="D44" s="1791"/>
      <c r="E44" s="1791"/>
      <c r="F44" s="1791"/>
      <c r="G44" s="1791"/>
      <c r="H44" s="1791"/>
    </row>
    <row r="45" spans="1:8" ht="15" customHeight="1" x14ac:dyDescent="0.2">
      <c r="A45" s="1052"/>
      <c r="B45" s="1791" t="s">
        <v>1762</v>
      </c>
      <c r="C45" s="1791"/>
      <c r="D45" s="1791"/>
      <c r="E45" s="1791"/>
      <c r="F45" s="1791"/>
      <c r="G45" s="1791"/>
      <c r="H45" s="1791"/>
    </row>
    <row r="46" spans="1:8" ht="15" customHeight="1" x14ac:dyDescent="0.2">
      <c r="A46" s="1052" t="s">
        <v>1459</v>
      </c>
      <c r="B46" s="1791" t="s">
        <v>1763</v>
      </c>
      <c r="C46" s="1791"/>
      <c r="D46" s="1791"/>
      <c r="E46" s="1791"/>
      <c r="F46" s="1791"/>
      <c r="G46" s="1791"/>
      <c r="H46" s="1791"/>
    </row>
    <row r="47" spans="1:8" ht="15" customHeight="1" x14ac:dyDescent="0.2">
      <c r="A47" s="1053"/>
      <c r="B47" s="1793" t="s">
        <v>1762</v>
      </c>
      <c r="C47" s="1793"/>
      <c r="D47" s="1793"/>
      <c r="E47" s="1793"/>
      <c r="F47" s="1793"/>
      <c r="G47" s="1793"/>
      <c r="H47" s="179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PxrR3x5/U48Fk9nQva8oboVQTFnJoHOulYO0HLlpQAEUn7x9QjWayyXliQ/9ZANJ2e2v/1BmXYH9PdVQVomcBg==" saltValue="j+ouSCoYh5ZI322hEB1U6Q=="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F61B1-A491-42CB-B734-A1B083A7830F}">
  <sheetPr codeName="Sheet38">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4">
        <f>IF(ISBLANK('Job Info.'!D8),"",'Job Info.'!D8)</f>
        <v>44909</v>
      </c>
      <c r="G1" s="1794"/>
      <c r="H1" s="374"/>
    </row>
    <row r="2" spans="1:8" ht="39.950000000000003" customHeight="1" x14ac:dyDescent="0.2">
      <c r="A2" s="18" t="s">
        <v>41</v>
      </c>
      <c r="B2" s="374"/>
      <c r="C2" s="374"/>
      <c r="D2" s="374"/>
      <c r="E2" s="460" t="s">
        <v>21</v>
      </c>
      <c r="F2" s="541">
        <v>3</v>
      </c>
      <c r="G2" s="541">
        <v>3</v>
      </c>
      <c r="H2" s="374"/>
    </row>
    <row r="3" spans="1:8" ht="6" customHeight="1" x14ac:dyDescent="0.2">
      <c r="A3" s="374"/>
      <c r="B3" s="374"/>
      <c r="C3" s="374"/>
      <c r="D3" s="374"/>
      <c r="E3" s="374"/>
      <c r="F3" s="374"/>
      <c r="G3" s="374"/>
      <c r="H3" s="374"/>
    </row>
    <row r="4" spans="1:8" ht="15.95" customHeight="1" x14ac:dyDescent="0.2">
      <c r="A4" s="471" t="s">
        <v>1</v>
      </c>
      <c r="B4" s="1796" t="str">
        <f>IF(ISBLANK('Job Info.'!D3),"",'Job Info.'!D3)</f>
        <v>SUNCAP CHEYENNE&amp;COMMERCE BLDG A&amp;B PP</v>
      </c>
      <c r="C4" s="1797"/>
      <c r="D4" s="471" t="s">
        <v>2</v>
      </c>
      <c r="E4" s="1796" t="str">
        <f>IF(ISBLANK('Job Info.'!D5),"",'Job Info.'!D5)</f>
        <v>9122-0050</v>
      </c>
      <c r="F4" s="1796"/>
      <c r="G4" s="1796"/>
      <c r="H4" s="1797"/>
    </row>
    <row r="5" spans="1:8" ht="15.95" customHeight="1" x14ac:dyDescent="0.2">
      <c r="A5" s="471" t="s">
        <v>3</v>
      </c>
      <c r="B5" s="1796" t="str">
        <f>IF(ISBLANK('Job Info.'!D4),"",'Job Info.'!D4)</f>
        <v>LAS VEGAS, NV</v>
      </c>
      <c r="C5" s="1797"/>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5" t="s">
        <v>15</v>
      </c>
      <c r="C7" s="1795"/>
      <c r="D7" s="1795"/>
      <c r="E7" s="1795"/>
      <c r="F7" s="1795"/>
      <c r="G7" s="1795"/>
      <c r="H7" s="1795"/>
    </row>
    <row r="8" spans="1:8" ht="15" customHeight="1" x14ac:dyDescent="0.2">
      <c r="A8" s="1051" t="s">
        <v>1460</v>
      </c>
      <c r="B8" s="1792" t="s">
        <v>1763</v>
      </c>
      <c r="C8" s="1792"/>
      <c r="D8" s="1792"/>
      <c r="E8" s="1792"/>
      <c r="F8" s="1792"/>
      <c r="G8" s="1792"/>
      <c r="H8" s="1792"/>
    </row>
    <row r="9" spans="1:8" ht="15" customHeight="1" x14ac:dyDescent="0.2">
      <c r="A9" s="1052"/>
      <c r="B9" s="1791" t="s">
        <v>1762</v>
      </c>
      <c r="C9" s="1791"/>
      <c r="D9" s="1791"/>
      <c r="E9" s="1791"/>
      <c r="F9" s="1791"/>
      <c r="G9" s="1791"/>
      <c r="H9" s="1791"/>
    </row>
    <row r="10" spans="1:8" ht="15" customHeight="1" x14ac:dyDescent="0.2">
      <c r="A10" s="1052" t="s">
        <v>1464</v>
      </c>
      <c r="B10" s="1791" t="s">
        <v>1764</v>
      </c>
      <c r="C10" s="1791"/>
      <c r="D10" s="1791"/>
      <c r="E10" s="1791"/>
      <c r="F10" s="1791"/>
      <c r="G10" s="1791"/>
      <c r="H10" s="1791"/>
    </row>
    <row r="11" spans="1:8" ht="15" customHeight="1" x14ac:dyDescent="0.2">
      <c r="A11" s="1052" t="s">
        <v>1465</v>
      </c>
      <c r="B11" s="1791" t="s">
        <v>1763</v>
      </c>
      <c r="C11" s="1791"/>
      <c r="D11" s="1791"/>
      <c r="E11" s="1791"/>
      <c r="F11" s="1791"/>
      <c r="G11" s="1791"/>
      <c r="H11" s="1791"/>
    </row>
    <row r="12" spans="1:8" ht="15" customHeight="1" x14ac:dyDescent="0.2">
      <c r="A12" s="1052"/>
      <c r="B12" s="1791" t="s">
        <v>1762</v>
      </c>
      <c r="C12" s="1791"/>
      <c r="D12" s="1791"/>
      <c r="E12" s="1791"/>
      <c r="F12" s="1791"/>
      <c r="G12" s="1791"/>
      <c r="H12" s="1791"/>
    </row>
    <row r="13" spans="1:8" ht="15" customHeight="1" x14ac:dyDescent="0.2">
      <c r="A13" s="1052" t="s">
        <v>1466</v>
      </c>
      <c r="B13" s="1791" t="s">
        <v>1763</v>
      </c>
      <c r="C13" s="1791"/>
      <c r="D13" s="1791"/>
      <c r="E13" s="1791"/>
      <c r="F13" s="1791"/>
      <c r="G13" s="1791"/>
      <c r="H13" s="1791"/>
    </row>
    <row r="14" spans="1:8" ht="15" customHeight="1" x14ac:dyDescent="0.2">
      <c r="A14" s="1052"/>
      <c r="B14" s="1791" t="s">
        <v>1762</v>
      </c>
      <c r="C14" s="1791"/>
      <c r="D14" s="1791"/>
      <c r="E14" s="1791"/>
      <c r="F14" s="1791"/>
      <c r="G14" s="1791"/>
      <c r="H14" s="1791"/>
    </row>
    <row r="15" spans="1:8" ht="15" customHeight="1" x14ac:dyDescent="0.2">
      <c r="A15" s="1052" t="s">
        <v>1470</v>
      </c>
      <c r="B15" s="1791" t="s">
        <v>1763</v>
      </c>
      <c r="C15" s="1791"/>
      <c r="D15" s="1791"/>
      <c r="E15" s="1791"/>
      <c r="F15" s="1791"/>
      <c r="G15" s="1791"/>
      <c r="H15" s="1791"/>
    </row>
    <row r="16" spans="1:8" ht="15" customHeight="1" x14ac:dyDescent="0.2">
      <c r="A16" s="1052"/>
      <c r="B16" s="1791" t="s">
        <v>1762</v>
      </c>
      <c r="C16" s="1791"/>
      <c r="D16" s="1791"/>
      <c r="E16" s="1791"/>
      <c r="F16" s="1791"/>
      <c r="G16" s="1791"/>
      <c r="H16" s="1791"/>
    </row>
    <row r="17" spans="1:8" ht="15" customHeight="1" x14ac:dyDescent="0.2">
      <c r="A17" s="1052" t="s">
        <v>1471</v>
      </c>
      <c r="B17" s="1791" t="s">
        <v>1763</v>
      </c>
      <c r="C17" s="1791"/>
      <c r="D17" s="1791"/>
      <c r="E17" s="1791"/>
      <c r="F17" s="1791"/>
      <c r="G17" s="1791"/>
      <c r="H17" s="1791"/>
    </row>
    <row r="18" spans="1:8" ht="15" customHeight="1" x14ac:dyDescent="0.2">
      <c r="A18" s="1052"/>
      <c r="B18" s="1791" t="s">
        <v>1762</v>
      </c>
      <c r="C18" s="1791"/>
      <c r="D18" s="1791"/>
      <c r="E18" s="1791"/>
      <c r="F18" s="1791"/>
      <c r="G18" s="1791"/>
      <c r="H18" s="1791"/>
    </row>
    <row r="19" spans="1:8" ht="15" customHeight="1" x14ac:dyDescent="0.2">
      <c r="A19" s="1052" t="s">
        <v>1479</v>
      </c>
      <c r="B19" s="1791" t="s">
        <v>1763</v>
      </c>
      <c r="C19" s="1791"/>
      <c r="D19" s="1791"/>
      <c r="E19" s="1791"/>
      <c r="F19" s="1791"/>
      <c r="G19" s="1791"/>
      <c r="H19" s="1791"/>
    </row>
    <row r="20" spans="1:8" ht="15" customHeight="1" x14ac:dyDescent="0.2">
      <c r="A20" s="1052"/>
      <c r="B20" s="1791" t="s">
        <v>1762</v>
      </c>
      <c r="C20" s="1791"/>
      <c r="D20" s="1791"/>
      <c r="E20" s="1791"/>
      <c r="F20" s="1791"/>
      <c r="G20" s="1791"/>
      <c r="H20" s="1791"/>
    </row>
    <row r="21" spans="1:8" ht="15" customHeight="1" x14ac:dyDescent="0.2">
      <c r="A21" s="1052"/>
      <c r="B21" s="1791"/>
      <c r="C21" s="1791"/>
      <c r="D21" s="1791"/>
      <c r="E21" s="1791"/>
      <c r="F21" s="1791"/>
      <c r="G21" s="1791"/>
      <c r="H21" s="1791"/>
    </row>
    <row r="22" spans="1:8" ht="15" customHeight="1" x14ac:dyDescent="0.2">
      <c r="A22" s="1052"/>
      <c r="B22" s="1791"/>
      <c r="C22" s="1791"/>
      <c r="D22" s="1791"/>
      <c r="E22" s="1791"/>
      <c r="F22" s="1791"/>
      <c r="G22" s="1791"/>
      <c r="H22" s="1791"/>
    </row>
    <row r="23" spans="1:8" ht="15" customHeight="1" x14ac:dyDescent="0.2">
      <c r="A23" s="1052"/>
      <c r="B23" s="1791"/>
      <c r="C23" s="1791"/>
      <c r="D23" s="1791"/>
      <c r="E23" s="1791"/>
      <c r="F23" s="1791"/>
      <c r="G23" s="1791"/>
      <c r="H23" s="1791"/>
    </row>
    <row r="24" spans="1:8" ht="15" customHeight="1" x14ac:dyDescent="0.2">
      <c r="A24" s="1052"/>
      <c r="B24" s="1791"/>
      <c r="C24" s="1791"/>
      <c r="D24" s="1791"/>
      <c r="E24" s="1791"/>
      <c r="F24" s="1791"/>
      <c r="G24" s="1791"/>
      <c r="H24" s="1791"/>
    </row>
    <row r="25" spans="1:8" ht="15" customHeight="1" x14ac:dyDescent="0.2">
      <c r="A25" s="1052"/>
      <c r="B25" s="1791"/>
      <c r="C25" s="1791"/>
      <c r="D25" s="1791"/>
      <c r="E25" s="1791"/>
      <c r="F25" s="1791"/>
      <c r="G25" s="1791"/>
      <c r="H25" s="1791"/>
    </row>
    <row r="26" spans="1:8" ht="15" customHeight="1" x14ac:dyDescent="0.2">
      <c r="A26" s="1052"/>
      <c r="B26" s="1791"/>
      <c r="C26" s="1791"/>
      <c r="D26" s="1791"/>
      <c r="E26" s="1791"/>
      <c r="F26" s="1791"/>
      <c r="G26" s="1791"/>
      <c r="H26" s="1791"/>
    </row>
    <row r="27" spans="1:8" ht="15" customHeight="1" x14ac:dyDescent="0.2">
      <c r="A27" s="1052"/>
      <c r="B27" s="1791"/>
      <c r="C27" s="1791"/>
      <c r="D27" s="1791"/>
      <c r="E27" s="1791"/>
      <c r="F27" s="1791"/>
      <c r="G27" s="1791"/>
      <c r="H27" s="1791"/>
    </row>
    <row r="28" spans="1:8" ht="15" customHeight="1" x14ac:dyDescent="0.2">
      <c r="A28" s="1052"/>
      <c r="B28" s="1791"/>
      <c r="C28" s="1791"/>
      <c r="D28" s="1791"/>
      <c r="E28" s="1791"/>
      <c r="F28" s="1791"/>
      <c r="G28" s="1791"/>
      <c r="H28" s="1791"/>
    </row>
    <row r="29" spans="1:8" ht="15" customHeight="1" x14ac:dyDescent="0.2">
      <c r="A29" s="1052"/>
      <c r="B29" s="1791"/>
      <c r="C29" s="1791"/>
      <c r="D29" s="1791"/>
      <c r="E29" s="1791"/>
      <c r="F29" s="1791"/>
      <c r="G29" s="1791"/>
      <c r="H29" s="1791"/>
    </row>
    <row r="30" spans="1:8" ht="15" customHeight="1" x14ac:dyDescent="0.2">
      <c r="A30" s="1052"/>
      <c r="B30" s="1791"/>
      <c r="C30" s="1791"/>
      <c r="D30" s="1791"/>
      <c r="E30" s="1791"/>
      <c r="F30" s="1791"/>
      <c r="G30" s="1791"/>
      <c r="H30" s="1791"/>
    </row>
    <row r="31" spans="1:8" ht="15" customHeight="1" x14ac:dyDescent="0.2">
      <c r="A31" s="1052"/>
      <c r="B31" s="1791"/>
      <c r="C31" s="1791"/>
      <c r="D31" s="1791"/>
      <c r="E31" s="1791"/>
      <c r="F31" s="1791"/>
      <c r="G31" s="1791"/>
      <c r="H31" s="1791"/>
    </row>
    <row r="32" spans="1:8" ht="15" customHeight="1" x14ac:dyDescent="0.2">
      <c r="A32" s="1052"/>
      <c r="B32" s="1791"/>
      <c r="C32" s="1791"/>
      <c r="D32" s="1791"/>
      <c r="E32" s="1791"/>
      <c r="F32" s="1791"/>
      <c r="G32" s="1791"/>
      <c r="H32" s="1791"/>
    </row>
    <row r="33" spans="1:8" ht="15" customHeight="1" x14ac:dyDescent="0.2">
      <c r="A33" s="1052"/>
      <c r="B33" s="1791"/>
      <c r="C33" s="1791"/>
      <c r="D33" s="1791"/>
      <c r="E33" s="1791"/>
      <c r="F33" s="1791"/>
      <c r="G33" s="1791"/>
      <c r="H33" s="1791"/>
    </row>
    <row r="34" spans="1:8" ht="15" customHeight="1" x14ac:dyDescent="0.2">
      <c r="A34" s="1052"/>
      <c r="B34" s="1791"/>
      <c r="C34" s="1791"/>
      <c r="D34" s="1791"/>
      <c r="E34" s="1791"/>
      <c r="F34" s="1791"/>
      <c r="G34" s="1791"/>
      <c r="H34" s="1791"/>
    </row>
    <row r="35" spans="1:8" ht="15" customHeight="1" x14ac:dyDescent="0.2">
      <c r="A35" s="1052"/>
      <c r="B35" s="1791"/>
      <c r="C35" s="1791"/>
      <c r="D35" s="1791"/>
      <c r="E35" s="1791"/>
      <c r="F35" s="1791"/>
      <c r="G35" s="1791"/>
      <c r="H35" s="1791"/>
    </row>
    <row r="36" spans="1:8" ht="15" customHeight="1" x14ac:dyDescent="0.2">
      <c r="A36" s="1052"/>
      <c r="B36" s="1791"/>
      <c r="C36" s="1791"/>
      <c r="D36" s="1791"/>
      <c r="E36" s="1791"/>
      <c r="F36" s="1791"/>
      <c r="G36" s="1791"/>
      <c r="H36" s="1791"/>
    </row>
    <row r="37" spans="1:8" ht="15" customHeight="1" x14ac:dyDescent="0.2">
      <c r="A37" s="1052"/>
      <c r="B37" s="1791"/>
      <c r="C37" s="1791"/>
      <c r="D37" s="1791"/>
      <c r="E37" s="1791"/>
      <c r="F37" s="1791"/>
      <c r="G37" s="1791"/>
      <c r="H37" s="1791"/>
    </row>
    <row r="38" spans="1:8" ht="15" customHeight="1" x14ac:dyDescent="0.2">
      <c r="A38" s="1052"/>
      <c r="B38" s="1791"/>
      <c r="C38" s="1791"/>
      <c r="D38" s="1791"/>
      <c r="E38" s="1791"/>
      <c r="F38" s="1791"/>
      <c r="G38" s="1791"/>
      <c r="H38" s="1791"/>
    </row>
    <row r="39" spans="1:8" ht="15" customHeight="1" x14ac:dyDescent="0.2">
      <c r="A39" s="1052"/>
      <c r="B39" s="1791"/>
      <c r="C39" s="1791"/>
      <c r="D39" s="1791"/>
      <c r="E39" s="1791"/>
      <c r="F39" s="1791"/>
      <c r="G39" s="1791"/>
      <c r="H39" s="1791"/>
    </row>
    <row r="40" spans="1:8" ht="15" customHeight="1" x14ac:dyDescent="0.2">
      <c r="A40" s="1052"/>
      <c r="B40" s="1791"/>
      <c r="C40" s="1791"/>
      <c r="D40" s="1791"/>
      <c r="E40" s="1791"/>
      <c r="F40" s="1791"/>
      <c r="G40" s="1791"/>
      <c r="H40" s="1791"/>
    </row>
    <row r="41" spans="1:8" ht="15" customHeight="1" x14ac:dyDescent="0.2">
      <c r="A41" s="1052"/>
      <c r="B41" s="1791"/>
      <c r="C41" s="1791"/>
      <c r="D41" s="1791"/>
      <c r="E41" s="1791"/>
      <c r="F41" s="1791"/>
      <c r="G41" s="1791"/>
      <c r="H41" s="1791"/>
    </row>
    <row r="42" spans="1:8" ht="15" customHeight="1" x14ac:dyDescent="0.2">
      <c r="A42" s="1052"/>
      <c r="B42" s="1791"/>
      <c r="C42" s="1791"/>
      <c r="D42" s="1791"/>
      <c r="E42" s="1791"/>
      <c r="F42" s="1791"/>
      <c r="G42" s="1791"/>
      <c r="H42" s="1791"/>
    </row>
    <row r="43" spans="1:8" ht="15" customHeight="1" x14ac:dyDescent="0.2">
      <c r="A43" s="1052"/>
      <c r="B43" s="1791"/>
      <c r="C43" s="1791"/>
      <c r="D43" s="1791"/>
      <c r="E43" s="1791"/>
      <c r="F43" s="1791"/>
      <c r="G43" s="1791"/>
      <c r="H43" s="1791"/>
    </row>
    <row r="44" spans="1:8" ht="15" customHeight="1" x14ac:dyDescent="0.2">
      <c r="A44" s="1052"/>
      <c r="B44" s="1791"/>
      <c r="C44" s="1791"/>
      <c r="D44" s="1791"/>
      <c r="E44" s="1791"/>
      <c r="F44" s="1791"/>
      <c r="G44" s="1791"/>
      <c r="H44" s="1791"/>
    </row>
    <row r="45" spans="1:8" ht="15" customHeight="1" x14ac:dyDescent="0.2">
      <c r="A45" s="1052"/>
      <c r="B45" s="1791"/>
      <c r="C45" s="1791"/>
      <c r="D45" s="1791"/>
      <c r="E45" s="1791"/>
      <c r="F45" s="1791"/>
      <c r="G45" s="1791"/>
      <c r="H45" s="1791"/>
    </row>
    <row r="46" spans="1:8" ht="15" customHeight="1" x14ac:dyDescent="0.2">
      <c r="A46" s="1052"/>
      <c r="B46" s="1791"/>
      <c r="C46" s="1791"/>
      <c r="D46" s="1791"/>
      <c r="E46" s="1791"/>
      <c r="F46" s="1791"/>
      <c r="G46" s="1791"/>
      <c r="H46" s="1791"/>
    </row>
    <row r="47" spans="1:8" ht="15" customHeight="1" x14ac:dyDescent="0.2">
      <c r="A47" s="1053"/>
      <c r="B47" s="1793"/>
      <c r="C47" s="1793"/>
      <c r="D47" s="1793"/>
      <c r="E47" s="1793"/>
      <c r="F47" s="1793"/>
      <c r="G47" s="1793"/>
      <c r="H47" s="179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QkVNCC8hhQLa7fafJ9BCXVV6ApQBOXhrHBmb/xQQO5GhbK0iTJ/B8M3q06VH4HplbzZO/CWpMKv1zskFjeEtbQ==" saltValue="LPypjtOe+xm0ZXnbqrrUg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7321E-CA61-464A-A841-DE808FE268D4}">
  <sheetPr codeName="Sheet45">
    <tabColor rgb="FFFF6600"/>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02" t="str">
        <f>IF(L1="","",VLOOKUP(L1,'Job Info.'!X:AA,4,FALSE))</f>
        <v>Master</v>
      </c>
      <c r="E1" s="1802"/>
      <c r="F1" s="1802"/>
      <c r="G1" s="1803" t="s">
        <v>95</v>
      </c>
      <c r="H1" s="1804"/>
      <c r="I1" s="1805" t="str">
        <f ca="1">'Job Info.'!D12</f>
        <v>775-428-0600</v>
      </c>
      <c r="J1" s="180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07" t="str">
        <f>IF(L1="","",IF(VLOOKUP(L1,'Job Info.'!X:Z,2,FALSE),"Released for Fabrication",""))</f>
        <v/>
      </c>
      <c r="E2" s="1808"/>
      <c r="F2" s="1809"/>
      <c r="G2" s="1803" t="s">
        <v>96</v>
      </c>
      <c r="H2" s="1803"/>
      <c r="I2" s="1805" t="str">
        <f ca="1">'Job Info.'!D13</f>
        <v>775-867-2140</v>
      </c>
      <c r="J2" s="1806"/>
      <c r="S2" s="633"/>
      <c r="T2" s="633" t="s">
        <v>1267</v>
      </c>
    </row>
    <row r="3" spans="1:22" ht="12.95" customHeight="1" x14ac:dyDescent="0.2">
      <c r="A3" s="374"/>
      <c r="B3" s="374"/>
      <c r="C3" s="374"/>
      <c r="D3" s="1810"/>
      <c r="E3" s="1811"/>
      <c r="F3" s="1812"/>
      <c r="G3" s="1803" t="s">
        <v>98</v>
      </c>
      <c r="H3" s="1803"/>
      <c r="I3" s="1805" t="str">
        <f ca="1">'Job Info.'!D14</f>
        <v>775-867-2169</v>
      </c>
      <c r="J3" s="1806"/>
      <c r="S3" s="633"/>
      <c r="T3" s="633" t="s">
        <v>1268</v>
      </c>
    </row>
    <row r="4" spans="1:22" ht="12.95" customHeight="1" thickBot="1" x14ac:dyDescent="0.25">
      <c r="A4" s="374"/>
      <c r="B4" s="374"/>
      <c r="C4" s="374"/>
      <c r="D4" s="1813" t="str">
        <f>IF(L1="","",IF(VLOOKUP(L1,'Job Info.'!X:Z,2,FALSE),VLOOKUP(L1,'Job Info.'!X:Z,3,FALSE),""))</f>
        <v/>
      </c>
      <c r="E4" s="1814"/>
      <c r="F4" s="1815"/>
      <c r="G4" s="1803" t="s">
        <v>97</v>
      </c>
      <c r="H4" s="1803"/>
      <c r="I4" s="1805" t="str">
        <f ca="1">'Job Info.'!D15</f>
        <v>775-867-2060</v>
      </c>
      <c r="J4" s="1806"/>
      <c r="S4" s="633"/>
      <c r="T4" s="633" t="s">
        <v>1269</v>
      </c>
    </row>
    <row r="5" spans="1:22" ht="12.95" customHeight="1" thickTop="1" x14ac:dyDescent="0.2">
      <c r="A5" s="1816" t="str">
        <f ca="1">'Job Info.'!D11</f>
        <v>8200 Woolery Way | Fallon, NV 89406 | www.newmill.com</v>
      </c>
      <c r="B5" s="1816"/>
      <c r="C5" s="1816"/>
      <c r="D5" s="1816"/>
      <c r="E5" s="1816"/>
      <c r="F5" s="1816"/>
      <c r="G5" s="233"/>
      <c r="H5" s="374"/>
      <c r="I5" s="374"/>
      <c r="J5" s="374"/>
      <c r="S5" s="633"/>
      <c r="T5" s="633" t="s">
        <v>1270</v>
      </c>
    </row>
    <row r="6" spans="1:22" ht="12.95" customHeight="1" x14ac:dyDescent="0.2">
      <c r="A6" s="374"/>
      <c r="B6" s="374"/>
      <c r="C6" s="374"/>
      <c r="D6" s="374"/>
      <c r="E6" s="374"/>
      <c r="F6" s="374"/>
      <c r="G6" s="462" t="s">
        <v>20</v>
      </c>
      <c r="H6" s="1817">
        <f>IF(ISBLANK('Job Info.'!D8),"",'Job Info.'!D8)</f>
        <v>44909</v>
      </c>
      <c r="I6" s="1817"/>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1 of 28</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6" t="str">
        <f>IF(ISBLANK('Job Info.'!D3),"",'Job Info.'!D3)</f>
        <v>SUNCAP CHEYENNE&amp;COMMERCE BLDG A&amp;B PP</v>
      </c>
      <c r="C9" s="1796"/>
      <c r="D9" s="1797"/>
      <c r="E9" s="481"/>
      <c r="F9" s="482" t="s">
        <v>2</v>
      </c>
      <c r="G9" s="1796" t="str">
        <f>IF(ISBLANK('Job Info.'!D5),"",'Job Info.'!D5)</f>
        <v>9122-0050</v>
      </c>
      <c r="H9" s="1796"/>
      <c r="I9" s="1796"/>
      <c r="J9" s="1797"/>
      <c r="L9" s="381"/>
      <c r="T9" s="633"/>
    </row>
    <row r="10" spans="1:22" ht="12.6" customHeight="1" x14ac:dyDescent="0.2">
      <c r="A10" s="480" t="s">
        <v>3</v>
      </c>
      <c r="B10" s="1796" t="str">
        <f>IF(ISBLANK('Job Info.'!D4),"",'Job Info.'!D4)</f>
        <v>LAS VEGAS, NV</v>
      </c>
      <c r="C10" s="1796"/>
      <c r="D10" s="1797"/>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1" t="s">
        <v>15</v>
      </c>
      <c r="C12" s="1822"/>
      <c r="D12" s="1822"/>
      <c r="E12" s="1822"/>
      <c r="F12" s="1822"/>
      <c r="G12" s="1822"/>
      <c r="H12" s="1822"/>
      <c r="I12" s="1822"/>
      <c r="J12" s="1823"/>
      <c r="P12" s="790" t="s">
        <v>963</v>
      </c>
      <c r="Q12" s="791" t="s">
        <v>964</v>
      </c>
      <c r="R12" s="786" t="s">
        <v>968</v>
      </c>
    </row>
    <row r="13" spans="1:22" ht="15.4" customHeight="1" thickTop="1" x14ac:dyDescent="0.2">
      <c r="A13" s="1489">
        <v>1</v>
      </c>
      <c r="B13" s="1824" t="s">
        <v>1818</v>
      </c>
      <c r="C13" s="1825"/>
      <c r="D13" s="1825"/>
      <c r="E13" s="1825"/>
      <c r="F13" s="1825"/>
      <c r="G13" s="1825"/>
      <c r="H13" s="1825"/>
      <c r="I13" s="1825"/>
      <c r="J13" s="1826"/>
      <c r="L13" s="946" t="str">
        <f>IF(ISBLANK(A13),"",SUBSTITUTE(A13,"*",""))</f>
        <v>1</v>
      </c>
      <c r="M13" s="1538"/>
      <c r="N13" s="1540"/>
      <c r="O13" s="1529"/>
      <c r="P13" s="792"/>
      <c r="Q13" s="793" t="s">
        <v>1022</v>
      </c>
      <c r="R13" s="787" t="str">
        <f>CONCATENATE("[",P13, "] - ", Q13)</f>
        <v>[] - SHAPES</v>
      </c>
    </row>
    <row r="14" spans="1:22" ht="15.4" customHeight="1" x14ac:dyDescent="0.2">
      <c r="A14" s="1493">
        <v>2</v>
      </c>
      <c r="B14" s="1818" t="s">
        <v>1819</v>
      </c>
      <c r="C14" s="1819"/>
      <c r="D14" s="1819"/>
      <c r="E14" s="1819"/>
      <c r="F14" s="1819"/>
      <c r="G14" s="1819"/>
      <c r="H14" s="1819"/>
      <c r="I14" s="1819"/>
      <c r="J14" s="1820"/>
      <c r="L14" s="946" t="str">
        <f>IF(ISBLANK(A14),L13,SUBSTITUTE(A14,"*",""))</f>
        <v>2</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1493">
        <v>3</v>
      </c>
      <c r="B15" s="1818" t="s">
        <v>1863</v>
      </c>
      <c r="C15" s="1819"/>
      <c r="D15" s="1819"/>
      <c r="E15" s="1819"/>
      <c r="F15" s="1819"/>
      <c r="G15" s="1819"/>
      <c r="H15" s="1819"/>
      <c r="I15" s="1819"/>
      <c r="J15" s="1820"/>
      <c r="L15" s="946" t="str">
        <f t="shared" ref="L15:L51" si="1">IF(ISBLANK(A15),L14,SUBSTITUTE(A15,"*",""))</f>
        <v>3</v>
      </c>
      <c r="M15" s="1538"/>
      <c r="N15" s="1540"/>
      <c r="O15" s="1529"/>
      <c r="P15" s="794" t="s">
        <v>966</v>
      </c>
      <c r="Q15" s="795" t="s">
        <v>1024</v>
      </c>
      <c r="R15" s="788" t="str">
        <f t="shared" si="0"/>
        <v>[DP] - Double Pitch: Ridge @ ##’-## From LBL (Depth=Designation), ##" Depth @ LBL, ##" Depth @ RBL</v>
      </c>
    </row>
    <row r="16" spans="1:22" ht="15.4" customHeight="1" x14ac:dyDescent="0.2">
      <c r="A16" s="1493">
        <v>4</v>
      </c>
      <c r="B16" s="1818" t="s">
        <v>1820</v>
      </c>
      <c r="C16" s="1819"/>
      <c r="D16" s="1819"/>
      <c r="E16" s="1819"/>
      <c r="F16" s="1819"/>
      <c r="G16" s="1819"/>
      <c r="H16" s="1819"/>
      <c r="I16" s="1819"/>
      <c r="J16" s="1820"/>
      <c r="L16" s="946" t="str">
        <f t="shared" si="1"/>
        <v>4</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1493">
        <v>5</v>
      </c>
      <c r="B17" s="1818" t="s">
        <v>1821</v>
      </c>
      <c r="C17" s="1819"/>
      <c r="D17" s="1819"/>
      <c r="E17" s="1819"/>
      <c r="F17" s="1819"/>
      <c r="G17" s="1819"/>
      <c r="H17" s="1819"/>
      <c r="I17" s="1819"/>
      <c r="J17" s="1820"/>
      <c r="L17" s="946" t="str">
        <f t="shared" si="1"/>
        <v>5</v>
      </c>
      <c r="M17" s="1538"/>
      <c r="N17" s="1540"/>
      <c r="O17" s="1529"/>
      <c r="P17" s="794" t="s">
        <v>991</v>
      </c>
      <c r="Q17" s="795" t="s">
        <v>1026</v>
      </c>
      <c r="R17" s="788" t="str">
        <f t="shared" si="0"/>
        <v>[AC] - Arched Chords: (Depth=Designation) ##" TC Radius</v>
      </c>
    </row>
    <row r="18" spans="1:18" ht="15.4" customHeight="1" x14ac:dyDescent="0.2">
      <c r="A18" s="1493">
        <v>6</v>
      </c>
      <c r="B18" s="1818" t="s">
        <v>1822</v>
      </c>
      <c r="C18" s="1819"/>
      <c r="D18" s="1819"/>
      <c r="E18" s="1819"/>
      <c r="F18" s="1819"/>
      <c r="G18" s="1819"/>
      <c r="H18" s="1819"/>
      <c r="I18" s="1819"/>
      <c r="J18" s="1820"/>
      <c r="L18" s="946" t="str">
        <f t="shared" si="1"/>
        <v>6</v>
      </c>
      <c r="M18" s="1538"/>
      <c r="N18" s="1540"/>
      <c r="O18" s="1529"/>
      <c r="P18" s="794" t="s">
        <v>992</v>
      </c>
      <c r="Q18" s="795" t="s">
        <v>1027</v>
      </c>
      <c r="R18" s="788" t="str">
        <f t="shared" si="0"/>
        <v>[BW] - Bowstring: Ridge @ ##’-## From LBL (Depth=Designation), ##" Depth @ LBL, ##" TC Radius</v>
      </c>
    </row>
    <row r="19" spans="1:18" ht="15.4" customHeight="1" x14ac:dyDescent="0.2">
      <c r="A19" s="1493">
        <v>7</v>
      </c>
      <c r="B19" s="1818" t="s">
        <v>1823</v>
      </c>
      <c r="C19" s="1819"/>
      <c r="D19" s="1819"/>
      <c r="E19" s="1819"/>
      <c r="F19" s="1819"/>
      <c r="G19" s="1819"/>
      <c r="H19" s="1819"/>
      <c r="I19" s="1819"/>
      <c r="J19" s="1820"/>
      <c r="L19" s="946" t="str">
        <f t="shared" si="1"/>
        <v>7</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3">
        <v>8</v>
      </c>
      <c r="B20" s="1818" t="s">
        <v>1824</v>
      </c>
      <c r="C20" s="1819"/>
      <c r="D20" s="1819"/>
      <c r="E20" s="1819"/>
      <c r="F20" s="1819"/>
      <c r="G20" s="1819"/>
      <c r="H20" s="1819"/>
      <c r="I20" s="1819"/>
      <c r="J20" s="1820"/>
      <c r="L20" s="946" t="str">
        <f t="shared" si="1"/>
        <v>8</v>
      </c>
      <c r="M20" s="1538"/>
      <c r="N20" s="1540"/>
      <c r="O20" s="1529"/>
      <c r="P20" s="794"/>
      <c r="Q20" s="795" t="s">
        <v>1028</v>
      </c>
      <c r="R20" s="788" t="str">
        <f t="shared" si="0"/>
        <v>[] - DEFLECTION</v>
      </c>
    </row>
    <row r="21" spans="1:18" ht="15.4" customHeight="1" x14ac:dyDescent="0.2">
      <c r="A21" s="1493">
        <v>9</v>
      </c>
      <c r="B21" s="1827" t="s">
        <v>1825</v>
      </c>
      <c r="C21" s="1828"/>
      <c r="D21" s="1828"/>
      <c r="E21" s="1828"/>
      <c r="F21" s="1828"/>
      <c r="G21" s="1828"/>
      <c r="H21" s="1828"/>
      <c r="I21" s="1828"/>
      <c r="J21" s="1829"/>
      <c r="L21" s="946" t="str">
        <f t="shared" si="1"/>
        <v>9</v>
      </c>
      <c r="M21" s="1538"/>
      <c r="N21" s="1540"/>
      <c r="O21" s="1540"/>
      <c r="P21" s="794" t="s">
        <v>986</v>
      </c>
      <c r="Q21" s="795" t="s">
        <v>1029</v>
      </c>
      <c r="R21" s="788" t="str">
        <f t="shared" si="0"/>
        <v>[DefLL] - LL Deflection = L/###|Deflection=L/### Due To ### PLF LL|LL Deflection=L/### (LL/TL Ratio = ##%)</v>
      </c>
    </row>
    <row r="22" spans="1:18" ht="15.4" customHeight="1" x14ac:dyDescent="0.2">
      <c r="A22" s="1493">
        <v>10</v>
      </c>
      <c r="B22" s="1818" t="s">
        <v>1826</v>
      </c>
      <c r="C22" s="1819"/>
      <c r="D22" s="1819"/>
      <c r="E22" s="1819"/>
      <c r="F22" s="1819"/>
      <c r="G22" s="1819"/>
      <c r="H22" s="1819"/>
      <c r="I22" s="1819"/>
      <c r="J22" s="1820"/>
      <c r="L22" s="946" t="str">
        <f t="shared" si="1"/>
        <v>10</v>
      </c>
      <c r="M22" s="1538"/>
      <c r="N22" s="1540"/>
      <c r="O22" s="1529"/>
      <c r="P22" s="794" t="s">
        <v>987</v>
      </c>
      <c r="Q22" s="795" t="s">
        <v>1030</v>
      </c>
      <c r="R22" s="788" t="str">
        <f t="shared" si="0"/>
        <v>[DefTL] - TL Deflection = L/###, Ck Std Camber Satisfies DL Def</v>
      </c>
    </row>
    <row r="23" spans="1:18" ht="15.4" customHeight="1" x14ac:dyDescent="0.2">
      <c r="A23" s="1493">
        <v>11</v>
      </c>
      <c r="B23" s="1824" t="s">
        <v>1827</v>
      </c>
      <c r="C23" s="1825"/>
      <c r="D23" s="1825"/>
      <c r="E23" s="1825"/>
      <c r="F23" s="1825"/>
      <c r="G23" s="1825"/>
      <c r="H23" s="1825"/>
      <c r="I23" s="1825"/>
      <c r="J23" s="1826"/>
      <c r="L23" s="946" t="str">
        <f t="shared" si="1"/>
        <v>11</v>
      </c>
      <c r="M23" s="1538"/>
      <c r="N23" s="1540"/>
      <c r="O23" s="1529"/>
      <c r="P23" s="794" t="s">
        <v>988</v>
      </c>
      <c r="Q23" s="795" t="s">
        <v>1032</v>
      </c>
      <c r="R23" s="788" t="str">
        <f t="shared" si="0"/>
        <v>[DefTCX] - TCXL|TCXR Deflection = ##" Max Due To ### PLF LL|DL|TL</v>
      </c>
    </row>
    <row r="24" spans="1:18" ht="15.4" customHeight="1" x14ac:dyDescent="0.2">
      <c r="A24" s="1493">
        <v>12</v>
      </c>
      <c r="B24" s="1818" t="s">
        <v>1852</v>
      </c>
      <c r="C24" s="1819"/>
      <c r="D24" s="1819"/>
      <c r="E24" s="1819"/>
      <c r="F24" s="1819"/>
      <c r="G24" s="1819"/>
      <c r="H24" s="1819"/>
      <c r="I24" s="1819"/>
      <c r="J24" s="1820"/>
      <c r="L24" s="946" t="str">
        <f t="shared" si="1"/>
        <v>12</v>
      </c>
      <c r="M24" s="1538"/>
      <c r="N24" s="1540"/>
      <c r="O24" s="1529"/>
      <c r="P24" s="794" t="s">
        <v>989</v>
      </c>
      <c r="Q24" s="795" t="s">
        <v>1031</v>
      </c>
      <c r="R24" s="788" t="str">
        <f t="shared" si="0"/>
        <v>[DefSP] - Special Deflection = ##" Max Due To ### PLF LL|DL|TL</v>
      </c>
    </row>
    <row r="25" spans="1:18" ht="15.4" customHeight="1" x14ac:dyDescent="0.2">
      <c r="A25" s="1493">
        <v>13</v>
      </c>
      <c r="B25" s="1818" t="s">
        <v>1828</v>
      </c>
      <c r="C25" s="1819"/>
      <c r="D25" s="1819"/>
      <c r="E25" s="1819"/>
      <c r="F25" s="1819"/>
      <c r="G25" s="1819"/>
      <c r="H25" s="1819"/>
      <c r="I25" s="1819"/>
      <c r="J25" s="1820"/>
      <c r="L25" s="946" t="str">
        <f t="shared" si="1"/>
        <v>13</v>
      </c>
      <c r="M25" s="1538"/>
      <c r="N25" s="1540"/>
      <c r="O25" s="1529"/>
      <c r="P25" s="794"/>
      <c r="Q25" s="795" t="s">
        <v>1033</v>
      </c>
      <c r="R25" s="788" t="str">
        <f t="shared" si="0"/>
        <v>[] - BEARING SEATS</v>
      </c>
    </row>
    <row r="26" spans="1:18" ht="15.4" customHeight="1" x14ac:dyDescent="0.2">
      <c r="A26" s="1493">
        <v>14</v>
      </c>
      <c r="B26" s="1818" t="s">
        <v>1829</v>
      </c>
      <c r="C26" s="1819"/>
      <c r="D26" s="1819"/>
      <c r="E26" s="1819"/>
      <c r="F26" s="1819"/>
      <c r="G26" s="1819"/>
      <c r="H26" s="1819"/>
      <c r="I26" s="1819"/>
      <c r="J26" s="1820"/>
      <c r="L26" s="946" t="str">
        <f t="shared" si="1"/>
        <v>14</v>
      </c>
      <c r="M26" s="1538"/>
      <c r="N26" s="1529"/>
      <c r="O26" s="1529"/>
      <c r="P26" s="794" t="s">
        <v>1238</v>
      </c>
      <c r="Q26" s="795" t="s">
        <v>1242</v>
      </c>
      <c r="R26" s="788" t="str">
        <f t="shared" si="0"/>
        <v>[AddSeat] - Addn’l Bearing Seat @ LE|RE|BE, Setback = #’-##”, Depth = ##”</v>
      </c>
    </row>
    <row r="27" spans="1:18" ht="15.4" customHeight="1" x14ac:dyDescent="0.2">
      <c r="A27" s="1493"/>
      <c r="B27" s="1818"/>
      <c r="C27" s="1819"/>
      <c r="D27" s="1819"/>
      <c r="E27" s="1819"/>
      <c r="F27" s="1819"/>
      <c r="G27" s="1819"/>
      <c r="H27" s="1819"/>
      <c r="I27" s="1819"/>
      <c r="J27" s="1820"/>
      <c r="L27" s="946" t="str">
        <f t="shared" si="1"/>
        <v>14</v>
      </c>
      <c r="M27" s="1538"/>
      <c r="N27" s="1529"/>
      <c r="O27" s="1529"/>
      <c r="P27" s="794" t="s">
        <v>1000</v>
      </c>
      <c r="Q27" s="795" t="s">
        <v>1046</v>
      </c>
      <c r="R27" s="788" t="str">
        <f t="shared" si="0"/>
        <v>[AddSlt] - Addn'l Seat Slots @ #" from L-OAL|R-OAL</v>
      </c>
    </row>
    <row r="28" spans="1:18" ht="15.4" customHeight="1" x14ac:dyDescent="0.2">
      <c r="A28" s="1493"/>
      <c r="B28" s="1818"/>
      <c r="C28" s="1819"/>
      <c r="D28" s="1819"/>
      <c r="E28" s="1819"/>
      <c r="F28" s="1819"/>
      <c r="G28" s="1819"/>
      <c r="H28" s="1819"/>
      <c r="I28" s="1819"/>
      <c r="J28" s="1820"/>
      <c r="L28" s="946" t="str">
        <f t="shared" si="1"/>
        <v>14</v>
      </c>
      <c r="M28" s="1538"/>
      <c r="N28" s="1529"/>
      <c r="O28" s="1529"/>
      <c r="P28" s="794" t="s">
        <v>981</v>
      </c>
      <c r="Q28" s="795" t="s">
        <v>1043</v>
      </c>
      <c r="R28" s="788" t="str">
        <f t="shared" si="0"/>
        <v>[BCBrg] - Bottom Chord Bearing @ LE|RE|BE</v>
      </c>
    </row>
    <row r="29" spans="1:18" ht="15.4" customHeight="1" x14ac:dyDescent="0.2">
      <c r="A29" s="1493"/>
      <c r="B29" s="1818"/>
      <c r="C29" s="1819"/>
      <c r="D29" s="1819"/>
      <c r="E29" s="1819"/>
      <c r="F29" s="1819"/>
      <c r="G29" s="1819"/>
      <c r="H29" s="1819"/>
      <c r="I29" s="1819"/>
      <c r="J29" s="1820"/>
      <c r="L29" s="946" t="str">
        <f t="shared" si="1"/>
        <v>14</v>
      </c>
      <c r="M29" s="1538"/>
      <c r="N29" s="1529"/>
      <c r="O29" s="1529"/>
      <c r="P29" s="794" t="s">
        <v>1239</v>
      </c>
      <c r="Q29" s="795" t="s">
        <v>1243</v>
      </c>
      <c r="R29" s="788" t="str">
        <f t="shared" si="0"/>
        <v>[BCBrgCant] - Bottom Chord Bearing Cantilever @ LE|RE|BE, Ctr Line of Support = #’-##” @ LE|RE|BE</v>
      </c>
    </row>
    <row r="30" spans="1:18" ht="15.4" customHeight="1" x14ac:dyDescent="0.2">
      <c r="A30" s="1493"/>
      <c r="B30" s="1818"/>
      <c r="C30" s="1819"/>
      <c r="D30" s="1819"/>
      <c r="E30" s="1819"/>
      <c r="F30" s="1819"/>
      <c r="G30" s="1819"/>
      <c r="H30" s="1819"/>
      <c r="I30" s="1819"/>
      <c r="J30" s="1820"/>
      <c r="L30" s="946" t="str">
        <f t="shared" si="1"/>
        <v>14</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1493"/>
      <c r="B31" s="1818"/>
      <c r="C31" s="1819"/>
      <c r="D31" s="1819"/>
      <c r="E31" s="1819"/>
      <c r="F31" s="1819"/>
      <c r="G31" s="1819"/>
      <c r="H31" s="1819"/>
      <c r="I31" s="1819"/>
      <c r="J31" s="1820"/>
      <c r="L31" s="946" t="str">
        <f t="shared" si="1"/>
        <v>14</v>
      </c>
      <c r="M31" s="1538"/>
      <c r="N31" s="1529"/>
      <c r="O31" s="1529"/>
      <c r="P31" s="794" t="s">
        <v>979</v>
      </c>
      <c r="Q31" s="795" t="s">
        <v>1047</v>
      </c>
      <c r="R31" s="788" t="str">
        <f t="shared" si="0"/>
        <v>[BPThk] - Min Thickness of Base Plate = 0.xxx" @ LE|RE|BE</v>
      </c>
    </row>
    <row r="32" spans="1:18" ht="15.4" customHeight="1" x14ac:dyDescent="0.2">
      <c r="A32" s="1493"/>
      <c r="B32" s="1818"/>
      <c r="C32" s="1819"/>
      <c r="D32" s="1819"/>
      <c r="E32" s="1819"/>
      <c r="F32" s="1819"/>
      <c r="G32" s="1819"/>
      <c r="H32" s="1819"/>
      <c r="I32" s="1819"/>
      <c r="J32" s="1820"/>
      <c r="L32" s="946" t="str">
        <f t="shared" si="1"/>
        <v>14</v>
      </c>
      <c r="M32" s="1538"/>
      <c r="N32" s="1529"/>
      <c r="O32" s="1529"/>
      <c r="P32" s="794" t="s">
        <v>1001</v>
      </c>
      <c r="Q32" s="795" t="s">
        <v>1002</v>
      </c>
      <c r="R32" s="788" t="str">
        <f t="shared" si="0"/>
        <v>[ClrBrg] - Min Clear Bearing = #" @ LE(RE)(BE)</v>
      </c>
    </row>
    <row r="33" spans="1:18" ht="15.4" customHeight="1" x14ac:dyDescent="0.2">
      <c r="A33" s="1493"/>
      <c r="B33" s="1818"/>
      <c r="C33" s="1819"/>
      <c r="D33" s="1819"/>
      <c r="E33" s="1819"/>
      <c r="F33" s="1819"/>
      <c r="G33" s="1819"/>
      <c r="H33" s="1819"/>
      <c r="I33" s="1819"/>
      <c r="J33" s="1820"/>
      <c r="L33" s="946" t="str">
        <f t="shared" si="1"/>
        <v>14</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1493"/>
      <c r="B34" s="1818"/>
      <c r="C34" s="1819"/>
      <c r="D34" s="1819"/>
      <c r="E34" s="1819"/>
      <c r="F34" s="1819"/>
      <c r="G34" s="1819"/>
      <c r="H34" s="1819"/>
      <c r="I34" s="1819"/>
      <c r="J34" s="1820"/>
      <c r="L34" s="946" t="str">
        <f t="shared" si="1"/>
        <v>14</v>
      </c>
      <c r="M34" s="1538"/>
      <c r="N34" s="1529"/>
      <c r="O34" s="1529"/>
      <c r="P34" s="794" t="s">
        <v>1038</v>
      </c>
      <c r="Q34" s="795" t="s">
        <v>1040</v>
      </c>
      <c r="R34" s="788" t="str">
        <f t="shared" si="0"/>
        <v>[KickLd] - Axial Load Due To Kicker, No Rein Req’d</v>
      </c>
    </row>
    <row r="35" spans="1:18" ht="15.4" customHeight="1" x14ac:dyDescent="0.2">
      <c r="A35" s="1493"/>
      <c r="B35" s="1818"/>
      <c r="C35" s="1819"/>
      <c r="D35" s="1819"/>
      <c r="E35" s="1819"/>
      <c r="F35" s="1819"/>
      <c r="G35" s="1819"/>
      <c r="H35" s="1819"/>
      <c r="I35" s="1819"/>
      <c r="J35" s="1820"/>
      <c r="L35" s="946" t="str">
        <f t="shared" si="1"/>
        <v>14</v>
      </c>
      <c r="M35" s="1538"/>
      <c r="N35" s="1529"/>
      <c r="O35" s="1529"/>
      <c r="P35" s="794" t="s">
        <v>1037</v>
      </c>
      <c r="Q35" s="795" t="s">
        <v>1039</v>
      </c>
      <c r="R35" s="788" t="str">
        <f t="shared" si="0"/>
        <v>[KnifePL] - Knife Pl Provided for Load Transfer, TC/Seat Gap Clear for 1st ##” @ LE|RE|BE</v>
      </c>
    </row>
    <row r="36" spans="1:18" ht="15.4" customHeight="1" x14ac:dyDescent="0.2">
      <c r="A36" s="1493"/>
      <c r="B36" s="1818"/>
      <c r="C36" s="1819"/>
      <c r="D36" s="1819"/>
      <c r="E36" s="1819"/>
      <c r="F36" s="1819"/>
      <c r="G36" s="1819"/>
      <c r="H36" s="1819"/>
      <c r="I36" s="1819"/>
      <c r="J36" s="1820"/>
      <c r="L36" s="946" t="str">
        <f t="shared" si="1"/>
        <v>14</v>
      </c>
      <c r="M36" s="1538"/>
      <c r="N36" s="1529"/>
      <c r="O36" s="1529"/>
      <c r="P36" s="794" t="s">
        <v>1048</v>
      </c>
      <c r="Q36" s="795" t="s">
        <v>1049</v>
      </c>
      <c r="R36" s="788" t="str">
        <f t="shared" si="0"/>
        <v>[MaxWidth] - Max Width of TC &amp; Base Plate|BC for 1st ##” @ LE|RE|BE</v>
      </c>
    </row>
    <row r="37" spans="1:18" ht="15.4" customHeight="1" x14ac:dyDescent="0.2">
      <c r="A37" s="1493"/>
      <c r="B37" s="1818"/>
      <c r="C37" s="1819"/>
      <c r="D37" s="1819"/>
      <c r="E37" s="1819"/>
      <c r="F37" s="1819"/>
      <c r="G37" s="1819"/>
      <c r="H37" s="1819"/>
      <c r="I37" s="1819"/>
      <c r="J37" s="1820"/>
      <c r="L37" s="946" t="str">
        <f t="shared" si="1"/>
        <v>14</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1493"/>
      <c r="B38" s="1818"/>
      <c r="C38" s="1819"/>
      <c r="D38" s="1819"/>
      <c r="E38" s="1819"/>
      <c r="F38" s="1819"/>
      <c r="G38" s="1819"/>
      <c r="H38" s="1819"/>
      <c r="I38" s="1819"/>
      <c r="J38" s="1820"/>
      <c r="L38" s="946" t="str">
        <f t="shared" si="1"/>
        <v>14</v>
      </c>
      <c r="M38" s="1538"/>
      <c r="N38" s="1529"/>
      <c r="O38" s="1529"/>
      <c r="P38" s="794" t="s">
        <v>1036</v>
      </c>
      <c r="Q38" s="795" t="s">
        <v>1077</v>
      </c>
      <c r="R38" s="788" t="str">
        <f t="shared" si="0"/>
        <v>[Rein] - Reinforce Seats @ LE|RE|BE for Axial Load Transfer</v>
      </c>
    </row>
    <row r="39" spans="1:18" ht="15.4" customHeight="1" x14ac:dyDescent="0.2">
      <c r="A39" s="1493"/>
      <c r="B39" s="1818"/>
      <c r="C39" s="1819"/>
      <c r="D39" s="1819"/>
      <c r="E39" s="1819"/>
      <c r="F39" s="1819"/>
      <c r="G39" s="1819"/>
      <c r="H39" s="1819"/>
      <c r="I39" s="1819"/>
      <c r="J39" s="1820"/>
      <c r="L39" s="946" t="str">
        <f t="shared" si="1"/>
        <v>14</v>
      </c>
      <c r="M39" s="1538"/>
      <c r="N39" s="1529"/>
      <c r="O39" s="1529"/>
      <c r="P39" s="794" t="s">
        <v>1082</v>
      </c>
      <c r="Q39" s="795" t="s">
        <v>1083</v>
      </c>
      <c r="R39" s="788" t="str">
        <f t="shared" si="0"/>
        <v>[RndShrtSlt] - #/#" Round Holes|#/#”x1” Slots, Ga=#” @ LE|RE|BE</v>
      </c>
    </row>
    <row r="40" spans="1:18" ht="15.4" customHeight="1" x14ac:dyDescent="0.2">
      <c r="A40" s="1493"/>
      <c r="B40" s="1818"/>
      <c r="C40" s="1819"/>
      <c r="D40" s="1819"/>
      <c r="E40" s="1819"/>
      <c r="F40" s="1819"/>
      <c r="G40" s="1819"/>
      <c r="H40" s="1819"/>
      <c r="I40" s="1819"/>
      <c r="J40" s="1820"/>
      <c r="L40" s="946" t="str">
        <f t="shared" si="1"/>
        <v>14</v>
      </c>
      <c r="M40" s="1538"/>
      <c r="N40" s="1529"/>
      <c r="O40" s="1529"/>
      <c r="P40" s="794" t="s">
        <v>1041</v>
      </c>
      <c r="Q40" s="795" t="s">
        <v>1042</v>
      </c>
      <c r="R40" s="788" t="str">
        <f t="shared" si="0"/>
        <v>[Roll] - Seat Rollover Force = ##Kips @ LE|RE|BE</v>
      </c>
    </row>
    <row r="41" spans="1:18" ht="15.4" customHeight="1" x14ac:dyDescent="0.2">
      <c r="A41" s="1493"/>
      <c r="B41" s="1818"/>
      <c r="C41" s="1819"/>
      <c r="D41" s="1819"/>
      <c r="E41" s="1819"/>
      <c r="F41" s="1819"/>
      <c r="G41" s="1819"/>
      <c r="H41" s="1819"/>
      <c r="I41" s="1819"/>
      <c r="J41" s="1820"/>
      <c r="L41" s="946" t="str">
        <f t="shared" si="1"/>
        <v>14</v>
      </c>
      <c r="M41" s="1538"/>
      <c r="N41" s="1529"/>
      <c r="O41" s="1529"/>
      <c r="P41" s="794" t="s">
        <v>1074</v>
      </c>
      <c r="Q41" s="795" t="s">
        <v>1075</v>
      </c>
      <c r="R41" s="788" t="str">
        <f t="shared" si="0"/>
        <v>[ShrtBrg] - Short Bearing = #” @ LE|RE|BE</v>
      </c>
    </row>
    <row r="42" spans="1:18" ht="15.4" customHeight="1" x14ac:dyDescent="0.2">
      <c r="A42" s="1493"/>
      <c r="B42" s="1818"/>
      <c r="C42" s="1819"/>
      <c r="D42" s="1819"/>
      <c r="E42" s="1819"/>
      <c r="F42" s="1819"/>
      <c r="G42" s="1819"/>
      <c r="H42" s="1819"/>
      <c r="I42" s="1819"/>
      <c r="J42" s="1820"/>
      <c r="L42" s="946" t="str">
        <f t="shared" si="1"/>
        <v>14</v>
      </c>
      <c r="M42" s="1538"/>
      <c r="N42" s="1529"/>
      <c r="O42" s="1529"/>
      <c r="P42" s="794" t="s">
        <v>1078</v>
      </c>
      <c r="Q42" s="795" t="s">
        <v>990</v>
      </c>
      <c r="R42" s="788" t="str">
        <f t="shared" si="0"/>
        <v>[Skew] - ##º Half(Full)-Skew, NS(FS), LE(RE)</v>
      </c>
    </row>
    <row r="43" spans="1:18" ht="15.4" customHeight="1" x14ac:dyDescent="0.2">
      <c r="A43" s="1493"/>
      <c r="B43" s="1818"/>
      <c r="C43" s="1819"/>
      <c r="D43" s="1819"/>
      <c r="E43" s="1819"/>
      <c r="F43" s="1819"/>
      <c r="G43" s="1819"/>
      <c r="H43" s="1819"/>
      <c r="I43" s="1819"/>
      <c r="J43" s="1820"/>
      <c r="L43" s="946" t="str">
        <f t="shared" si="1"/>
        <v>14</v>
      </c>
      <c r="M43" s="1538"/>
      <c r="N43" s="1529"/>
      <c r="O43" s="1529"/>
      <c r="P43" s="794" t="s">
        <v>976</v>
      </c>
      <c r="Q43" s="795" t="s">
        <v>1045</v>
      </c>
      <c r="R43" s="788" t="str">
        <f t="shared" si="0"/>
        <v>[SpSlt] - Special Seat Slots: #"x#" Slots, Ga=#" @ LE|RE|BE</v>
      </c>
    </row>
    <row r="44" spans="1:18" ht="15.4" customHeight="1" x14ac:dyDescent="0.2">
      <c r="A44" s="1493"/>
      <c r="B44" s="1818"/>
      <c r="C44" s="1819"/>
      <c r="D44" s="1819"/>
      <c r="E44" s="1819"/>
      <c r="F44" s="1819"/>
      <c r="G44" s="1819"/>
      <c r="H44" s="1819"/>
      <c r="I44" s="1819"/>
      <c r="J44" s="1820"/>
      <c r="L44" s="946" t="str">
        <f t="shared" si="1"/>
        <v>14</v>
      </c>
      <c r="M44" s="1538"/>
      <c r="N44" s="1529"/>
      <c r="O44" s="1529"/>
      <c r="P44" s="794" t="s">
        <v>975</v>
      </c>
      <c r="Q44" s="795" t="s">
        <v>1044</v>
      </c>
      <c r="R44" s="788" t="str">
        <f t="shared" si="0"/>
        <v>[StgSlt] - Stagger Seat Slots LE|RE: ##" NS, ##" FS</v>
      </c>
    </row>
    <row r="45" spans="1:18" ht="15.4" customHeight="1" x14ac:dyDescent="0.2">
      <c r="A45" s="1493"/>
      <c r="B45" s="1818"/>
      <c r="C45" s="1819"/>
      <c r="D45" s="1819"/>
      <c r="E45" s="1819"/>
      <c r="F45" s="1819"/>
      <c r="G45" s="1819"/>
      <c r="H45" s="1819"/>
      <c r="I45" s="1819"/>
      <c r="J45" s="1820"/>
      <c r="L45" s="946" t="str">
        <f t="shared" si="1"/>
        <v>14</v>
      </c>
      <c r="M45" s="1538"/>
      <c r="N45" s="1529"/>
      <c r="O45" s="1529"/>
      <c r="P45" s="794" t="s">
        <v>980</v>
      </c>
      <c r="Q45" s="795" t="s">
        <v>1034</v>
      </c>
      <c r="R45" s="788" t="str">
        <f t="shared" si="0"/>
        <v>[TCXMax] - Max Depth of TCXL|TCXR = ##"</v>
      </c>
    </row>
    <row r="46" spans="1:18" ht="15.4" customHeight="1" x14ac:dyDescent="0.2">
      <c r="A46" s="1493"/>
      <c r="B46" s="1818"/>
      <c r="C46" s="1819"/>
      <c r="D46" s="1819"/>
      <c r="E46" s="1819"/>
      <c r="F46" s="1819"/>
      <c r="G46" s="1819"/>
      <c r="H46" s="1819"/>
      <c r="I46" s="1819"/>
      <c r="J46" s="1820"/>
      <c r="L46" s="946" t="str">
        <f t="shared" si="1"/>
        <v>14</v>
      </c>
      <c r="M46" s="1538"/>
      <c r="N46" s="1529"/>
      <c r="O46" s="1529"/>
      <c r="P46" s="794" t="s">
        <v>974</v>
      </c>
      <c r="Q46" s="795" t="s">
        <v>1076</v>
      </c>
      <c r="R46" s="788" t="str">
        <f t="shared" si="0"/>
        <v>[TCXSup] - TCXL|TCXR Supported @ End</v>
      </c>
    </row>
    <row r="47" spans="1:18" ht="15.4" customHeight="1" x14ac:dyDescent="0.2">
      <c r="A47" s="1493"/>
      <c r="B47" s="1818"/>
      <c r="C47" s="1819"/>
      <c r="D47" s="1819"/>
      <c r="E47" s="1819"/>
      <c r="F47" s="1819"/>
      <c r="G47" s="1819"/>
      <c r="H47" s="1819"/>
      <c r="I47" s="1819"/>
      <c r="J47" s="1820"/>
      <c r="L47" s="946" t="str">
        <f t="shared" si="1"/>
        <v>14</v>
      </c>
      <c r="M47" s="1538"/>
      <c r="N47" s="1529"/>
      <c r="O47" s="1529"/>
      <c r="P47" s="794"/>
      <c r="Q47" s="795" t="s">
        <v>1050</v>
      </c>
      <c r="R47" s="788" t="str">
        <f t="shared" si="0"/>
        <v>[] - MISCELLANEOUS</v>
      </c>
    </row>
    <row r="48" spans="1:18" ht="15.4" customHeight="1" x14ac:dyDescent="0.2">
      <c r="A48" s="1493"/>
      <c r="B48" s="1818"/>
      <c r="C48" s="1819"/>
      <c r="D48" s="1819"/>
      <c r="E48" s="1819"/>
      <c r="F48" s="1819"/>
      <c r="G48" s="1819"/>
      <c r="H48" s="1819"/>
      <c r="I48" s="1819"/>
      <c r="J48" s="1820"/>
      <c r="L48" s="946" t="str">
        <f t="shared" si="1"/>
        <v>14</v>
      </c>
      <c r="M48" s="1538"/>
      <c r="N48" s="1529"/>
      <c r="O48" s="1529"/>
      <c r="P48" s="794" t="s">
        <v>982</v>
      </c>
      <c r="Q48" s="795" t="s">
        <v>1053</v>
      </c>
      <c r="R48" s="788" t="str">
        <f t="shared" si="0"/>
        <v>[BClip] - Bridging Clip(s) Required per Plan</v>
      </c>
    </row>
    <row r="49" spans="1:18" ht="15.4" customHeight="1" x14ac:dyDescent="0.2">
      <c r="A49" s="1493"/>
      <c r="B49" s="1818"/>
      <c r="C49" s="1819"/>
      <c r="D49" s="1819"/>
      <c r="E49" s="1819"/>
      <c r="F49" s="1819"/>
      <c r="G49" s="1819"/>
      <c r="H49" s="1819"/>
      <c r="I49" s="1819"/>
      <c r="J49" s="1820"/>
      <c r="L49" s="946" t="str">
        <f t="shared" si="1"/>
        <v>14</v>
      </c>
      <c r="M49" s="1538"/>
      <c r="N49" s="1529"/>
      <c r="O49" s="1529"/>
      <c r="P49" s="794" t="s">
        <v>978</v>
      </c>
      <c r="Q49" s="795" t="s">
        <v>970</v>
      </c>
      <c r="R49" s="788" t="str">
        <f t="shared" si="0"/>
        <v>[BCThk] - Min Thickness of BC = 0.xxx"</v>
      </c>
    </row>
    <row r="50" spans="1:18" ht="15.4" customHeight="1" x14ac:dyDescent="0.2">
      <c r="A50" s="1493"/>
      <c r="B50" s="1818"/>
      <c r="C50" s="1819"/>
      <c r="D50" s="1819"/>
      <c r="E50" s="1819"/>
      <c r="F50" s="1819"/>
      <c r="G50" s="1819"/>
      <c r="H50" s="1819"/>
      <c r="I50" s="1819"/>
      <c r="J50" s="1820"/>
      <c r="L50" s="946" t="str">
        <f t="shared" si="1"/>
        <v>14</v>
      </c>
      <c r="M50" s="1538"/>
      <c r="N50" s="1529"/>
      <c r="O50" s="1529"/>
      <c r="P50" s="794" t="s">
        <v>1079</v>
      </c>
      <c r="Q50" s="795" t="s">
        <v>1052</v>
      </c>
      <c r="R50" s="788" t="str">
        <f t="shared" si="0"/>
        <v>[Camb] - Camber = #"|Camber for DL|50% Std Camber|No Camber</v>
      </c>
    </row>
    <row r="51" spans="1:18" ht="15.4" customHeight="1" x14ac:dyDescent="0.2">
      <c r="A51" s="1497"/>
      <c r="B51" s="1830"/>
      <c r="C51" s="1831"/>
      <c r="D51" s="1831"/>
      <c r="E51" s="1831"/>
      <c r="F51" s="1831"/>
      <c r="G51" s="1831"/>
      <c r="H51" s="1831"/>
      <c r="I51" s="1831"/>
      <c r="J51" s="1832"/>
      <c r="L51" s="946" t="str">
        <f t="shared" si="1"/>
        <v>14</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1851</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UiYClg4rqjeAcOF+aQfOcrMemABBu8RKVnCVyv0Pzv20AXmJZjBLksXGRbaMLM2DmMW3k0E3wPo7CYM7XbVwOg==" saltValue="HDbF5B1o3tTim//aFB2CrQ=="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873" priority="1" stopIfTrue="1" operator="equal">
      <formula>""</formula>
    </cfRule>
  </conditionalFormatting>
  <dataValidations count="2">
    <dataValidation type="list" allowBlank="1" showInputMessage="1" sqref="Q7" xr:uid="{3D401A56-76F6-460C-9637-1363396DCF64}">
      <formula1>OFFSET($R$13,0,0,$P$10,1)</formula1>
    </dataValidation>
    <dataValidation type="list" allowBlank="1" sqref="B13:J51" xr:uid="{0433F19E-28B9-4A2D-BBBE-A8F65FBDF9B4}">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28D32-5773-4DA7-9F32-E902E0EB3310}">
  <sheetPr codeName="Sheet32">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02" t="str">
        <f>IF(L1="","",VLOOKUP(L1,'Job Info.'!X:AA,4,FALSE))</f>
        <v>Master</v>
      </c>
      <c r="E1" s="1802"/>
      <c r="F1" s="1802"/>
      <c r="G1" s="1803" t="s">
        <v>95</v>
      </c>
      <c r="H1" s="1804"/>
      <c r="I1" s="1805" t="str">
        <f ca="1">'Job Info.'!D12</f>
        <v>775-428-0600</v>
      </c>
      <c r="J1" s="1806"/>
      <c r="K1" s="484" t="s">
        <v>722</v>
      </c>
      <c r="L1" s="378" t="str">
        <f>'Job Info.'!Q30</f>
        <v>M</v>
      </c>
      <c r="M1" s="378" t="b">
        <f>'Job Info.'!Q32</f>
        <v>0</v>
      </c>
      <c r="N1" s="378"/>
      <c r="R1" s="256" t="s">
        <v>1263</v>
      </c>
      <c r="S1" s="633" t="s">
        <v>1853</v>
      </c>
      <c r="T1" s="633" t="s">
        <v>1271</v>
      </c>
      <c r="V1" s="485" t="s">
        <v>723</v>
      </c>
    </row>
    <row r="2" spans="1:22" ht="12.95" customHeight="1" thickTop="1" x14ac:dyDescent="0.2">
      <c r="A2" s="374"/>
      <c r="B2" s="374"/>
      <c r="C2" s="374"/>
      <c r="D2" s="1807" t="str">
        <f>IF(L1="","",IF(VLOOKUP(L1,'Job Info.'!X:Z,2,FALSE),"Released for Fabrication",""))</f>
        <v/>
      </c>
      <c r="E2" s="1808"/>
      <c r="F2" s="1809"/>
      <c r="G2" s="1803" t="s">
        <v>96</v>
      </c>
      <c r="H2" s="1803"/>
      <c r="I2" s="1805" t="str">
        <f ca="1">'Job Info.'!D13</f>
        <v>775-867-2140</v>
      </c>
      <c r="J2" s="1806"/>
      <c r="S2" s="633" t="s">
        <v>1679</v>
      </c>
      <c r="T2" s="633" t="s">
        <v>1267</v>
      </c>
    </row>
    <row r="3" spans="1:22" ht="12.95" customHeight="1" x14ac:dyDescent="0.2">
      <c r="A3" s="374"/>
      <c r="B3" s="374"/>
      <c r="C3" s="374"/>
      <c r="D3" s="1810"/>
      <c r="E3" s="1811"/>
      <c r="F3" s="1812"/>
      <c r="G3" s="1803" t="s">
        <v>98</v>
      </c>
      <c r="H3" s="1803"/>
      <c r="I3" s="1805" t="str">
        <f ca="1">'Job Info.'!D14</f>
        <v>775-867-2169</v>
      </c>
      <c r="J3" s="1806"/>
      <c r="S3" s="633" t="s">
        <v>1681</v>
      </c>
      <c r="T3" s="633" t="s">
        <v>1268</v>
      </c>
    </row>
    <row r="4" spans="1:22" ht="12.95" customHeight="1" thickBot="1" x14ac:dyDescent="0.25">
      <c r="A4" s="374"/>
      <c r="B4" s="374"/>
      <c r="C4" s="374"/>
      <c r="D4" s="1813" t="str">
        <f>IF(L1="","",IF(VLOOKUP(L1,'Job Info.'!X:Z,2,FALSE),VLOOKUP(L1,'Job Info.'!X:Z,3,FALSE),""))</f>
        <v/>
      </c>
      <c r="E4" s="1814"/>
      <c r="F4" s="1815"/>
      <c r="G4" s="1803" t="s">
        <v>97</v>
      </c>
      <c r="H4" s="1803"/>
      <c r="I4" s="1805" t="str">
        <f ca="1">'Job Info.'!D15</f>
        <v>775-867-2060</v>
      </c>
      <c r="J4" s="1806"/>
      <c r="S4" s="633" t="s">
        <v>151</v>
      </c>
      <c r="T4" s="633" t="s">
        <v>1269</v>
      </c>
    </row>
    <row r="5" spans="1:22" ht="12.95" customHeight="1" thickTop="1" x14ac:dyDescent="0.2">
      <c r="A5" s="1816" t="str">
        <f ca="1">'Job Info.'!D11</f>
        <v>8200 Woolery Way | Fallon, NV 89406 | www.newmill.com</v>
      </c>
      <c r="B5" s="1816"/>
      <c r="C5" s="1816"/>
      <c r="D5" s="1816"/>
      <c r="E5" s="1816"/>
      <c r="F5" s="1816"/>
      <c r="G5" s="233"/>
      <c r="H5" s="374"/>
      <c r="I5" s="374"/>
      <c r="J5" s="374"/>
      <c r="S5" s="633" t="s">
        <v>113</v>
      </c>
      <c r="T5" s="633" t="s">
        <v>1270</v>
      </c>
    </row>
    <row r="6" spans="1:22" ht="12.95" customHeight="1" x14ac:dyDescent="0.2">
      <c r="A6" s="374"/>
      <c r="B6" s="374"/>
      <c r="C6" s="374"/>
      <c r="D6" s="374"/>
      <c r="E6" s="374"/>
      <c r="F6" s="374"/>
      <c r="G6" s="462" t="s">
        <v>20</v>
      </c>
      <c r="H6" s="1817">
        <f>IF(ISBLANK('Job Info.'!D8),"",'Job Info.'!D8)</f>
        <v>44909</v>
      </c>
      <c r="I6" s="1817"/>
      <c r="J6" s="374"/>
      <c r="L6" s="503" t="s">
        <v>1132</v>
      </c>
      <c r="M6" s="381"/>
      <c r="N6" s="381"/>
      <c r="S6" s="245" t="s">
        <v>158</v>
      </c>
      <c r="T6" s="633" t="s">
        <v>1272</v>
      </c>
    </row>
    <row r="7" spans="1:22" ht="12.95" customHeight="1" x14ac:dyDescent="0.2">
      <c r="A7" s="395" t="s">
        <v>29</v>
      </c>
      <c r="B7" s="374"/>
      <c r="C7" s="374"/>
      <c r="D7" s="374"/>
      <c r="E7" s="374"/>
      <c r="F7" s="476"/>
      <c r="G7" s="462" t="s">
        <v>21</v>
      </c>
      <c r="H7" s="1178" t="str">
        <f>CONCATENATE(L7, " of ",IF(ISBLANK('Job Info.'!D9),"",'Job Info.'!D9))</f>
        <v>2 of 28</v>
      </c>
      <c r="I7" s="658"/>
      <c r="J7" s="374"/>
      <c r="L7" s="1084">
        <v>2</v>
      </c>
      <c r="M7" s="381"/>
      <c r="N7" s="381"/>
      <c r="Q7" s="785"/>
      <c r="S7" s="245" t="s">
        <v>34</v>
      </c>
      <c r="T7" s="633" t="s">
        <v>1273</v>
      </c>
    </row>
    <row r="8" spans="1:22" ht="3.95" customHeight="1" x14ac:dyDescent="0.2">
      <c r="A8" s="374"/>
      <c r="B8" s="374"/>
      <c r="C8" s="374"/>
      <c r="D8" s="374"/>
      <c r="E8" s="374"/>
      <c r="F8" s="374"/>
      <c r="G8" s="374"/>
      <c r="H8" s="374"/>
      <c r="I8" s="374"/>
      <c r="J8" s="374"/>
      <c r="S8" s="245" t="s">
        <v>1693</v>
      </c>
      <c r="T8" s="633" t="s">
        <v>1274</v>
      </c>
    </row>
    <row r="9" spans="1:22" ht="12.6" customHeight="1" x14ac:dyDescent="0.2">
      <c r="A9" s="480" t="s">
        <v>1</v>
      </c>
      <c r="B9" s="1796" t="str">
        <f>IF(ISBLANK('Job Info.'!D3),"",'Job Info.'!D3)</f>
        <v>SUNCAP CHEYENNE&amp;COMMERCE BLDG A&amp;B PP</v>
      </c>
      <c r="C9" s="1796"/>
      <c r="D9" s="1797"/>
      <c r="E9" s="481"/>
      <c r="F9" s="482" t="s">
        <v>2</v>
      </c>
      <c r="G9" s="1796" t="str">
        <f>IF(ISBLANK('Job Info.'!D5),"",'Job Info.'!D5)</f>
        <v>9122-0050</v>
      </c>
      <c r="H9" s="1796"/>
      <c r="I9" s="1796"/>
      <c r="J9" s="1797"/>
      <c r="L9" s="381"/>
      <c r="T9" s="633" t="s">
        <v>114</v>
      </c>
    </row>
    <row r="10" spans="1:22" ht="12.6" customHeight="1" x14ac:dyDescent="0.2">
      <c r="A10" s="480" t="s">
        <v>3</v>
      </c>
      <c r="B10" s="1796" t="str">
        <f>IF(ISBLANK('Job Info.'!D4),"",'Job Info.'!D4)</f>
        <v>LAS VEGAS, NV</v>
      </c>
      <c r="C10" s="1796"/>
      <c r="D10" s="1797"/>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1" t="s">
        <v>15</v>
      </c>
      <c r="C12" s="1822"/>
      <c r="D12" s="1822"/>
      <c r="E12" s="1822"/>
      <c r="F12" s="1822"/>
      <c r="G12" s="1822"/>
      <c r="H12" s="1822"/>
      <c r="I12" s="1822"/>
      <c r="J12" s="1823"/>
      <c r="P12" s="790" t="s">
        <v>963</v>
      </c>
      <c r="Q12" s="791" t="s">
        <v>964</v>
      </c>
      <c r="R12" s="786" t="s">
        <v>968</v>
      </c>
    </row>
    <row r="13" spans="1:22" ht="15.4" customHeight="1" thickTop="1" x14ac:dyDescent="0.2">
      <c r="A13" s="1489" t="s">
        <v>32</v>
      </c>
      <c r="B13" s="1824" t="s">
        <v>1676</v>
      </c>
      <c r="C13" s="1825"/>
      <c r="D13" s="1825"/>
      <c r="E13" s="1825"/>
      <c r="F13" s="1825"/>
      <c r="G13" s="1825"/>
      <c r="H13" s="1825"/>
      <c r="I13" s="1825"/>
      <c r="J13" s="1826"/>
      <c r="L13" s="946" t="str">
        <f>IF(ISBLANK(A13),"",SUBSTITUTE(A13,"*",""))</f>
        <v>A</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1493" t="s">
        <v>35</v>
      </c>
      <c r="B14" s="1818" t="s">
        <v>1677</v>
      </c>
      <c r="C14" s="1819"/>
      <c r="D14" s="1819"/>
      <c r="E14" s="1819"/>
      <c r="F14" s="1819"/>
      <c r="G14" s="1819"/>
      <c r="H14" s="1819"/>
      <c r="I14" s="1819"/>
      <c r="J14" s="1820"/>
      <c r="L14" s="946" t="str">
        <f>IF(ISBLANK(A14),L13,SUBSTITUTE(A14,"*",""))</f>
        <v>B</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3" t="s">
        <v>148</v>
      </c>
      <c r="B15" s="1818" t="s">
        <v>1678</v>
      </c>
      <c r="C15" s="1819"/>
      <c r="D15" s="1819"/>
      <c r="E15" s="1819"/>
      <c r="F15" s="1819"/>
      <c r="G15" s="1819"/>
      <c r="H15" s="1819"/>
      <c r="I15" s="1819"/>
      <c r="J15" s="1820"/>
      <c r="L15" s="946" t="str">
        <f t="shared" ref="L15:L51" si="2">IF(ISBLANK(A15),L14,SUBSTITUTE(A15,"*",""))</f>
        <v>C</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3" t="s">
        <v>1679</v>
      </c>
      <c r="B16" s="1818" t="s">
        <v>1860</v>
      </c>
      <c r="C16" s="1819"/>
      <c r="D16" s="1819"/>
      <c r="E16" s="1819"/>
      <c r="F16" s="1819"/>
      <c r="G16" s="1819"/>
      <c r="H16" s="1819"/>
      <c r="I16" s="1819"/>
      <c r="J16" s="1820"/>
      <c r="L16" s="946" t="str">
        <f t="shared" si="2"/>
        <v>D</v>
      </c>
      <c r="M16" s="1538" t="b">
        <v>0</v>
      </c>
      <c r="N16" s="1540" t="b">
        <f t="shared" si="0"/>
        <v>1</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3"/>
      <c r="B17" s="1818" t="s">
        <v>1680</v>
      </c>
      <c r="C17" s="1819"/>
      <c r="D17" s="1819"/>
      <c r="E17" s="1819"/>
      <c r="F17" s="1819"/>
      <c r="G17" s="1819"/>
      <c r="H17" s="1819"/>
      <c r="I17" s="1819"/>
      <c r="J17" s="1820"/>
      <c r="L17" s="946" t="str">
        <f t="shared" si="2"/>
        <v>D</v>
      </c>
      <c r="M17" s="1538" t="b">
        <v>0</v>
      </c>
      <c r="N17" s="1540" t="b">
        <f t="shared" si="0"/>
        <v>1</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1493" t="s">
        <v>1681</v>
      </c>
      <c r="B18" s="1818" t="s">
        <v>1682</v>
      </c>
      <c r="C18" s="1819"/>
      <c r="D18" s="1819"/>
      <c r="E18" s="1819"/>
      <c r="F18" s="1819"/>
      <c r="G18" s="1819"/>
      <c r="H18" s="1819"/>
      <c r="I18" s="1819"/>
      <c r="J18" s="1820"/>
      <c r="L18" s="946" t="str">
        <f t="shared" si="2"/>
        <v>E</v>
      </c>
      <c r="M18" s="1538" t="b">
        <v>0</v>
      </c>
      <c r="N18" s="1540" t="b">
        <f t="shared" si="0"/>
        <v>1</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3" t="s">
        <v>1683</v>
      </c>
      <c r="B19" s="1818" t="s">
        <v>1684</v>
      </c>
      <c r="C19" s="1819"/>
      <c r="D19" s="1819"/>
      <c r="E19" s="1819"/>
      <c r="F19" s="1819"/>
      <c r="G19" s="1819"/>
      <c r="H19" s="1819"/>
      <c r="I19" s="1819"/>
      <c r="J19" s="1820"/>
      <c r="L19" s="946" t="str">
        <f t="shared" si="2"/>
        <v>H</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3" t="s">
        <v>1685</v>
      </c>
      <c r="B20" s="1818" t="s">
        <v>1686</v>
      </c>
      <c r="C20" s="1819"/>
      <c r="D20" s="1819"/>
      <c r="E20" s="1819"/>
      <c r="F20" s="1819"/>
      <c r="G20" s="1819"/>
      <c r="H20" s="1819"/>
      <c r="I20" s="1819"/>
      <c r="J20" s="1820"/>
      <c r="L20" s="946" t="str">
        <f t="shared" si="2"/>
        <v>J</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1493" t="s">
        <v>73</v>
      </c>
      <c r="B21" s="1827" t="s">
        <v>1687</v>
      </c>
      <c r="C21" s="1828"/>
      <c r="D21" s="1828"/>
      <c r="E21" s="1828"/>
      <c r="F21" s="1828"/>
      <c r="G21" s="1828"/>
      <c r="H21" s="1828"/>
      <c r="I21" s="1828"/>
      <c r="J21" s="1829"/>
      <c r="L21" s="946" t="str">
        <f t="shared" si="2"/>
        <v>K</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3" t="s">
        <v>112</v>
      </c>
      <c r="B22" s="1818" t="s">
        <v>1688</v>
      </c>
      <c r="C22" s="1819"/>
      <c r="D22" s="1819"/>
      <c r="E22" s="1819"/>
      <c r="F22" s="1819"/>
      <c r="G22" s="1819"/>
      <c r="H22" s="1819"/>
      <c r="I22" s="1819"/>
      <c r="J22" s="1820"/>
      <c r="L22" s="946" t="str">
        <f t="shared" si="2"/>
        <v>L</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3" t="s">
        <v>118</v>
      </c>
      <c r="B23" s="1824" t="s">
        <v>1689</v>
      </c>
      <c r="C23" s="1825"/>
      <c r="D23" s="1825"/>
      <c r="E23" s="1825"/>
      <c r="F23" s="1825"/>
      <c r="G23" s="1825"/>
      <c r="H23" s="1825"/>
      <c r="I23" s="1825"/>
      <c r="J23" s="1826"/>
      <c r="L23" s="946" t="str">
        <f t="shared" si="2"/>
        <v>M</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3" t="s">
        <v>34</v>
      </c>
      <c r="B24" s="1818" t="s">
        <v>1690</v>
      </c>
      <c r="C24" s="1819"/>
      <c r="D24" s="1819"/>
      <c r="E24" s="1819"/>
      <c r="F24" s="1819"/>
      <c r="G24" s="1819"/>
      <c r="H24" s="1819"/>
      <c r="I24" s="1819"/>
      <c r="J24" s="1820"/>
      <c r="L24" s="946" t="str">
        <f t="shared" si="2"/>
        <v>N</v>
      </c>
      <c r="M24" s="1538" t="b">
        <v>0</v>
      </c>
      <c r="N24" s="1540" t="b">
        <f t="shared" si="0"/>
        <v>1</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3" t="s">
        <v>1018</v>
      </c>
      <c r="B25" s="1818" t="s">
        <v>1691</v>
      </c>
      <c r="C25" s="1819"/>
      <c r="D25" s="1819"/>
      <c r="E25" s="1819"/>
      <c r="F25" s="1819"/>
      <c r="G25" s="1819"/>
      <c r="H25" s="1819"/>
      <c r="I25" s="1819"/>
      <c r="J25" s="1820"/>
      <c r="L25" s="946" t="str">
        <f t="shared" si="2"/>
        <v>P</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1493"/>
      <c r="B26" s="1818" t="s">
        <v>1692</v>
      </c>
      <c r="C26" s="1819"/>
      <c r="D26" s="1819"/>
      <c r="E26" s="1819"/>
      <c r="F26" s="1819"/>
      <c r="G26" s="1819"/>
      <c r="H26" s="1819"/>
      <c r="I26" s="1819"/>
      <c r="J26" s="1820"/>
      <c r="L26" s="946" t="str">
        <f t="shared" si="2"/>
        <v>P</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3" t="s">
        <v>1693</v>
      </c>
      <c r="B27" s="1818" t="s">
        <v>1694</v>
      </c>
      <c r="C27" s="1819"/>
      <c r="D27" s="1819"/>
      <c r="E27" s="1819"/>
      <c r="F27" s="1819"/>
      <c r="G27" s="1819"/>
      <c r="H27" s="1819"/>
      <c r="I27" s="1819"/>
      <c r="J27" s="1820"/>
      <c r="L27" s="946" t="str">
        <f t="shared" si="2"/>
        <v>Q</v>
      </c>
      <c r="M27" s="1538" t="b">
        <v>0</v>
      </c>
      <c r="N27" s="1529" t="b">
        <f t="shared" si="0"/>
        <v>1</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1493" t="s">
        <v>113</v>
      </c>
      <c r="B28" s="1818" t="s">
        <v>1695</v>
      </c>
      <c r="C28" s="1819"/>
      <c r="D28" s="1819"/>
      <c r="E28" s="1819"/>
      <c r="F28" s="1819"/>
      <c r="G28" s="1819"/>
      <c r="H28" s="1819"/>
      <c r="I28" s="1819"/>
      <c r="J28" s="1820"/>
      <c r="L28" s="946" t="str">
        <f t="shared" si="2"/>
        <v>R</v>
      </c>
      <c r="M28" s="1538" t="b">
        <v>0</v>
      </c>
      <c r="N28" s="1529" t="b">
        <f t="shared" si="0"/>
        <v>1</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1493" t="s">
        <v>158</v>
      </c>
      <c r="B29" s="1818" t="s">
        <v>1696</v>
      </c>
      <c r="C29" s="1819"/>
      <c r="D29" s="1819"/>
      <c r="E29" s="1819"/>
      <c r="F29" s="1819"/>
      <c r="G29" s="1819"/>
      <c r="H29" s="1819"/>
      <c r="I29" s="1819"/>
      <c r="J29" s="1820"/>
      <c r="L29" s="946" t="str">
        <f t="shared" si="2"/>
        <v>S</v>
      </c>
      <c r="M29" s="1538" t="b">
        <v>0</v>
      </c>
      <c r="N29" s="1529" t="b">
        <f t="shared" si="0"/>
        <v>1</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3" t="s">
        <v>1697</v>
      </c>
      <c r="B30" s="1818" t="s">
        <v>1698</v>
      </c>
      <c r="C30" s="1819"/>
      <c r="D30" s="1819"/>
      <c r="E30" s="1819"/>
      <c r="F30" s="1819"/>
      <c r="G30" s="1819"/>
      <c r="H30" s="1819"/>
      <c r="I30" s="1819"/>
      <c r="J30" s="1820"/>
      <c r="L30" s="946" t="str">
        <f t="shared" si="2"/>
        <v>T</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3" t="s">
        <v>151</v>
      </c>
      <c r="B31" s="1818" t="s">
        <v>1699</v>
      </c>
      <c r="C31" s="1819"/>
      <c r="D31" s="1819"/>
      <c r="E31" s="1819"/>
      <c r="F31" s="1819"/>
      <c r="G31" s="1819"/>
      <c r="H31" s="1819"/>
      <c r="I31" s="1819"/>
      <c r="J31" s="1820"/>
      <c r="L31" s="946" t="str">
        <f t="shared" si="2"/>
        <v>U</v>
      </c>
      <c r="M31" s="1538" t="b">
        <v>0</v>
      </c>
      <c r="N31" s="1529" t="b">
        <f t="shared" si="0"/>
        <v>1</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3" t="s">
        <v>1700</v>
      </c>
      <c r="B32" s="1818" t="s">
        <v>1701</v>
      </c>
      <c r="C32" s="1819"/>
      <c r="D32" s="1819"/>
      <c r="E32" s="1819"/>
      <c r="F32" s="1819"/>
      <c r="G32" s="1819"/>
      <c r="H32" s="1819"/>
      <c r="I32" s="1819"/>
      <c r="J32" s="1820"/>
      <c r="L32" s="946" t="str">
        <f t="shared" si="2"/>
        <v>V</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1493"/>
      <c r="B33" s="1818"/>
      <c r="C33" s="1819"/>
      <c r="D33" s="1819"/>
      <c r="E33" s="1819"/>
      <c r="F33" s="1819"/>
      <c r="G33" s="1819"/>
      <c r="H33" s="1819"/>
      <c r="I33" s="1819"/>
      <c r="J33" s="1820"/>
      <c r="L33" s="946" t="str">
        <f t="shared" si="2"/>
        <v>V</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3"/>
      <c r="B34" s="1818"/>
      <c r="C34" s="1819"/>
      <c r="D34" s="1819"/>
      <c r="E34" s="1819"/>
      <c r="F34" s="1819"/>
      <c r="G34" s="1819"/>
      <c r="H34" s="1819"/>
      <c r="I34" s="1819"/>
      <c r="J34" s="1820"/>
      <c r="L34" s="946" t="str">
        <f t="shared" si="2"/>
        <v>V</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1493"/>
      <c r="B35" s="1818"/>
      <c r="C35" s="1819"/>
      <c r="D35" s="1819"/>
      <c r="E35" s="1819"/>
      <c r="F35" s="1819"/>
      <c r="G35" s="1819"/>
      <c r="H35" s="1819"/>
      <c r="I35" s="1819"/>
      <c r="J35" s="1820"/>
      <c r="L35" s="946" t="str">
        <f t="shared" si="2"/>
        <v>V</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3"/>
      <c r="B36" s="1818"/>
      <c r="C36" s="1819"/>
      <c r="D36" s="1819"/>
      <c r="E36" s="1819"/>
      <c r="F36" s="1819"/>
      <c r="G36" s="1819"/>
      <c r="H36" s="1819"/>
      <c r="I36" s="1819"/>
      <c r="J36" s="1820"/>
      <c r="L36" s="946" t="str">
        <f t="shared" si="2"/>
        <v>V</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3"/>
      <c r="B37" s="1818"/>
      <c r="C37" s="1819"/>
      <c r="D37" s="1819"/>
      <c r="E37" s="1819"/>
      <c r="F37" s="1819"/>
      <c r="G37" s="1819"/>
      <c r="H37" s="1819"/>
      <c r="I37" s="1819"/>
      <c r="J37" s="1820"/>
      <c r="L37" s="946" t="str">
        <f t="shared" si="2"/>
        <v>V</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3"/>
      <c r="B38" s="1818"/>
      <c r="C38" s="1819"/>
      <c r="D38" s="1819"/>
      <c r="E38" s="1819"/>
      <c r="F38" s="1819"/>
      <c r="G38" s="1819"/>
      <c r="H38" s="1819"/>
      <c r="I38" s="1819"/>
      <c r="J38" s="1820"/>
      <c r="L38" s="946" t="str">
        <f t="shared" si="2"/>
        <v>V</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3"/>
      <c r="B39" s="1818"/>
      <c r="C39" s="1819"/>
      <c r="D39" s="1819"/>
      <c r="E39" s="1819"/>
      <c r="F39" s="1819"/>
      <c r="G39" s="1819"/>
      <c r="H39" s="1819"/>
      <c r="I39" s="1819"/>
      <c r="J39" s="1820"/>
      <c r="L39" s="946" t="str">
        <f t="shared" si="2"/>
        <v>V</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1493"/>
      <c r="B40" s="1818"/>
      <c r="C40" s="1819"/>
      <c r="D40" s="1819"/>
      <c r="E40" s="1819"/>
      <c r="F40" s="1819"/>
      <c r="G40" s="1819"/>
      <c r="H40" s="1819"/>
      <c r="I40" s="1819"/>
      <c r="J40" s="1820"/>
      <c r="L40" s="946" t="str">
        <f t="shared" si="2"/>
        <v>V</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1493"/>
      <c r="B41" s="1818"/>
      <c r="C41" s="1819"/>
      <c r="D41" s="1819"/>
      <c r="E41" s="1819"/>
      <c r="F41" s="1819"/>
      <c r="G41" s="1819"/>
      <c r="H41" s="1819"/>
      <c r="I41" s="1819"/>
      <c r="J41" s="1820"/>
      <c r="L41" s="946" t="str">
        <f t="shared" si="2"/>
        <v>V</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1493"/>
      <c r="B42" s="1818"/>
      <c r="C42" s="1819"/>
      <c r="D42" s="1819"/>
      <c r="E42" s="1819"/>
      <c r="F42" s="1819"/>
      <c r="G42" s="1819"/>
      <c r="H42" s="1819"/>
      <c r="I42" s="1819"/>
      <c r="J42" s="1820"/>
      <c r="L42" s="946" t="str">
        <f t="shared" si="2"/>
        <v>V</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1493"/>
      <c r="B43" s="1818"/>
      <c r="C43" s="1819"/>
      <c r="D43" s="1819"/>
      <c r="E43" s="1819"/>
      <c r="F43" s="1819"/>
      <c r="G43" s="1819"/>
      <c r="H43" s="1819"/>
      <c r="I43" s="1819"/>
      <c r="J43" s="1820"/>
      <c r="L43" s="946" t="str">
        <f t="shared" si="2"/>
        <v>V</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1493"/>
      <c r="B44" s="1818"/>
      <c r="C44" s="1819"/>
      <c r="D44" s="1819"/>
      <c r="E44" s="1819"/>
      <c r="F44" s="1819"/>
      <c r="G44" s="1819"/>
      <c r="H44" s="1819"/>
      <c r="I44" s="1819"/>
      <c r="J44" s="1820"/>
      <c r="L44" s="946" t="str">
        <f t="shared" si="2"/>
        <v>V</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1493"/>
      <c r="B45" s="1818"/>
      <c r="C45" s="1819"/>
      <c r="D45" s="1819"/>
      <c r="E45" s="1819"/>
      <c r="F45" s="1819"/>
      <c r="G45" s="1819"/>
      <c r="H45" s="1819"/>
      <c r="I45" s="1819"/>
      <c r="J45" s="1820"/>
      <c r="L45" s="946" t="str">
        <f t="shared" si="2"/>
        <v>V</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1493"/>
      <c r="B46" s="1818"/>
      <c r="C46" s="1819"/>
      <c r="D46" s="1819"/>
      <c r="E46" s="1819"/>
      <c r="F46" s="1819"/>
      <c r="G46" s="1819"/>
      <c r="H46" s="1819"/>
      <c r="I46" s="1819"/>
      <c r="J46" s="1820"/>
      <c r="L46" s="946" t="str">
        <f t="shared" si="2"/>
        <v>V</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1493"/>
      <c r="B47" s="1818"/>
      <c r="C47" s="1819"/>
      <c r="D47" s="1819"/>
      <c r="E47" s="1819"/>
      <c r="F47" s="1819"/>
      <c r="G47" s="1819"/>
      <c r="H47" s="1819"/>
      <c r="I47" s="1819"/>
      <c r="J47" s="1820"/>
      <c r="L47" s="946" t="str">
        <f t="shared" si="2"/>
        <v>V</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1493"/>
      <c r="B48" s="1818"/>
      <c r="C48" s="1819"/>
      <c r="D48" s="1819"/>
      <c r="E48" s="1819"/>
      <c r="F48" s="1819"/>
      <c r="G48" s="1819"/>
      <c r="H48" s="1819"/>
      <c r="I48" s="1819"/>
      <c r="J48" s="1820"/>
      <c r="L48" s="946" t="str">
        <f t="shared" si="2"/>
        <v>V</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1493"/>
      <c r="B49" s="1818"/>
      <c r="C49" s="1819"/>
      <c r="D49" s="1819"/>
      <c r="E49" s="1819"/>
      <c r="F49" s="1819"/>
      <c r="G49" s="1819"/>
      <c r="H49" s="1819"/>
      <c r="I49" s="1819"/>
      <c r="J49" s="1820"/>
      <c r="L49" s="946" t="str">
        <f t="shared" si="2"/>
        <v>V</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1493"/>
      <c r="B50" s="1818"/>
      <c r="C50" s="1819"/>
      <c r="D50" s="1819"/>
      <c r="E50" s="1819"/>
      <c r="F50" s="1819"/>
      <c r="G50" s="1819"/>
      <c r="H50" s="1819"/>
      <c r="I50" s="1819"/>
      <c r="J50" s="1820"/>
      <c r="L50" s="946" t="str">
        <f t="shared" si="2"/>
        <v>V</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7"/>
      <c r="B51" s="1830"/>
      <c r="C51" s="1831"/>
      <c r="D51" s="1831"/>
      <c r="E51" s="1831"/>
      <c r="F51" s="1831"/>
      <c r="G51" s="1831"/>
      <c r="H51" s="1831"/>
      <c r="I51" s="1831"/>
      <c r="J51" s="1832"/>
      <c r="L51" s="946" t="str">
        <f t="shared" si="2"/>
        <v>V</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9</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1835</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RSd/z6rzsfjiSdhAMARR62EE0JkZ06oFFL+NIjl2t57pKlGYoQsNG2/rloSb+3ECfFLiOhfpseB9rLbcIAu43Q==" saltValue="b64l0DW+cjIAxz/sTXH5lw=="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872" priority="5" stopIfTrue="1" operator="equal">
      <formula>""</formula>
    </cfRule>
  </conditionalFormatting>
  <conditionalFormatting sqref="A13:J51">
    <cfRule type="expression" dxfId="871" priority="2">
      <formula>AND(NOT($N13),NOT($O13),$M$1)</formula>
    </cfRule>
    <cfRule type="expression" dxfId="870" priority="4">
      <formula>AND($M13,$L$1="M")</formula>
    </cfRule>
  </conditionalFormatting>
  <conditionalFormatting sqref="A13:A51">
    <cfRule type="expression" dxfId="869" priority="3">
      <formula>NOT(OR($N13,$O13))</formula>
    </cfRule>
  </conditionalFormatting>
  <conditionalFormatting sqref="B13:J51">
    <cfRule type="expression" dxfId="868" priority="1">
      <formula>LEN(B13)&gt;130</formula>
    </cfRule>
  </conditionalFormatting>
  <dataValidations count="2">
    <dataValidation type="list" allowBlank="1" sqref="B13:J51" xr:uid="{A5A0C6EA-97CC-4F12-A754-A9E845EFE1D4}">
      <formula1>OFFSET($R$13,0,0,$P$10,1)</formula1>
    </dataValidation>
    <dataValidation type="list" allowBlank="1" showInputMessage="1" sqref="Q7" xr:uid="{2F436A17-EE79-4FC2-8829-B47B8C45B90B}">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A838-AE76-4141-8B23-058A421BF013}">
  <sheetPr codeName="Sheet28">
    <tabColor indexed="45"/>
  </sheetPr>
  <dimension ref="A1:CE65"/>
  <sheetViews>
    <sheetView showGridLines="0" zoomScaleNormal="100" zoomScaleSheetLayoutView="100" workbookViewId="0">
      <selection activeCell="B15" sqref="B15"/>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c r="BE4" s="1041" t="s">
        <v>1652</v>
      </c>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3 of 28</v>
      </c>
      <c r="O7" s="1008"/>
      <c r="P7" s="238">
        <v>3</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c r="BE9" s="1041" t="s">
        <v>808</v>
      </c>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t="s">
        <v>1639</v>
      </c>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504" t="s">
        <v>1392</v>
      </c>
      <c r="B14" s="1505" t="s">
        <v>155</v>
      </c>
      <c r="C14" s="1505" t="s">
        <v>165</v>
      </c>
      <c r="D14" s="1505" t="s">
        <v>145</v>
      </c>
      <c r="E14" s="1688"/>
      <c r="F14" s="1506">
        <v>250</v>
      </c>
      <c r="G14" s="1507"/>
      <c r="H14" s="1508"/>
      <c r="I14" s="1506"/>
      <c r="J14" s="1507"/>
      <c r="K14" s="1508"/>
      <c r="L14" s="1509" t="s">
        <v>116</v>
      </c>
      <c r="M14" s="1510" t="s">
        <v>116</v>
      </c>
      <c r="N14" s="1691" t="s">
        <v>1624</v>
      </c>
      <c r="O14" s="2770"/>
      <c r="P14" s="415" t="b">
        <f t="shared" ref="P14:P16" si="0">IF(ISERROR(VLOOKUP(AO14,BE:BE,1,FALSE)),FALSE,IF(AO14&lt;&gt;"",VLOOKUP(AO14,BE:BE,1,FALSE)=AO14))</f>
        <v>0</v>
      </c>
      <c r="R14" s="245" t="b">
        <f>OR(B14="CP",B14="CA", B14="AX",B14="M",B14="S")</f>
        <v>1</v>
      </c>
      <c r="AO14" s="238" t="str">
        <f>IF(ISBLANK(A14),"",SUBSTITUTE(A14,"*",""))</f>
        <v>1</v>
      </c>
      <c r="AP14" s="945" t="b">
        <v>0</v>
      </c>
      <c r="AQ14" s="1323" t="s">
        <v>155</v>
      </c>
      <c r="AR14" s="1324" t="s">
        <v>165</v>
      </c>
      <c r="AS14" s="1324" t="s">
        <v>145</v>
      </c>
      <c r="AT14" s="1324"/>
      <c r="AU14" s="1324">
        <v>250</v>
      </c>
      <c r="AV14" s="1324"/>
      <c r="AW14" s="1324"/>
      <c r="AX14" s="1324"/>
      <c r="AY14" s="1324"/>
      <c r="AZ14" s="1324"/>
      <c r="BA14" s="1533" t="s">
        <v>116</v>
      </c>
      <c r="BB14" s="1533" t="s">
        <v>116</v>
      </c>
      <c r="BC14" s="1534" t="s">
        <v>1624</v>
      </c>
      <c r="BD14" s="245">
        <v>7</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155</v>
      </c>
      <c r="C15" s="1512" t="s">
        <v>165</v>
      </c>
      <c r="D15" s="1512" t="s">
        <v>159</v>
      </c>
      <c r="E15" s="1513"/>
      <c r="F15" s="1514">
        <v>250</v>
      </c>
      <c r="G15" s="1515"/>
      <c r="H15" s="1516"/>
      <c r="I15" s="1514"/>
      <c r="J15" s="1515"/>
      <c r="K15" s="1516"/>
      <c r="L15" s="1517" t="s">
        <v>116</v>
      </c>
      <c r="M15" s="1518" t="s">
        <v>116</v>
      </c>
      <c r="N15" s="1689" t="s">
        <v>116</v>
      </c>
      <c r="O15" s="2770"/>
      <c r="P15" s="415" t="b">
        <f t="shared" si="0"/>
        <v>0</v>
      </c>
      <c r="R15" s="245" t="b">
        <f t="shared" ref="R15:R55" si="1">OR(B15="CP",B15="CA", B15="AX",B15="M",B15="S")</f>
        <v>1</v>
      </c>
      <c r="AO15" s="238" t="str">
        <f t="shared" ref="AO15:AO55" si="2">IF(ISBLANK(A15),AO14,SUBSTITUTE(A15,"*",""))</f>
        <v>1</v>
      </c>
      <c r="AP15" s="945" t="b">
        <v>0</v>
      </c>
      <c r="AQ15" s="1323" t="s">
        <v>155</v>
      </c>
      <c r="AR15" s="1324" t="s">
        <v>165</v>
      </c>
      <c r="AS15" s="1324" t="s">
        <v>159</v>
      </c>
      <c r="AT15" s="1324"/>
      <c r="AU15" s="1324">
        <v>250</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154</v>
      </c>
      <c r="C16" s="1512" t="s">
        <v>165</v>
      </c>
      <c r="D16" s="1512" t="s">
        <v>145</v>
      </c>
      <c r="E16" s="1513"/>
      <c r="F16" s="1514">
        <v>500</v>
      </c>
      <c r="G16" s="1515"/>
      <c r="H16" s="1516"/>
      <c r="I16" s="1514"/>
      <c r="J16" s="1515"/>
      <c r="K16" s="1516"/>
      <c r="L16" s="1517" t="s">
        <v>116</v>
      </c>
      <c r="M16" s="1518" t="s">
        <v>116</v>
      </c>
      <c r="N16" s="1689" t="s">
        <v>116</v>
      </c>
      <c r="O16" s="2770"/>
      <c r="P16" s="415" t="b">
        <f t="shared" si="0"/>
        <v>0</v>
      </c>
      <c r="R16" s="245" t="b">
        <f t="shared" si="1"/>
        <v>1</v>
      </c>
      <c r="AO16" s="238" t="str">
        <f t="shared" si="2"/>
        <v>1</v>
      </c>
      <c r="AP16" s="945" t="b">
        <v>0</v>
      </c>
      <c r="AQ16" s="1323" t="s">
        <v>154</v>
      </c>
      <c r="AR16" s="1324" t="s">
        <v>165</v>
      </c>
      <c r="AS16" s="1324" t="s">
        <v>145</v>
      </c>
      <c r="AT16" s="1324"/>
      <c r="AU16" s="1324">
        <v>500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154</v>
      </c>
      <c r="C17" s="1512" t="s">
        <v>163</v>
      </c>
      <c r="D17" s="1512" t="s">
        <v>159</v>
      </c>
      <c r="E17" s="1513"/>
      <c r="F17" s="1514">
        <v>2000</v>
      </c>
      <c r="G17" s="1515"/>
      <c r="H17" s="1516"/>
      <c r="I17" s="1514"/>
      <c r="J17" s="1515"/>
      <c r="K17" s="1516"/>
      <c r="L17" s="1517" t="s">
        <v>116</v>
      </c>
      <c r="M17" s="1518" t="s">
        <v>1393</v>
      </c>
      <c r="N17" s="1689" t="s">
        <v>116</v>
      </c>
      <c r="O17" s="2770"/>
      <c r="P17" s="415" t="b">
        <f>IF(ISERROR(VLOOKUP(AO17,BE:BE,1,FALSE)),FALSE,IF(AO17&lt;&gt;"",VLOOKUP(AO17,BE:BE,1,FALSE)=AO17))</f>
        <v>0</v>
      </c>
      <c r="R17" s="245" t="b">
        <f t="shared" si="1"/>
        <v>1</v>
      </c>
      <c r="AO17" s="238" t="str">
        <f t="shared" si="2"/>
        <v>1</v>
      </c>
      <c r="AP17" s="945" t="b">
        <v>0</v>
      </c>
      <c r="AQ17" s="1323" t="s">
        <v>154</v>
      </c>
      <c r="AR17" s="1324" t="s">
        <v>163</v>
      </c>
      <c r="AS17" s="1324" t="s">
        <v>159</v>
      </c>
      <c r="AT17" s="1324"/>
      <c r="AU17" s="1324">
        <v>2000</v>
      </c>
      <c r="AV17" s="1324"/>
      <c r="AW17" s="1324"/>
      <c r="AX17" s="1324"/>
      <c r="AY17" s="1324"/>
      <c r="AZ17" s="1324"/>
      <c r="BA17" s="1533" t="s">
        <v>116</v>
      </c>
      <c r="BB17" s="1533" t="s">
        <v>1393</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157</v>
      </c>
      <c r="C18" s="1512" t="s">
        <v>167</v>
      </c>
      <c r="D18" s="1512" t="s">
        <v>145</v>
      </c>
      <c r="E18" s="1513"/>
      <c r="F18" s="1514">
        <v>11000</v>
      </c>
      <c r="G18" s="1515"/>
      <c r="H18" s="1516"/>
      <c r="I18" s="1514"/>
      <c r="J18" s="1515"/>
      <c r="K18" s="1516"/>
      <c r="L18" s="1517" t="s">
        <v>116</v>
      </c>
      <c r="M18" s="1518" t="s">
        <v>1393</v>
      </c>
      <c r="N18" s="1689" t="s">
        <v>116</v>
      </c>
      <c r="O18" s="2770"/>
      <c r="P18" s="415" t="b">
        <f t="shared" ref="P18:P55" si="3">IF(ISERROR(VLOOKUP(AO18,BE:BE,1,FALSE)),FALSE,IF(AO18&lt;&gt;"",VLOOKUP(AO18,BE:BE,1,FALSE)=AO18))</f>
        <v>0</v>
      </c>
      <c r="R18" s="245" t="b">
        <f t="shared" si="1"/>
        <v>1</v>
      </c>
      <c r="AO18" s="238" t="str">
        <f t="shared" si="2"/>
        <v>1</v>
      </c>
      <c r="AP18" s="945" t="b">
        <v>0</v>
      </c>
      <c r="AQ18" s="1323" t="s">
        <v>157</v>
      </c>
      <c r="AR18" s="1324" t="s">
        <v>167</v>
      </c>
      <c r="AS18" s="1324" t="s">
        <v>145</v>
      </c>
      <c r="AT18" s="1324"/>
      <c r="AU18" s="1324">
        <v>11000</v>
      </c>
      <c r="AV18" s="1324"/>
      <c r="AW18" s="1324"/>
      <c r="AX18" s="1324"/>
      <c r="AY18" s="1324"/>
      <c r="AZ18" s="1324"/>
      <c r="BA18" s="1533" t="s">
        <v>116</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157</v>
      </c>
      <c r="C19" s="1512" t="s">
        <v>142</v>
      </c>
      <c r="D19" s="1512" t="s">
        <v>145</v>
      </c>
      <c r="E19" s="1513"/>
      <c r="F19" s="1514">
        <v>11000</v>
      </c>
      <c r="G19" s="1515"/>
      <c r="H19" s="1516"/>
      <c r="I19" s="1514"/>
      <c r="J19" s="1515"/>
      <c r="K19" s="1516"/>
      <c r="L19" s="1517" t="s">
        <v>116</v>
      </c>
      <c r="M19" s="1518" t="s">
        <v>1625</v>
      </c>
      <c r="N19" s="1689" t="s">
        <v>116</v>
      </c>
      <c r="O19" s="2770"/>
      <c r="P19" s="415" t="b">
        <f t="shared" si="3"/>
        <v>0</v>
      </c>
      <c r="R19" s="245" t="b">
        <f t="shared" si="1"/>
        <v>1</v>
      </c>
      <c r="AO19" s="238" t="str">
        <f t="shared" si="2"/>
        <v>1</v>
      </c>
      <c r="AP19" s="945" t="b">
        <v>0</v>
      </c>
      <c r="AQ19" s="1323" t="s">
        <v>157</v>
      </c>
      <c r="AR19" s="1324" t="s">
        <v>142</v>
      </c>
      <c r="AS19" s="1324" t="s">
        <v>145</v>
      </c>
      <c r="AT19" s="1324"/>
      <c r="AU19" s="1324">
        <v>11000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144</v>
      </c>
      <c r="C20" s="1512" t="s">
        <v>142</v>
      </c>
      <c r="D20" s="1512" t="s">
        <v>145</v>
      </c>
      <c r="E20" s="1513"/>
      <c r="F20" s="1514">
        <v>40</v>
      </c>
      <c r="G20" s="1515"/>
      <c r="H20" s="1516"/>
      <c r="I20" s="1514"/>
      <c r="J20" s="1515"/>
      <c r="K20" s="1516"/>
      <c r="L20" s="1517" t="s">
        <v>116</v>
      </c>
      <c r="M20" s="1518" t="s">
        <v>808</v>
      </c>
      <c r="N20" s="1519" t="s">
        <v>116</v>
      </c>
      <c r="O20" s="2771"/>
      <c r="P20" s="415" t="b">
        <f t="shared" si="3"/>
        <v>0</v>
      </c>
      <c r="R20" s="245" t="b">
        <f t="shared" si="1"/>
        <v>0</v>
      </c>
      <c r="AO20" s="238" t="str">
        <f t="shared" si="2"/>
        <v>1</v>
      </c>
      <c r="AP20" s="945" t="b">
        <v>0</v>
      </c>
      <c r="AQ20" s="1323" t="s">
        <v>144</v>
      </c>
      <c r="AR20" s="1324" t="s">
        <v>142</v>
      </c>
      <c r="AS20" s="1324" t="s">
        <v>145</v>
      </c>
      <c r="AT20" s="1324"/>
      <c r="AU20" s="1324">
        <v>40</v>
      </c>
      <c r="AV20" s="1324"/>
      <c r="AW20" s="1324"/>
      <c r="AX20" s="1324"/>
      <c r="AY20" s="1324"/>
      <c r="AZ20" s="1324"/>
      <c r="BA20" s="1533" t="s">
        <v>116</v>
      </c>
      <c r="BB20" s="1533" t="s">
        <v>808</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t="s">
        <v>808</v>
      </c>
      <c r="B21" s="1512" t="s">
        <v>155</v>
      </c>
      <c r="C21" s="1512" t="s">
        <v>165</v>
      </c>
      <c r="D21" s="1512" t="s">
        <v>145</v>
      </c>
      <c r="E21" s="1513"/>
      <c r="F21" s="1514">
        <v>250</v>
      </c>
      <c r="G21" s="1515"/>
      <c r="H21" s="1516"/>
      <c r="I21" s="1514"/>
      <c r="J21" s="1515"/>
      <c r="K21" s="1516"/>
      <c r="L21" s="1517" t="s">
        <v>116</v>
      </c>
      <c r="M21" s="1518" t="s">
        <v>116</v>
      </c>
      <c r="N21" s="1519" t="s">
        <v>1626</v>
      </c>
      <c r="O21" s="2771"/>
      <c r="P21" s="415" t="b">
        <f t="shared" si="3"/>
        <v>1</v>
      </c>
      <c r="R21" s="245" t="b">
        <f t="shared" si="1"/>
        <v>1</v>
      </c>
      <c r="AO21" s="238" t="str">
        <f t="shared" si="2"/>
        <v>2</v>
      </c>
      <c r="AP21" s="945" t="b">
        <v>0</v>
      </c>
      <c r="AQ21" s="1323" t="s">
        <v>155</v>
      </c>
      <c r="AR21" s="1324" t="s">
        <v>165</v>
      </c>
      <c r="AS21" s="1324" t="s">
        <v>145</v>
      </c>
      <c r="AT21" s="1324"/>
      <c r="AU21" s="1324">
        <v>250</v>
      </c>
      <c r="AV21" s="1324"/>
      <c r="AW21" s="1324"/>
      <c r="AX21" s="1324"/>
      <c r="AY21" s="1324"/>
      <c r="AZ21" s="1324"/>
      <c r="BA21" s="1533" t="s">
        <v>116</v>
      </c>
      <c r="BB21" s="1533" t="s">
        <v>116</v>
      </c>
      <c r="BC21" s="1534" t="s">
        <v>1626</v>
      </c>
      <c r="BD21" s="245">
        <v>5</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155</v>
      </c>
      <c r="C22" s="1512" t="s">
        <v>165</v>
      </c>
      <c r="D22" s="1512" t="s">
        <v>159</v>
      </c>
      <c r="E22" s="1513"/>
      <c r="F22" s="1514">
        <v>250</v>
      </c>
      <c r="G22" s="1515"/>
      <c r="H22" s="1516"/>
      <c r="I22" s="1514"/>
      <c r="J22" s="1515"/>
      <c r="K22" s="1516"/>
      <c r="L22" s="1517" t="s">
        <v>116</v>
      </c>
      <c r="M22" s="1518" t="s">
        <v>116</v>
      </c>
      <c r="N22" s="1519" t="s">
        <v>116</v>
      </c>
      <c r="O22" s="2771"/>
      <c r="P22" s="415" t="b">
        <f t="shared" si="3"/>
        <v>1</v>
      </c>
      <c r="R22" s="245" t="b">
        <f t="shared" si="1"/>
        <v>1</v>
      </c>
      <c r="AO22" s="238" t="str">
        <f t="shared" si="2"/>
        <v>2</v>
      </c>
      <c r="AP22" s="945" t="b">
        <v>0</v>
      </c>
      <c r="AQ22" s="1323" t="s">
        <v>155</v>
      </c>
      <c r="AR22" s="1324" t="s">
        <v>165</v>
      </c>
      <c r="AS22" s="1324" t="s">
        <v>159</v>
      </c>
      <c r="AT22" s="1324"/>
      <c r="AU22" s="1324">
        <v>250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154</v>
      </c>
      <c r="C23" s="1512" t="s">
        <v>165</v>
      </c>
      <c r="D23" s="1512" t="s">
        <v>145</v>
      </c>
      <c r="E23" s="1513"/>
      <c r="F23" s="1514">
        <v>1500</v>
      </c>
      <c r="G23" s="1515"/>
      <c r="H23" s="1516"/>
      <c r="I23" s="1514"/>
      <c r="J23" s="1515"/>
      <c r="K23" s="1516"/>
      <c r="L23" s="1517" t="s">
        <v>116</v>
      </c>
      <c r="M23" s="1518" t="s">
        <v>116</v>
      </c>
      <c r="N23" s="1519" t="s">
        <v>116</v>
      </c>
      <c r="O23" s="2771"/>
      <c r="P23" s="415" t="b">
        <f t="shared" si="3"/>
        <v>1</v>
      </c>
      <c r="R23" s="245" t="b">
        <f t="shared" si="1"/>
        <v>1</v>
      </c>
      <c r="AO23" s="238" t="str">
        <f t="shared" si="2"/>
        <v>2</v>
      </c>
      <c r="AP23" s="945" t="b">
        <v>0</v>
      </c>
      <c r="AQ23" s="1323" t="s">
        <v>154</v>
      </c>
      <c r="AR23" s="1324" t="s">
        <v>165</v>
      </c>
      <c r="AS23" s="1324" t="s">
        <v>145</v>
      </c>
      <c r="AT23" s="1324"/>
      <c r="AU23" s="1324">
        <v>1500</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157</v>
      </c>
      <c r="C24" s="1512" t="s">
        <v>167</v>
      </c>
      <c r="D24" s="1512" t="s">
        <v>145</v>
      </c>
      <c r="E24" s="1513"/>
      <c r="F24" s="1514">
        <v>45000</v>
      </c>
      <c r="G24" s="1515"/>
      <c r="H24" s="1516"/>
      <c r="I24" s="1514"/>
      <c r="J24" s="1515"/>
      <c r="K24" s="1516"/>
      <c r="L24" s="1517" t="s">
        <v>116</v>
      </c>
      <c r="M24" s="1518" t="s">
        <v>1393</v>
      </c>
      <c r="N24" s="1519" t="s">
        <v>116</v>
      </c>
      <c r="O24" s="2771"/>
      <c r="P24" s="415" t="b">
        <f t="shared" si="3"/>
        <v>1</v>
      </c>
      <c r="R24" s="245" t="b">
        <f t="shared" si="1"/>
        <v>1</v>
      </c>
      <c r="AO24" s="238" t="str">
        <f t="shared" si="2"/>
        <v>2</v>
      </c>
      <c r="AP24" s="945" t="b">
        <v>0</v>
      </c>
      <c r="AQ24" s="1323" t="s">
        <v>157</v>
      </c>
      <c r="AR24" s="1324" t="s">
        <v>167</v>
      </c>
      <c r="AS24" s="1324" t="s">
        <v>145</v>
      </c>
      <c r="AT24" s="1324"/>
      <c r="AU24" s="1324">
        <v>45000</v>
      </c>
      <c r="AV24" s="1324"/>
      <c r="AW24" s="1324"/>
      <c r="AX24" s="1324"/>
      <c r="AY24" s="1324"/>
      <c r="AZ24" s="1324"/>
      <c r="BA24" s="1533" t="s">
        <v>116</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157</v>
      </c>
      <c r="C25" s="1512" t="s">
        <v>142</v>
      </c>
      <c r="D25" s="1512" t="s">
        <v>145</v>
      </c>
      <c r="E25" s="1513"/>
      <c r="F25" s="1514">
        <v>45000</v>
      </c>
      <c r="G25" s="1515"/>
      <c r="H25" s="1516"/>
      <c r="I25" s="1514"/>
      <c r="J25" s="1515"/>
      <c r="K25" s="1516"/>
      <c r="L25" s="1517" t="s">
        <v>116</v>
      </c>
      <c r="M25" s="1518" t="s">
        <v>1625</v>
      </c>
      <c r="N25" s="1519" t="s">
        <v>116</v>
      </c>
      <c r="O25" s="2771"/>
      <c r="P25" s="415" t="b">
        <f t="shared" si="3"/>
        <v>1</v>
      </c>
      <c r="R25" s="245" t="b">
        <f t="shared" si="1"/>
        <v>1</v>
      </c>
      <c r="AO25" s="238" t="str">
        <f t="shared" si="2"/>
        <v>2</v>
      </c>
      <c r="AP25" s="945" t="b">
        <v>0</v>
      </c>
      <c r="AQ25" s="1323" t="s">
        <v>157</v>
      </c>
      <c r="AR25" s="1324" t="s">
        <v>142</v>
      </c>
      <c r="AS25" s="1324" t="s">
        <v>145</v>
      </c>
      <c r="AT25" s="1324"/>
      <c r="AU25" s="1324">
        <v>45000</v>
      </c>
      <c r="AV25" s="1324"/>
      <c r="AW25" s="1324"/>
      <c r="AX25" s="1324"/>
      <c r="AY25" s="1324"/>
      <c r="AZ25" s="1324"/>
      <c r="BA25" s="1533" t="s">
        <v>116</v>
      </c>
      <c r="BB25" s="1533" t="s">
        <v>1625</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t="s">
        <v>1393</v>
      </c>
      <c r="B26" s="1512" t="s">
        <v>154</v>
      </c>
      <c r="C26" s="1512" t="s">
        <v>167</v>
      </c>
      <c r="D26" s="1512" t="s">
        <v>145</v>
      </c>
      <c r="E26" s="1513"/>
      <c r="F26" s="1514">
        <v>4000</v>
      </c>
      <c r="G26" s="1515"/>
      <c r="H26" s="1516"/>
      <c r="I26" s="1514"/>
      <c r="J26" s="1515"/>
      <c r="K26" s="1516"/>
      <c r="L26" s="1517" t="s">
        <v>116</v>
      </c>
      <c r="M26" s="1518" t="s">
        <v>1393</v>
      </c>
      <c r="N26" s="1519" t="s">
        <v>1627</v>
      </c>
      <c r="O26" s="2771"/>
      <c r="P26" s="415" t="b">
        <f t="shared" si="3"/>
        <v>0</v>
      </c>
      <c r="R26" s="245" t="b">
        <f t="shared" si="1"/>
        <v>1</v>
      </c>
      <c r="AO26" s="238" t="str">
        <f t="shared" si="2"/>
        <v>3</v>
      </c>
      <c r="AP26" s="945" t="b">
        <v>0</v>
      </c>
      <c r="AQ26" s="1323" t="s">
        <v>154</v>
      </c>
      <c r="AR26" s="1324" t="s">
        <v>167</v>
      </c>
      <c r="AS26" s="1324" t="s">
        <v>145</v>
      </c>
      <c r="AT26" s="1324"/>
      <c r="AU26" s="1324">
        <v>4000</v>
      </c>
      <c r="AV26" s="1324"/>
      <c r="AW26" s="1324"/>
      <c r="AX26" s="1324"/>
      <c r="AY26" s="1324"/>
      <c r="AZ26" s="1324"/>
      <c r="BA26" s="1533" t="s">
        <v>116</v>
      </c>
      <c r="BB26" s="1533" t="s">
        <v>116</v>
      </c>
      <c r="BC26" s="1534" t="s">
        <v>1627</v>
      </c>
      <c r="BD26" s="245">
        <v>4</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154</v>
      </c>
      <c r="C27" s="1512" t="s">
        <v>167</v>
      </c>
      <c r="D27" s="1512" t="s">
        <v>145</v>
      </c>
      <c r="E27" s="1513"/>
      <c r="F27" s="1514">
        <v>-4000</v>
      </c>
      <c r="G27" s="1515"/>
      <c r="H27" s="1516"/>
      <c r="I27" s="1514"/>
      <c r="J27" s="1515"/>
      <c r="K27" s="1516"/>
      <c r="L27" s="1517" t="s">
        <v>116</v>
      </c>
      <c r="M27" s="1518" t="s">
        <v>808</v>
      </c>
      <c r="N27" s="1519" t="s">
        <v>116</v>
      </c>
      <c r="O27" s="2771"/>
      <c r="P27" s="415" t="b">
        <f t="shared" si="3"/>
        <v>0</v>
      </c>
      <c r="R27" s="245" t="b">
        <f t="shared" si="1"/>
        <v>1</v>
      </c>
      <c r="AO27" s="238" t="str">
        <f t="shared" si="2"/>
        <v>3</v>
      </c>
      <c r="AP27" s="945" t="b">
        <v>0</v>
      </c>
      <c r="AQ27" s="1323" t="s">
        <v>154</v>
      </c>
      <c r="AR27" s="1324" t="s">
        <v>167</v>
      </c>
      <c r="AS27" s="1324" t="s">
        <v>145</v>
      </c>
      <c r="AT27" s="1324"/>
      <c r="AU27" s="1324">
        <v>-4000</v>
      </c>
      <c r="AV27" s="1324"/>
      <c r="AW27" s="1324"/>
      <c r="AX27" s="1324"/>
      <c r="AY27" s="1324"/>
      <c r="AZ27" s="1324"/>
      <c r="BA27" s="1533" t="s">
        <v>116</v>
      </c>
      <c r="BB27" s="1533" t="s">
        <v>808</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151</v>
      </c>
      <c r="C28" s="1512" t="s">
        <v>167</v>
      </c>
      <c r="D28" s="1512" t="s">
        <v>145</v>
      </c>
      <c r="E28" s="1513"/>
      <c r="F28" s="2772">
        <v>200</v>
      </c>
      <c r="G28" s="1515"/>
      <c r="H28" s="1516"/>
      <c r="I28" s="1514"/>
      <c r="J28" s="1515"/>
      <c r="K28" s="1516"/>
      <c r="L28" s="1517" t="s">
        <v>116</v>
      </c>
      <c r="M28" s="1518" t="s">
        <v>1393</v>
      </c>
      <c r="N28" s="1689" t="s">
        <v>116</v>
      </c>
      <c r="O28" s="2770"/>
      <c r="P28" s="415" t="b">
        <f t="shared" si="3"/>
        <v>0</v>
      </c>
      <c r="R28" s="245" t="b">
        <f t="shared" si="1"/>
        <v>0</v>
      </c>
      <c r="AO28" s="238" t="str">
        <f t="shared" si="2"/>
        <v>3</v>
      </c>
      <c r="AP28" s="945" t="b">
        <v>0</v>
      </c>
      <c r="AQ28" s="1323" t="s">
        <v>151</v>
      </c>
      <c r="AR28" s="1324" t="s">
        <v>167</v>
      </c>
      <c r="AS28" s="1324" t="s">
        <v>145</v>
      </c>
      <c r="AT28" s="1324"/>
      <c r="AU28" s="1324">
        <v>400</v>
      </c>
      <c r="AV28" s="1324"/>
      <c r="AW28" s="1324"/>
      <c r="AX28" s="1324"/>
      <c r="AY28" s="1324"/>
      <c r="AZ28" s="1324"/>
      <c r="BA28" s="1533" t="s">
        <v>116</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151</v>
      </c>
      <c r="C29" s="1512" t="s">
        <v>167</v>
      </c>
      <c r="D29" s="1512" t="s">
        <v>145</v>
      </c>
      <c r="E29" s="1513"/>
      <c r="F29" s="2772">
        <v>-200</v>
      </c>
      <c r="G29" s="1515"/>
      <c r="H29" s="1516"/>
      <c r="I29" s="1514"/>
      <c r="J29" s="1515"/>
      <c r="K29" s="1516"/>
      <c r="L29" s="1517" t="s">
        <v>116</v>
      </c>
      <c r="M29" s="1518" t="s">
        <v>808</v>
      </c>
      <c r="N29" s="1689" t="s">
        <v>116</v>
      </c>
      <c r="O29" s="2770"/>
      <c r="P29" s="415" t="b">
        <f t="shared" si="3"/>
        <v>0</v>
      </c>
      <c r="R29" s="245" t="b">
        <f t="shared" si="1"/>
        <v>0</v>
      </c>
      <c r="AO29" s="238" t="str">
        <f t="shared" si="2"/>
        <v>3</v>
      </c>
      <c r="AP29" s="945" t="b">
        <v>0</v>
      </c>
      <c r="AQ29" s="1323" t="s">
        <v>151</v>
      </c>
      <c r="AR29" s="1324" t="s">
        <v>167</v>
      </c>
      <c r="AS29" s="1324" t="s">
        <v>145</v>
      </c>
      <c r="AT29" s="1324"/>
      <c r="AU29" s="1324">
        <v>-400</v>
      </c>
      <c r="AV29" s="1324"/>
      <c r="AW29" s="1324"/>
      <c r="AX29" s="1324"/>
      <c r="AY29" s="1324"/>
      <c r="AZ29" s="1324"/>
      <c r="BA29" s="1533" t="s">
        <v>116</v>
      </c>
      <c r="BB29" s="1533" t="s">
        <v>808</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t="s">
        <v>1394</v>
      </c>
      <c r="B30" s="1512" t="s">
        <v>154</v>
      </c>
      <c r="C30" s="1512" t="s">
        <v>167</v>
      </c>
      <c r="D30" s="1512" t="s">
        <v>145</v>
      </c>
      <c r="E30" s="1513"/>
      <c r="F30" s="1514">
        <v>4000</v>
      </c>
      <c r="G30" s="1515"/>
      <c r="H30" s="1516"/>
      <c r="I30" s="1514"/>
      <c r="J30" s="1515"/>
      <c r="K30" s="1516"/>
      <c r="L30" s="1517" t="s">
        <v>116</v>
      </c>
      <c r="M30" s="1518" t="s">
        <v>1393</v>
      </c>
      <c r="N30" s="1689" t="s">
        <v>1628</v>
      </c>
      <c r="O30" s="2770"/>
      <c r="P30" s="415" t="b">
        <f t="shared" si="3"/>
        <v>0</v>
      </c>
      <c r="R30" s="245" t="b">
        <f t="shared" si="1"/>
        <v>1</v>
      </c>
      <c r="AO30" s="238" t="str">
        <f t="shared" si="2"/>
        <v>4</v>
      </c>
      <c r="AP30" s="945" t="b">
        <v>0</v>
      </c>
      <c r="AQ30" s="1323" t="s">
        <v>154</v>
      </c>
      <c r="AR30" s="1324" t="s">
        <v>167</v>
      </c>
      <c r="AS30" s="1324" t="s">
        <v>145</v>
      </c>
      <c r="AT30" s="1324"/>
      <c r="AU30" s="1324">
        <v>4000</v>
      </c>
      <c r="AV30" s="1324"/>
      <c r="AW30" s="1324"/>
      <c r="AX30" s="1324"/>
      <c r="AY30" s="1324"/>
      <c r="AZ30" s="1324"/>
      <c r="BA30" s="1533" t="s">
        <v>116</v>
      </c>
      <c r="BB30" s="1533" t="s">
        <v>116</v>
      </c>
      <c r="BC30" s="1534" t="s">
        <v>1628</v>
      </c>
      <c r="BD30" s="245">
        <v>4</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154</v>
      </c>
      <c r="C31" s="1512" t="s">
        <v>167</v>
      </c>
      <c r="D31" s="1512" t="s">
        <v>145</v>
      </c>
      <c r="E31" s="1513"/>
      <c r="F31" s="1514">
        <v>-4000</v>
      </c>
      <c r="G31" s="1515"/>
      <c r="H31" s="1516"/>
      <c r="I31" s="1514"/>
      <c r="J31" s="1515"/>
      <c r="K31" s="1516"/>
      <c r="L31" s="1517" t="s">
        <v>116</v>
      </c>
      <c r="M31" s="1517" t="s">
        <v>808</v>
      </c>
      <c r="N31" s="1689" t="s">
        <v>116</v>
      </c>
      <c r="O31" s="2770"/>
      <c r="P31" s="415" t="b">
        <f t="shared" si="3"/>
        <v>0</v>
      </c>
      <c r="R31" s="245" t="b">
        <f t="shared" si="1"/>
        <v>1</v>
      </c>
      <c r="AO31" s="238" t="str">
        <f t="shared" si="2"/>
        <v>4</v>
      </c>
      <c r="AP31" s="945" t="b">
        <v>0</v>
      </c>
      <c r="AQ31" s="1323" t="s">
        <v>154</v>
      </c>
      <c r="AR31" s="1324" t="s">
        <v>167</v>
      </c>
      <c r="AS31" s="1324" t="s">
        <v>145</v>
      </c>
      <c r="AT31" s="1324"/>
      <c r="AU31" s="1324">
        <v>-4000</v>
      </c>
      <c r="AV31" s="1324"/>
      <c r="AW31" s="1324"/>
      <c r="AX31" s="1324"/>
      <c r="AY31" s="1324"/>
      <c r="AZ31" s="1324"/>
      <c r="BA31" s="1533" t="s">
        <v>116</v>
      </c>
      <c r="BB31" s="1533" t="s">
        <v>808</v>
      </c>
      <c r="BC31" s="1534" t="s">
        <v>116</v>
      </c>
    </row>
    <row r="32" spans="1:81" ht="14.1" customHeight="1" x14ac:dyDescent="0.2">
      <c r="A32" s="1511"/>
      <c r="B32" s="1512" t="s">
        <v>151</v>
      </c>
      <c r="C32" s="1512" t="s">
        <v>167</v>
      </c>
      <c r="D32" s="1512" t="s">
        <v>145</v>
      </c>
      <c r="E32" s="1513"/>
      <c r="F32" s="2772">
        <v>334</v>
      </c>
      <c r="G32" s="1515"/>
      <c r="H32" s="1516"/>
      <c r="I32" s="1514"/>
      <c r="J32" s="1515"/>
      <c r="K32" s="1516"/>
      <c r="L32" s="1517" t="s">
        <v>116</v>
      </c>
      <c r="M32" s="1517" t="s">
        <v>1393</v>
      </c>
      <c r="N32" s="1689" t="s">
        <v>116</v>
      </c>
      <c r="O32" s="2770"/>
      <c r="P32" s="415" t="b">
        <f t="shared" si="3"/>
        <v>0</v>
      </c>
      <c r="R32" s="245" t="b">
        <f t="shared" si="1"/>
        <v>0</v>
      </c>
      <c r="AO32" s="238" t="str">
        <f t="shared" si="2"/>
        <v>4</v>
      </c>
      <c r="AP32" s="945" t="b">
        <v>0</v>
      </c>
      <c r="AQ32" s="1323" t="s">
        <v>151</v>
      </c>
      <c r="AR32" s="1324" t="s">
        <v>167</v>
      </c>
      <c r="AS32" s="1324" t="s">
        <v>145</v>
      </c>
      <c r="AT32" s="1324"/>
      <c r="AU32" s="1324">
        <v>267</v>
      </c>
      <c r="AV32" s="1324"/>
      <c r="AW32" s="1324"/>
      <c r="AX32" s="1324"/>
      <c r="AY32" s="1324"/>
      <c r="AZ32" s="1324"/>
      <c r="BA32" s="1533" t="s">
        <v>116</v>
      </c>
      <c r="BB32" s="1533" t="s">
        <v>116</v>
      </c>
      <c r="BC32" s="1534" t="s">
        <v>116</v>
      </c>
    </row>
    <row r="33" spans="1:56" ht="14.1" customHeight="1" x14ac:dyDescent="0.2">
      <c r="A33" s="1511"/>
      <c r="B33" s="1512" t="s">
        <v>151</v>
      </c>
      <c r="C33" s="1512" t="s">
        <v>167</v>
      </c>
      <c r="D33" s="1512" t="s">
        <v>145</v>
      </c>
      <c r="E33" s="1513"/>
      <c r="F33" s="2772">
        <v>-334</v>
      </c>
      <c r="G33" s="1515"/>
      <c r="H33" s="1516"/>
      <c r="I33" s="1514"/>
      <c r="J33" s="1515"/>
      <c r="K33" s="1516"/>
      <c r="L33" s="1517" t="s">
        <v>116</v>
      </c>
      <c r="M33" s="1517" t="s">
        <v>808</v>
      </c>
      <c r="N33" s="1689" t="s">
        <v>116</v>
      </c>
      <c r="O33" s="2770"/>
      <c r="P33" s="415" t="b">
        <f t="shared" si="3"/>
        <v>0</v>
      </c>
      <c r="R33" s="245" t="b">
        <f t="shared" si="1"/>
        <v>0</v>
      </c>
      <c r="AO33" s="238" t="str">
        <f t="shared" si="2"/>
        <v>4</v>
      </c>
      <c r="AP33" s="945" t="b">
        <v>0</v>
      </c>
      <c r="AQ33" s="1323" t="s">
        <v>151</v>
      </c>
      <c r="AR33" s="1324" t="s">
        <v>167</v>
      </c>
      <c r="AS33" s="1324" t="s">
        <v>145</v>
      </c>
      <c r="AT33" s="1324"/>
      <c r="AU33" s="1324">
        <v>-267</v>
      </c>
      <c r="AV33" s="1324"/>
      <c r="AW33" s="1324"/>
      <c r="AX33" s="1324"/>
      <c r="AY33" s="1324"/>
      <c r="AZ33" s="1324"/>
      <c r="BA33" s="1533" t="s">
        <v>116</v>
      </c>
      <c r="BB33" s="1533" t="s">
        <v>808</v>
      </c>
      <c r="BC33" s="1534" t="s">
        <v>116</v>
      </c>
    </row>
    <row r="34" spans="1:56" ht="14.1" customHeight="1" x14ac:dyDescent="0.2">
      <c r="A34" s="1511" t="s">
        <v>1629</v>
      </c>
      <c r="B34" s="1512" t="s">
        <v>148</v>
      </c>
      <c r="C34" s="1512" t="s">
        <v>167</v>
      </c>
      <c r="D34" s="1512" t="s">
        <v>145</v>
      </c>
      <c r="E34" s="1513"/>
      <c r="F34" s="1514">
        <v>24000</v>
      </c>
      <c r="G34" s="1515">
        <v>44</v>
      </c>
      <c r="H34" s="1516">
        <v>0</v>
      </c>
      <c r="I34" s="1514"/>
      <c r="J34" s="1515"/>
      <c r="K34" s="1516"/>
      <c r="L34" s="1517" t="s">
        <v>700</v>
      </c>
      <c r="M34" s="1517" t="s">
        <v>1393</v>
      </c>
      <c r="N34" s="1689" t="s">
        <v>1630</v>
      </c>
      <c r="O34" s="2770"/>
      <c r="P34" s="415" t="b">
        <f t="shared" si="3"/>
        <v>1</v>
      </c>
      <c r="R34" s="245" t="b">
        <f t="shared" si="1"/>
        <v>0</v>
      </c>
      <c r="AO34" s="238" t="str">
        <f t="shared" si="2"/>
        <v>5</v>
      </c>
      <c r="AP34" s="945" t="b">
        <v>0</v>
      </c>
      <c r="AQ34" s="1323" t="s">
        <v>148</v>
      </c>
      <c r="AR34" s="1324" t="s">
        <v>167</v>
      </c>
      <c r="AS34" s="1324" t="s">
        <v>145</v>
      </c>
      <c r="AT34" s="1324"/>
      <c r="AU34" s="1324">
        <v>24000</v>
      </c>
      <c r="AV34" s="1324">
        <v>44</v>
      </c>
      <c r="AW34" s="1324">
        <v>0</v>
      </c>
      <c r="AX34" s="1324"/>
      <c r="AY34" s="1324"/>
      <c r="AZ34" s="1324"/>
      <c r="BA34" s="1533" t="s">
        <v>700</v>
      </c>
      <c r="BB34" s="1533" t="s">
        <v>116</v>
      </c>
      <c r="BC34" s="1534" t="s">
        <v>1630</v>
      </c>
      <c r="BD34" s="245">
        <v>2</v>
      </c>
    </row>
    <row r="35" spans="1:56" ht="14.1" customHeight="1" x14ac:dyDescent="0.2">
      <c r="A35" s="1511"/>
      <c r="B35" s="1512" t="s">
        <v>148</v>
      </c>
      <c r="C35" s="1512" t="s">
        <v>167</v>
      </c>
      <c r="D35" s="1512" t="s">
        <v>145</v>
      </c>
      <c r="E35" s="1513"/>
      <c r="F35" s="1514">
        <v>-24000</v>
      </c>
      <c r="G35" s="1515">
        <v>44</v>
      </c>
      <c r="H35" s="1516">
        <v>0</v>
      </c>
      <c r="I35" s="1514"/>
      <c r="J35" s="1515"/>
      <c r="K35" s="1516"/>
      <c r="L35" s="1517" t="s">
        <v>700</v>
      </c>
      <c r="M35" s="1517" t="s">
        <v>808</v>
      </c>
      <c r="N35" s="1689" t="s">
        <v>116</v>
      </c>
      <c r="O35" s="2770"/>
      <c r="P35" s="415" t="b">
        <f t="shared" si="3"/>
        <v>1</v>
      </c>
      <c r="R35" s="245" t="b">
        <f t="shared" si="1"/>
        <v>0</v>
      </c>
      <c r="AO35" s="238" t="str">
        <f t="shared" si="2"/>
        <v>5</v>
      </c>
      <c r="AP35" s="945" t="b">
        <v>0</v>
      </c>
      <c r="AQ35" s="1323" t="s">
        <v>148</v>
      </c>
      <c r="AR35" s="1324" t="s">
        <v>167</v>
      </c>
      <c r="AS35" s="1324" t="s">
        <v>145</v>
      </c>
      <c r="AT35" s="1324"/>
      <c r="AU35" s="1324">
        <v>-24000</v>
      </c>
      <c r="AV35" s="1324">
        <v>44</v>
      </c>
      <c r="AW35" s="1324">
        <v>0</v>
      </c>
      <c r="AX35" s="1324"/>
      <c r="AY35" s="1324"/>
      <c r="AZ35" s="1324"/>
      <c r="BA35" s="1533" t="s">
        <v>700</v>
      </c>
      <c r="BB35" s="1533" t="s">
        <v>808</v>
      </c>
      <c r="BC35" s="1534" t="s">
        <v>116</v>
      </c>
    </row>
    <row r="36" spans="1:56" ht="14.1" customHeight="1" x14ac:dyDescent="0.2">
      <c r="A36" s="1511" t="s">
        <v>1631</v>
      </c>
      <c r="B36" s="1512" t="s">
        <v>148</v>
      </c>
      <c r="C36" s="1512" t="s">
        <v>167</v>
      </c>
      <c r="D36" s="1512" t="s">
        <v>145</v>
      </c>
      <c r="E36" s="1513"/>
      <c r="F36" s="1514">
        <v>16000</v>
      </c>
      <c r="G36" s="1515">
        <v>48</v>
      </c>
      <c r="H36" s="1516">
        <v>0</v>
      </c>
      <c r="I36" s="1514"/>
      <c r="J36" s="1515"/>
      <c r="K36" s="1516"/>
      <c r="L36" s="1517" t="s">
        <v>700</v>
      </c>
      <c r="M36" s="1517" t="s">
        <v>1393</v>
      </c>
      <c r="N36" s="1689" t="s">
        <v>1630</v>
      </c>
      <c r="O36" s="2770"/>
      <c r="P36" s="415" t="b">
        <f t="shared" si="3"/>
        <v>1</v>
      </c>
      <c r="R36" s="245" t="b">
        <f t="shared" si="1"/>
        <v>0</v>
      </c>
      <c r="AO36" s="238" t="str">
        <f t="shared" si="2"/>
        <v>6</v>
      </c>
      <c r="AP36" s="945" t="b">
        <v>0</v>
      </c>
      <c r="AQ36" s="1323" t="s">
        <v>148</v>
      </c>
      <c r="AR36" s="1324" t="s">
        <v>167</v>
      </c>
      <c r="AS36" s="1324" t="s">
        <v>145</v>
      </c>
      <c r="AT36" s="1324"/>
      <c r="AU36" s="1324">
        <v>16000</v>
      </c>
      <c r="AV36" s="1324">
        <v>48</v>
      </c>
      <c r="AW36" s="1324">
        <v>0</v>
      </c>
      <c r="AX36" s="1324"/>
      <c r="AY36" s="1324"/>
      <c r="AZ36" s="1324"/>
      <c r="BA36" s="1533" t="s">
        <v>700</v>
      </c>
      <c r="BB36" s="1533" t="s">
        <v>116</v>
      </c>
      <c r="BC36" s="1534" t="s">
        <v>1630</v>
      </c>
      <c r="BD36" s="245">
        <v>2</v>
      </c>
    </row>
    <row r="37" spans="1:56" ht="14.1" customHeight="1" x14ac:dyDescent="0.2">
      <c r="A37" s="1511"/>
      <c r="B37" s="1512" t="s">
        <v>148</v>
      </c>
      <c r="C37" s="1512" t="s">
        <v>167</v>
      </c>
      <c r="D37" s="1512" t="s">
        <v>145</v>
      </c>
      <c r="E37" s="1513"/>
      <c r="F37" s="1514">
        <v>-16000</v>
      </c>
      <c r="G37" s="1515">
        <v>48</v>
      </c>
      <c r="H37" s="1516">
        <v>0</v>
      </c>
      <c r="I37" s="1514"/>
      <c r="J37" s="1515"/>
      <c r="K37" s="1516"/>
      <c r="L37" s="1517" t="s">
        <v>700</v>
      </c>
      <c r="M37" s="1517" t="s">
        <v>808</v>
      </c>
      <c r="N37" s="1689" t="s">
        <v>116</v>
      </c>
      <c r="O37" s="2770"/>
      <c r="P37" s="415" t="b">
        <f t="shared" si="3"/>
        <v>1</v>
      </c>
      <c r="R37" s="245" t="b">
        <f t="shared" si="1"/>
        <v>0</v>
      </c>
      <c r="AO37" s="238" t="str">
        <f t="shared" si="2"/>
        <v>6</v>
      </c>
      <c r="AP37" s="945" t="b">
        <v>0</v>
      </c>
      <c r="AQ37" s="1323" t="s">
        <v>148</v>
      </c>
      <c r="AR37" s="1324" t="s">
        <v>167</v>
      </c>
      <c r="AS37" s="1324" t="s">
        <v>145</v>
      </c>
      <c r="AT37" s="1324"/>
      <c r="AU37" s="1324">
        <v>-16000</v>
      </c>
      <c r="AV37" s="1324">
        <v>48</v>
      </c>
      <c r="AW37" s="1324">
        <v>0</v>
      </c>
      <c r="AX37" s="1324"/>
      <c r="AY37" s="1324"/>
      <c r="AZ37" s="1324"/>
      <c r="BA37" s="1533" t="s">
        <v>700</v>
      </c>
      <c r="BB37" s="1533" t="s">
        <v>808</v>
      </c>
      <c r="BC37" s="1534" t="s">
        <v>116</v>
      </c>
    </row>
    <row r="38" spans="1:56" ht="14.1" customHeight="1" x14ac:dyDescent="0.2">
      <c r="A38" s="1511"/>
      <c r="B38" s="1512" t="s">
        <v>116</v>
      </c>
      <c r="C38" s="1512" t="s">
        <v>116</v>
      </c>
      <c r="D38" s="1512" t="s">
        <v>116</v>
      </c>
      <c r="E38" s="1513"/>
      <c r="F38" s="1514"/>
      <c r="G38" s="1515"/>
      <c r="H38" s="1516"/>
      <c r="I38" s="1514"/>
      <c r="J38" s="1515"/>
      <c r="K38" s="1516"/>
      <c r="L38" s="1517" t="s">
        <v>116</v>
      </c>
      <c r="M38" s="1517" t="s">
        <v>116</v>
      </c>
      <c r="N38" s="1689" t="s">
        <v>116</v>
      </c>
      <c r="O38" s="2770"/>
      <c r="P38" s="415" t="b">
        <f t="shared" si="3"/>
        <v>1</v>
      </c>
      <c r="R38" s="245" t="b">
        <f t="shared" si="1"/>
        <v>0</v>
      </c>
      <c r="AO38" s="238" t="str">
        <f t="shared" si="2"/>
        <v>6</v>
      </c>
      <c r="AP38" s="945" t="b">
        <v>0</v>
      </c>
      <c r="AQ38" s="1323"/>
      <c r="AR38" s="1324"/>
      <c r="AS38" s="1324"/>
      <c r="AT38" s="1324"/>
      <c r="AU38" s="1324"/>
      <c r="AV38" s="1324"/>
      <c r="AW38" s="1324"/>
      <c r="AX38" s="1324"/>
      <c r="AY38" s="1324"/>
      <c r="AZ38" s="1324"/>
      <c r="BA38" s="1533"/>
      <c r="BB38" s="1533"/>
      <c r="BC38" s="1534"/>
    </row>
    <row r="39" spans="1:56" ht="14.1" customHeight="1" x14ac:dyDescent="0.2">
      <c r="A39" s="1511" t="s">
        <v>943</v>
      </c>
      <c r="B39" s="1512" t="s">
        <v>155</v>
      </c>
      <c r="C39" s="1512" t="s">
        <v>165</v>
      </c>
      <c r="D39" s="1512" t="s">
        <v>145</v>
      </c>
      <c r="E39" s="1513"/>
      <c r="F39" s="1514">
        <v>250</v>
      </c>
      <c r="G39" s="1515"/>
      <c r="H39" s="1516"/>
      <c r="I39" s="1514"/>
      <c r="J39" s="1515"/>
      <c r="K39" s="1516"/>
      <c r="L39" s="1517" t="s">
        <v>116</v>
      </c>
      <c r="M39" s="1517" t="s">
        <v>116</v>
      </c>
      <c r="N39" s="1689" t="s">
        <v>1632</v>
      </c>
      <c r="O39" s="2770"/>
      <c r="P39" s="415" t="b">
        <f t="shared" si="3"/>
        <v>1</v>
      </c>
      <c r="R39" s="245" t="b">
        <f t="shared" si="1"/>
        <v>1</v>
      </c>
      <c r="AO39" s="238" t="str">
        <f t="shared" si="2"/>
        <v>8</v>
      </c>
      <c r="AP39" s="945" t="b">
        <v>0</v>
      </c>
      <c r="AQ39" s="1323" t="s">
        <v>155</v>
      </c>
      <c r="AR39" s="1324" t="s">
        <v>165</v>
      </c>
      <c r="AS39" s="1324" t="s">
        <v>145</v>
      </c>
      <c r="AT39" s="1324"/>
      <c r="AU39" s="1324">
        <v>250</v>
      </c>
      <c r="AV39" s="1324"/>
      <c r="AW39" s="1324"/>
      <c r="AX39" s="1324"/>
      <c r="AY39" s="1324"/>
      <c r="AZ39" s="1324"/>
      <c r="BA39" s="1533" t="s">
        <v>116</v>
      </c>
      <c r="BB39" s="1533" t="s">
        <v>116</v>
      </c>
      <c r="BC39" s="1534" t="s">
        <v>1632</v>
      </c>
      <c r="BD39" s="245">
        <v>5</v>
      </c>
    </row>
    <row r="40" spans="1:56" ht="14.1" customHeight="1" x14ac:dyDescent="0.2">
      <c r="A40" s="1511"/>
      <c r="B40" s="1512" t="s">
        <v>155</v>
      </c>
      <c r="C40" s="1512" t="s">
        <v>165</v>
      </c>
      <c r="D40" s="1512" t="s">
        <v>159</v>
      </c>
      <c r="E40" s="1513"/>
      <c r="F40" s="1514">
        <v>250</v>
      </c>
      <c r="G40" s="1515"/>
      <c r="H40" s="1516"/>
      <c r="I40" s="1514"/>
      <c r="J40" s="1515"/>
      <c r="K40" s="1516"/>
      <c r="L40" s="1517" t="s">
        <v>116</v>
      </c>
      <c r="M40" s="1517" t="s">
        <v>116</v>
      </c>
      <c r="N40" s="1689" t="s">
        <v>116</v>
      </c>
      <c r="O40" s="2770"/>
      <c r="P40" s="415" t="b">
        <f t="shared" si="3"/>
        <v>1</v>
      </c>
      <c r="R40" s="245" t="b">
        <f t="shared" si="1"/>
        <v>1</v>
      </c>
      <c r="AO40" s="238" t="str">
        <f t="shared" si="2"/>
        <v>8</v>
      </c>
      <c r="AP40" s="945" t="b">
        <v>0</v>
      </c>
      <c r="AQ40" s="1323" t="s">
        <v>155</v>
      </c>
      <c r="AR40" s="1324" t="s">
        <v>165</v>
      </c>
      <c r="AS40" s="1324" t="s">
        <v>159</v>
      </c>
      <c r="AT40" s="1324"/>
      <c r="AU40" s="1324">
        <v>250</v>
      </c>
      <c r="AV40" s="1324"/>
      <c r="AW40" s="1324"/>
      <c r="AX40" s="1324"/>
      <c r="AY40" s="1324"/>
      <c r="AZ40" s="1324"/>
      <c r="BA40" s="1533" t="s">
        <v>116</v>
      </c>
      <c r="BB40" s="1533" t="s">
        <v>116</v>
      </c>
      <c r="BC40" s="1534" t="s">
        <v>116</v>
      </c>
    </row>
    <row r="41" spans="1:56" ht="14.1" customHeight="1" x14ac:dyDescent="0.2">
      <c r="A41" s="1511"/>
      <c r="B41" s="1512" t="s">
        <v>154</v>
      </c>
      <c r="C41" s="1512" t="s">
        <v>165</v>
      </c>
      <c r="D41" s="1512" t="s">
        <v>145</v>
      </c>
      <c r="E41" s="1513"/>
      <c r="F41" s="1514">
        <v>1500</v>
      </c>
      <c r="G41" s="1515"/>
      <c r="H41" s="1516"/>
      <c r="I41" s="1514"/>
      <c r="J41" s="1515"/>
      <c r="K41" s="1516"/>
      <c r="L41" s="1517" t="s">
        <v>116</v>
      </c>
      <c r="M41" s="1517" t="s">
        <v>116</v>
      </c>
      <c r="N41" s="1689" t="s">
        <v>116</v>
      </c>
      <c r="O41" s="2770"/>
      <c r="P41" s="415" t="b">
        <f t="shared" si="3"/>
        <v>1</v>
      </c>
      <c r="R41" s="245" t="b">
        <f t="shared" si="1"/>
        <v>1</v>
      </c>
      <c r="AO41" s="238" t="str">
        <f t="shared" si="2"/>
        <v>8</v>
      </c>
      <c r="AP41" s="945" t="b">
        <v>0</v>
      </c>
      <c r="AQ41" s="1323" t="s">
        <v>154</v>
      </c>
      <c r="AR41" s="1324" t="s">
        <v>165</v>
      </c>
      <c r="AS41" s="1324" t="s">
        <v>145</v>
      </c>
      <c r="AT41" s="1324"/>
      <c r="AU41" s="1324">
        <v>1500</v>
      </c>
      <c r="AV41" s="1324"/>
      <c r="AW41" s="1324"/>
      <c r="AX41" s="1324"/>
      <c r="AY41" s="1324"/>
      <c r="AZ41" s="1324"/>
      <c r="BA41" s="1533" t="s">
        <v>116</v>
      </c>
      <c r="BB41" s="1533" t="s">
        <v>116</v>
      </c>
      <c r="BC41" s="1534" t="s">
        <v>116</v>
      </c>
    </row>
    <row r="42" spans="1:56" ht="14.1" customHeight="1" x14ac:dyDescent="0.2">
      <c r="A42" s="1511"/>
      <c r="B42" s="1512" t="s">
        <v>157</v>
      </c>
      <c r="C42" s="1512" t="s">
        <v>167</v>
      </c>
      <c r="D42" s="1512" t="s">
        <v>145</v>
      </c>
      <c r="E42" s="1513"/>
      <c r="F42" s="1514">
        <v>55000</v>
      </c>
      <c r="G42" s="1515"/>
      <c r="H42" s="1516"/>
      <c r="I42" s="1514"/>
      <c r="J42" s="1515"/>
      <c r="K42" s="1516"/>
      <c r="L42" s="1517" t="s">
        <v>116</v>
      </c>
      <c r="M42" s="1517" t="s">
        <v>1393</v>
      </c>
      <c r="N42" s="1689" t="s">
        <v>1633</v>
      </c>
      <c r="O42" s="2770"/>
      <c r="P42" s="415" t="b">
        <f t="shared" si="3"/>
        <v>1</v>
      </c>
      <c r="R42" s="245" t="b">
        <f t="shared" si="1"/>
        <v>1</v>
      </c>
      <c r="AO42" s="238" t="str">
        <f t="shared" si="2"/>
        <v>8</v>
      </c>
      <c r="AP42" s="945" t="b">
        <v>0</v>
      </c>
      <c r="AQ42" s="1323" t="s">
        <v>157</v>
      </c>
      <c r="AR42" s="1324" t="s">
        <v>167</v>
      </c>
      <c r="AS42" s="1324" t="s">
        <v>145</v>
      </c>
      <c r="AT42" s="1324"/>
      <c r="AU42" s="1324">
        <v>55000</v>
      </c>
      <c r="AV42" s="1324"/>
      <c r="AW42" s="1324"/>
      <c r="AX42" s="1324"/>
      <c r="AY42" s="1324"/>
      <c r="AZ42" s="1324"/>
      <c r="BA42" s="1533" t="s">
        <v>116</v>
      </c>
      <c r="BB42" s="1533" t="s">
        <v>116</v>
      </c>
      <c r="BC42" s="1534" t="s">
        <v>1633</v>
      </c>
    </row>
    <row r="43" spans="1:56" ht="14.1" customHeight="1" x14ac:dyDescent="0.2">
      <c r="A43" s="1511"/>
      <c r="B43" s="1512" t="s">
        <v>157</v>
      </c>
      <c r="C43" s="1512" t="s">
        <v>142</v>
      </c>
      <c r="D43" s="1512" t="s">
        <v>145</v>
      </c>
      <c r="E43" s="1513"/>
      <c r="F43" s="1514">
        <v>55000</v>
      </c>
      <c r="G43" s="1515"/>
      <c r="H43" s="1516"/>
      <c r="I43" s="1514"/>
      <c r="J43" s="1515"/>
      <c r="K43" s="1516"/>
      <c r="L43" s="1517" t="s">
        <v>116</v>
      </c>
      <c r="M43" s="1517" t="s">
        <v>1625</v>
      </c>
      <c r="N43" s="1689" t="s">
        <v>116</v>
      </c>
      <c r="O43" s="2770"/>
      <c r="P43" s="415" t="b">
        <f t="shared" si="3"/>
        <v>1</v>
      </c>
      <c r="R43" s="245" t="b">
        <f t="shared" si="1"/>
        <v>1</v>
      </c>
      <c r="AO43" s="238" t="str">
        <f t="shared" si="2"/>
        <v>8</v>
      </c>
      <c r="AP43" s="945" t="b">
        <v>0</v>
      </c>
      <c r="AQ43" s="1323" t="s">
        <v>157</v>
      </c>
      <c r="AR43" s="1324" t="s">
        <v>142</v>
      </c>
      <c r="AS43" s="1324" t="s">
        <v>145</v>
      </c>
      <c r="AT43" s="1324"/>
      <c r="AU43" s="1324">
        <v>55000</v>
      </c>
      <c r="AV43" s="1324"/>
      <c r="AW43" s="1324"/>
      <c r="AX43" s="1324"/>
      <c r="AY43" s="1324"/>
      <c r="AZ43" s="1324"/>
      <c r="BA43" s="1533" t="s">
        <v>116</v>
      </c>
      <c r="BB43" s="1533" t="s">
        <v>1625</v>
      </c>
      <c r="BC43" s="1534" t="s">
        <v>116</v>
      </c>
    </row>
    <row r="44" spans="1:56" ht="14.1" customHeight="1" x14ac:dyDescent="0.2">
      <c r="A44" s="1511" t="s">
        <v>944</v>
      </c>
      <c r="B44" s="1512" t="s">
        <v>155</v>
      </c>
      <c r="C44" s="1512" t="s">
        <v>165</v>
      </c>
      <c r="D44" s="1512" t="s">
        <v>145</v>
      </c>
      <c r="E44" s="1513"/>
      <c r="F44" s="1514">
        <v>250</v>
      </c>
      <c r="G44" s="1515"/>
      <c r="H44" s="1516"/>
      <c r="I44" s="1514"/>
      <c r="J44" s="1515"/>
      <c r="K44" s="1516"/>
      <c r="L44" s="1517" t="s">
        <v>116</v>
      </c>
      <c r="M44" s="1517" t="s">
        <v>116</v>
      </c>
      <c r="N44" s="1689" t="s">
        <v>1632</v>
      </c>
      <c r="O44" s="2770"/>
      <c r="P44" s="415" t="b">
        <f t="shared" si="3"/>
        <v>1</v>
      </c>
      <c r="R44" s="245" t="b">
        <f t="shared" si="1"/>
        <v>1</v>
      </c>
      <c r="AO44" s="238" t="str">
        <f t="shared" si="2"/>
        <v>9</v>
      </c>
      <c r="AP44" s="945" t="b">
        <v>0</v>
      </c>
      <c r="AQ44" s="1323" t="s">
        <v>155</v>
      </c>
      <c r="AR44" s="1324" t="s">
        <v>165</v>
      </c>
      <c r="AS44" s="1324" t="s">
        <v>145</v>
      </c>
      <c r="AT44" s="1324"/>
      <c r="AU44" s="1324">
        <v>250</v>
      </c>
      <c r="AV44" s="1324"/>
      <c r="AW44" s="1324"/>
      <c r="AX44" s="1324"/>
      <c r="AY44" s="1324"/>
      <c r="AZ44" s="1324"/>
      <c r="BA44" s="1533" t="s">
        <v>116</v>
      </c>
      <c r="BB44" s="1533" t="s">
        <v>116</v>
      </c>
      <c r="BC44" s="1534" t="s">
        <v>1632</v>
      </c>
      <c r="BD44" s="245">
        <v>5</v>
      </c>
    </row>
    <row r="45" spans="1:56" ht="14.1" customHeight="1" x14ac:dyDescent="0.2">
      <c r="A45" s="1511"/>
      <c r="B45" s="1512" t="s">
        <v>155</v>
      </c>
      <c r="C45" s="1512" t="s">
        <v>165</v>
      </c>
      <c r="D45" s="1512" t="s">
        <v>159</v>
      </c>
      <c r="E45" s="1513"/>
      <c r="F45" s="1514">
        <v>250</v>
      </c>
      <c r="G45" s="1515"/>
      <c r="H45" s="1516"/>
      <c r="I45" s="1514"/>
      <c r="J45" s="1515"/>
      <c r="K45" s="1516"/>
      <c r="L45" s="1517" t="s">
        <v>116</v>
      </c>
      <c r="M45" s="1517" t="s">
        <v>116</v>
      </c>
      <c r="N45" s="1689" t="s">
        <v>116</v>
      </c>
      <c r="O45" s="2770"/>
      <c r="P45" s="415" t="b">
        <f t="shared" si="3"/>
        <v>1</v>
      </c>
      <c r="R45" s="245" t="b">
        <f t="shared" si="1"/>
        <v>1</v>
      </c>
      <c r="AO45" s="238" t="str">
        <f t="shared" si="2"/>
        <v>9</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1511"/>
      <c r="B46" s="1512" t="s">
        <v>154</v>
      </c>
      <c r="C46" s="1512" t="s">
        <v>165</v>
      </c>
      <c r="D46" s="1512" t="s">
        <v>145</v>
      </c>
      <c r="E46" s="1513"/>
      <c r="F46" s="1514">
        <v>1500</v>
      </c>
      <c r="G46" s="1515"/>
      <c r="H46" s="1516"/>
      <c r="I46" s="1514"/>
      <c r="J46" s="1515"/>
      <c r="K46" s="1516"/>
      <c r="L46" s="1517" t="s">
        <v>116</v>
      </c>
      <c r="M46" s="1517" t="s">
        <v>116</v>
      </c>
      <c r="N46" s="1689" t="s">
        <v>116</v>
      </c>
      <c r="O46" s="2770"/>
      <c r="P46" s="415" t="b">
        <f t="shared" si="3"/>
        <v>1</v>
      </c>
      <c r="R46" s="245" t="b">
        <f t="shared" si="1"/>
        <v>1</v>
      </c>
      <c r="AO46" s="238" t="str">
        <f t="shared" si="2"/>
        <v>9</v>
      </c>
      <c r="AP46" s="945" t="b">
        <v>0</v>
      </c>
      <c r="AQ46" s="1323" t="s">
        <v>154</v>
      </c>
      <c r="AR46" s="1324" t="s">
        <v>165</v>
      </c>
      <c r="AS46" s="1324" t="s">
        <v>145</v>
      </c>
      <c r="AT46" s="1324"/>
      <c r="AU46" s="1324">
        <v>1500</v>
      </c>
      <c r="AV46" s="1324"/>
      <c r="AW46" s="1324"/>
      <c r="AX46" s="1324"/>
      <c r="AY46" s="1324"/>
      <c r="AZ46" s="1324"/>
      <c r="BA46" s="1533" t="s">
        <v>116</v>
      </c>
      <c r="BB46" s="1533" t="s">
        <v>116</v>
      </c>
      <c r="BC46" s="1534" t="s">
        <v>116</v>
      </c>
    </row>
    <row r="47" spans="1:56" ht="14.1" customHeight="1" x14ac:dyDescent="0.2">
      <c r="A47" s="1511"/>
      <c r="B47" s="1512" t="s">
        <v>157</v>
      </c>
      <c r="C47" s="1512" t="s">
        <v>167</v>
      </c>
      <c r="D47" s="1512" t="s">
        <v>145</v>
      </c>
      <c r="E47" s="1513"/>
      <c r="F47" s="1514">
        <v>80000</v>
      </c>
      <c r="G47" s="1515"/>
      <c r="H47" s="1516"/>
      <c r="I47" s="1514"/>
      <c r="J47" s="1515"/>
      <c r="K47" s="1516"/>
      <c r="L47" s="1517" t="s">
        <v>116</v>
      </c>
      <c r="M47" s="1517" t="s">
        <v>1393</v>
      </c>
      <c r="N47" s="1689" t="s">
        <v>1633</v>
      </c>
      <c r="O47" s="2770"/>
      <c r="P47" s="415" t="b">
        <f t="shared" si="3"/>
        <v>1</v>
      </c>
      <c r="R47" s="245" t="b">
        <f t="shared" si="1"/>
        <v>1</v>
      </c>
      <c r="AO47" s="238" t="str">
        <f t="shared" si="2"/>
        <v>9</v>
      </c>
      <c r="AP47" s="945" t="b">
        <v>0</v>
      </c>
      <c r="AQ47" s="1323" t="s">
        <v>157</v>
      </c>
      <c r="AR47" s="1324" t="s">
        <v>167</v>
      </c>
      <c r="AS47" s="1324" t="s">
        <v>145</v>
      </c>
      <c r="AT47" s="1324"/>
      <c r="AU47" s="1324">
        <v>80000</v>
      </c>
      <c r="AV47" s="1324"/>
      <c r="AW47" s="1324"/>
      <c r="AX47" s="1324"/>
      <c r="AY47" s="1324"/>
      <c r="AZ47" s="1324"/>
      <c r="BA47" s="1533" t="s">
        <v>116</v>
      </c>
      <c r="BB47" s="1533" t="s">
        <v>116</v>
      </c>
      <c r="BC47" s="1534" t="s">
        <v>1633</v>
      </c>
    </row>
    <row r="48" spans="1:56" ht="14.1" customHeight="1" x14ac:dyDescent="0.2">
      <c r="A48" s="1511"/>
      <c r="B48" s="1512" t="s">
        <v>157</v>
      </c>
      <c r="C48" s="1512" t="s">
        <v>142</v>
      </c>
      <c r="D48" s="1512" t="s">
        <v>145</v>
      </c>
      <c r="E48" s="1513"/>
      <c r="F48" s="1514">
        <v>80000</v>
      </c>
      <c r="G48" s="1515"/>
      <c r="H48" s="1516"/>
      <c r="I48" s="1514"/>
      <c r="J48" s="1515"/>
      <c r="K48" s="1516"/>
      <c r="L48" s="1517" t="s">
        <v>116</v>
      </c>
      <c r="M48" s="1517" t="s">
        <v>1625</v>
      </c>
      <c r="N48" s="1689" t="s">
        <v>116</v>
      </c>
      <c r="O48" s="2770"/>
      <c r="P48" s="415" t="b">
        <f t="shared" si="3"/>
        <v>1</v>
      </c>
      <c r="R48" s="245" t="b">
        <f t="shared" si="1"/>
        <v>1</v>
      </c>
      <c r="AO48" s="238" t="str">
        <f t="shared" si="2"/>
        <v>9</v>
      </c>
      <c r="AP48" s="945" t="b">
        <v>0</v>
      </c>
      <c r="AQ48" s="1323" t="s">
        <v>157</v>
      </c>
      <c r="AR48" s="1324" t="s">
        <v>142</v>
      </c>
      <c r="AS48" s="1324" t="s">
        <v>145</v>
      </c>
      <c r="AT48" s="1324"/>
      <c r="AU48" s="1324">
        <v>80000</v>
      </c>
      <c r="AV48" s="1324"/>
      <c r="AW48" s="1324"/>
      <c r="AX48" s="1324"/>
      <c r="AY48" s="1324"/>
      <c r="AZ48" s="1324"/>
      <c r="BA48" s="1533" t="s">
        <v>116</v>
      </c>
      <c r="BB48" s="1533" t="s">
        <v>1625</v>
      </c>
      <c r="BC48" s="1534" t="s">
        <v>116</v>
      </c>
    </row>
    <row r="49" spans="1:56" ht="14.1" customHeight="1" x14ac:dyDescent="0.2">
      <c r="A49" s="1511" t="s">
        <v>1634</v>
      </c>
      <c r="B49" s="1512" t="s">
        <v>155</v>
      </c>
      <c r="C49" s="1512" t="s">
        <v>165</v>
      </c>
      <c r="D49" s="1512" t="s">
        <v>145</v>
      </c>
      <c r="E49" s="1513"/>
      <c r="F49" s="1514">
        <v>250</v>
      </c>
      <c r="G49" s="1515"/>
      <c r="H49" s="1516"/>
      <c r="I49" s="1514"/>
      <c r="J49" s="1515"/>
      <c r="K49" s="1516"/>
      <c r="L49" s="1517" t="s">
        <v>116</v>
      </c>
      <c r="M49" s="1517" t="s">
        <v>116</v>
      </c>
      <c r="N49" s="1689" t="s">
        <v>1632</v>
      </c>
      <c r="O49" s="2770"/>
      <c r="P49" s="415" t="b">
        <f t="shared" si="3"/>
        <v>1</v>
      </c>
      <c r="R49" s="245" t="b">
        <f t="shared" si="1"/>
        <v>1</v>
      </c>
      <c r="AO49" s="238" t="str">
        <f t="shared" si="2"/>
        <v>10</v>
      </c>
      <c r="AP49" s="945" t="b">
        <v>0</v>
      </c>
      <c r="AQ49" s="1323" t="s">
        <v>155</v>
      </c>
      <c r="AR49" s="1324" t="s">
        <v>165</v>
      </c>
      <c r="AS49" s="1324" t="s">
        <v>145</v>
      </c>
      <c r="AT49" s="1324"/>
      <c r="AU49" s="1324">
        <v>250</v>
      </c>
      <c r="AV49" s="1324"/>
      <c r="AW49" s="1324"/>
      <c r="AX49" s="1324"/>
      <c r="AY49" s="1324"/>
      <c r="AZ49" s="1324"/>
      <c r="BA49" s="1533" t="s">
        <v>116</v>
      </c>
      <c r="BB49" s="1533" t="s">
        <v>116</v>
      </c>
      <c r="BC49" s="1534" t="s">
        <v>1632</v>
      </c>
      <c r="BD49" s="245">
        <v>4</v>
      </c>
    </row>
    <row r="50" spans="1:56" ht="14.1" customHeight="1" x14ac:dyDescent="0.2">
      <c r="A50" s="1511"/>
      <c r="B50" s="1512" t="s">
        <v>155</v>
      </c>
      <c r="C50" s="1512" t="s">
        <v>165</v>
      </c>
      <c r="D50" s="1512" t="s">
        <v>159</v>
      </c>
      <c r="E50" s="1513"/>
      <c r="F50" s="1514">
        <v>250</v>
      </c>
      <c r="G50" s="1515"/>
      <c r="H50" s="1516"/>
      <c r="I50" s="1514"/>
      <c r="J50" s="1515"/>
      <c r="K50" s="1516"/>
      <c r="L50" s="1517" t="s">
        <v>116</v>
      </c>
      <c r="M50" s="1517" t="s">
        <v>116</v>
      </c>
      <c r="N50" s="1689" t="s">
        <v>116</v>
      </c>
      <c r="O50" s="2770"/>
      <c r="P50" s="415" t="b">
        <f t="shared" si="3"/>
        <v>1</v>
      </c>
      <c r="R50" s="245" t="b">
        <f t="shared" si="1"/>
        <v>1</v>
      </c>
      <c r="AO50" s="238" t="str">
        <f t="shared" si="2"/>
        <v>10</v>
      </c>
      <c r="AP50" s="945" t="b">
        <v>0</v>
      </c>
      <c r="AQ50" s="1323" t="s">
        <v>155</v>
      </c>
      <c r="AR50" s="1324" t="s">
        <v>165</v>
      </c>
      <c r="AS50" s="1324" t="s">
        <v>159</v>
      </c>
      <c r="AT50" s="1324"/>
      <c r="AU50" s="1324">
        <v>250</v>
      </c>
      <c r="AV50" s="1324"/>
      <c r="AW50" s="1324"/>
      <c r="AX50" s="1324"/>
      <c r="AY50" s="1324"/>
      <c r="AZ50" s="1324"/>
      <c r="BA50" s="1533" t="s">
        <v>116</v>
      </c>
      <c r="BB50" s="1533" t="s">
        <v>116</v>
      </c>
      <c r="BC50" s="1534" t="s">
        <v>116</v>
      </c>
    </row>
    <row r="51" spans="1:56" ht="14.1" customHeight="1" x14ac:dyDescent="0.2">
      <c r="A51" s="1511"/>
      <c r="B51" s="1512" t="s">
        <v>154</v>
      </c>
      <c r="C51" s="1512" t="s">
        <v>165</v>
      </c>
      <c r="D51" s="1512" t="s">
        <v>145</v>
      </c>
      <c r="E51" s="1513"/>
      <c r="F51" s="1514">
        <v>1500</v>
      </c>
      <c r="G51" s="1515"/>
      <c r="H51" s="1516"/>
      <c r="I51" s="1514"/>
      <c r="J51" s="1515"/>
      <c r="K51" s="1516"/>
      <c r="L51" s="1517" t="s">
        <v>116</v>
      </c>
      <c r="M51" s="1517" t="s">
        <v>116</v>
      </c>
      <c r="N51" s="1689" t="s">
        <v>116</v>
      </c>
      <c r="O51" s="2770"/>
      <c r="P51" s="415" t="b">
        <f t="shared" si="3"/>
        <v>1</v>
      </c>
      <c r="R51" s="245" t="b">
        <f t="shared" si="1"/>
        <v>1</v>
      </c>
      <c r="AO51" s="238" t="str">
        <f t="shared" si="2"/>
        <v>10</v>
      </c>
      <c r="AP51" s="945" t="b">
        <v>0</v>
      </c>
      <c r="AQ51" s="1323" t="s">
        <v>154</v>
      </c>
      <c r="AR51" s="1324" t="s">
        <v>165</v>
      </c>
      <c r="AS51" s="1324" t="s">
        <v>145</v>
      </c>
      <c r="AT51" s="1324"/>
      <c r="AU51" s="1324">
        <v>1500</v>
      </c>
      <c r="AV51" s="1324"/>
      <c r="AW51" s="1324"/>
      <c r="AX51" s="1324"/>
      <c r="AY51" s="1324"/>
      <c r="AZ51" s="1324"/>
      <c r="BA51" s="1533" t="s">
        <v>116</v>
      </c>
      <c r="BB51" s="1533" t="s">
        <v>116</v>
      </c>
      <c r="BC51" s="1534" t="s">
        <v>116</v>
      </c>
    </row>
    <row r="52" spans="1:56" ht="14.1" customHeight="1" x14ac:dyDescent="0.2">
      <c r="A52" s="1511"/>
      <c r="B52" s="1512" t="s">
        <v>157</v>
      </c>
      <c r="C52" s="1512" t="s">
        <v>167</v>
      </c>
      <c r="D52" s="1512" t="s">
        <v>145</v>
      </c>
      <c r="E52" s="1513"/>
      <c r="F52" s="1514">
        <v>95000</v>
      </c>
      <c r="G52" s="1515"/>
      <c r="H52" s="1516"/>
      <c r="I52" s="1514"/>
      <c r="J52" s="1515"/>
      <c r="K52" s="1516"/>
      <c r="L52" s="1517" t="s">
        <v>116</v>
      </c>
      <c r="M52" s="1517" t="s">
        <v>1393</v>
      </c>
      <c r="N52" s="1689" t="s">
        <v>1633</v>
      </c>
      <c r="O52" s="2770"/>
      <c r="P52" s="415" t="b">
        <f t="shared" si="3"/>
        <v>1</v>
      </c>
      <c r="R52" s="245" t="b">
        <f t="shared" si="1"/>
        <v>1</v>
      </c>
      <c r="AO52" s="238" t="str">
        <f t="shared" si="2"/>
        <v>10</v>
      </c>
      <c r="AP52" s="945" t="b">
        <v>0</v>
      </c>
      <c r="AQ52" s="1323" t="s">
        <v>157</v>
      </c>
      <c r="AR52" s="1324" t="s">
        <v>167</v>
      </c>
      <c r="AS52" s="1324" t="s">
        <v>145</v>
      </c>
      <c r="AT52" s="1324"/>
      <c r="AU52" s="1324">
        <v>95000</v>
      </c>
      <c r="AV52" s="1324"/>
      <c r="AW52" s="1324"/>
      <c r="AX52" s="1324"/>
      <c r="AY52" s="1324"/>
      <c r="AZ52" s="1324"/>
      <c r="BA52" s="1533" t="s">
        <v>116</v>
      </c>
      <c r="BB52" s="1533" t="s">
        <v>116</v>
      </c>
      <c r="BC52" s="1534" t="s">
        <v>1633</v>
      </c>
    </row>
    <row r="53" spans="1:56" ht="14.1" customHeight="1" x14ac:dyDescent="0.2">
      <c r="A53" s="1511"/>
      <c r="B53" s="1512"/>
      <c r="C53" s="1512"/>
      <c r="D53" s="1512"/>
      <c r="E53" s="1513"/>
      <c r="F53" s="1514"/>
      <c r="G53" s="1515"/>
      <c r="H53" s="1516"/>
      <c r="I53" s="1514"/>
      <c r="J53" s="1515"/>
      <c r="K53" s="1516"/>
      <c r="L53" s="1517"/>
      <c r="M53" s="1517"/>
      <c r="N53" s="1689" t="s">
        <v>116</v>
      </c>
      <c r="O53" s="2770"/>
      <c r="P53" s="415" t="b">
        <f t="shared" si="3"/>
        <v>1</v>
      </c>
      <c r="R53" s="245" t="b">
        <f t="shared" si="1"/>
        <v>0</v>
      </c>
      <c r="AO53" s="238" t="str">
        <f t="shared" si="2"/>
        <v>10</v>
      </c>
      <c r="AP53" s="945" t="b">
        <v>0</v>
      </c>
      <c r="AQ53" s="1323"/>
      <c r="AR53" s="1324"/>
      <c r="AS53" s="1324"/>
      <c r="AT53" s="1324"/>
      <c r="AU53" s="1324"/>
      <c r="AV53" s="1324"/>
      <c r="AW53" s="1324"/>
      <c r="AX53" s="1324"/>
      <c r="AY53" s="1324"/>
      <c r="AZ53" s="1324"/>
      <c r="BA53" s="1533"/>
      <c r="BB53" s="1533"/>
      <c r="BC53" s="1534"/>
    </row>
    <row r="54" spans="1:56" ht="14.1" customHeight="1" x14ac:dyDescent="0.2">
      <c r="A54" s="1511"/>
      <c r="B54" s="1512"/>
      <c r="C54" s="1512"/>
      <c r="D54" s="1512"/>
      <c r="E54" s="1513"/>
      <c r="F54" s="1514"/>
      <c r="G54" s="1515"/>
      <c r="H54" s="1516"/>
      <c r="I54" s="1514"/>
      <c r="J54" s="1515"/>
      <c r="K54" s="1516"/>
      <c r="L54" s="1517"/>
      <c r="M54" s="1517"/>
      <c r="N54" s="1689" t="s">
        <v>116</v>
      </c>
      <c r="O54" s="2770"/>
      <c r="P54" s="415" t="b">
        <f t="shared" si="3"/>
        <v>1</v>
      </c>
      <c r="R54" s="245" t="b">
        <f t="shared" si="1"/>
        <v>0</v>
      </c>
      <c r="AO54" s="238" t="str">
        <f t="shared" si="2"/>
        <v>10</v>
      </c>
      <c r="AP54" s="945" t="b">
        <v>0</v>
      </c>
      <c r="AQ54" s="1323"/>
      <c r="AR54" s="1324"/>
      <c r="AS54" s="1324"/>
      <c r="AT54" s="1324"/>
      <c r="AU54" s="1324"/>
      <c r="AV54" s="1324"/>
      <c r="AW54" s="1324"/>
      <c r="AX54" s="1324"/>
      <c r="AY54" s="1324"/>
      <c r="AZ54" s="1324"/>
      <c r="BA54" s="1533"/>
      <c r="BB54" s="1533"/>
      <c r="BC54" s="1534"/>
    </row>
    <row r="55" spans="1:56" ht="14.1" customHeight="1" x14ac:dyDescent="0.2">
      <c r="A55" s="1520"/>
      <c r="B55" s="1521"/>
      <c r="C55" s="1521"/>
      <c r="D55" s="1521"/>
      <c r="E55" s="1522"/>
      <c r="F55" s="1523"/>
      <c r="G55" s="1524"/>
      <c r="H55" s="1525"/>
      <c r="I55" s="1523"/>
      <c r="J55" s="1524"/>
      <c r="K55" s="1525"/>
      <c r="L55" s="1526"/>
      <c r="M55" s="1526"/>
      <c r="N55" s="1690"/>
      <c r="O55" s="2770"/>
      <c r="P55" s="415" t="b">
        <f t="shared" si="3"/>
        <v>1</v>
      </c>
      <c r="R55" s="245" t="b">
        <f t="shared" si="1"/>
        <v>0</v>
      </c>
      <c r="AO55" s="238" t="str">
        <f t="shared" si="2"/>
        <v>10</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28</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1836</v>
      </c>
    </row>
    <row r="62" spans="1:56" ht="15.95" hidden="1" customHeight="1" x14ac:dyDescent="0.2"/>
    <row r="63" spans="1:56" hidden="1" x14ac:dyDescent="0.2"/>
    <row r="64" spans="1:56" hidden="1" x14ac:dyDescent="0.2"/>
    <row r="65" spans="1:1" x14ac:dyDescent="0.2">
      <c r="A65" s="633" t="s">
        <v>1020</v>
      </c>
    </row>
  </sheetData>
  <sheetProtection algorithmName="SHA-512" hashValue="Q62FMhTJpbjSx8PAc7uA+x3XrFvWcLmUb8I5c2IhfmvxBq7GBHSUYDJNQ9O6VWl21EZ8OEs/MwOfC1k2HmRaPw==" saltValue="GSui9SGaMR68Sms0OWiVLg=="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67" priority="4" stopIfTrue="1">
      <formula>AND($B14="NU",F14&lt;0)</formula>
    </cfRule>
  </conditionalFormatting>
  <conditionalFormatting sqref="B14:B55">
    <cfRule type="expression" dxfId="866" priority="5" stopIfTrue="1">
      <formula>OR(AND($B14="NU",F14&lt;0),AND($B14="NU",I14&lt;0))</formula>
    </cfRule>
  </conditionalFormatting>
  <conditionalFormatting sqref="G14:H55 J14:L55">
    <cfRule type="expression" dxfId="865" priority="6" stopIfTrue="1">
      <formula>$R14</formula>
    </cfRule>
  </conditionalFormatting>
  <conditionalFormatting sqref="I2:K4">
    <cfRule type="cellIs" dxfId="864" priority="7" stopIfTrue="1" operator="equal">
      <formula>""</formula>
    </cfRule>
  </conditionalFormatting>
  <conditionalFormatting sqref="I14:I55">
    <cfRule type="expression" dxfId="863" priority="8" stopIfTrue="1">
      <formula>OR($R14,$B14="CZ",AND($B14="NU",I14&lt;0))</formula>
    </cfRule>
  </conditionalFormatting>
  <conditionalFormatting sqref="A14:A55">
    <cfRule type="expression" dxfId="862" priority="3">
      <formula>NOT($P14)</formula>
    </cfRule>
  </conditionalFormatting>
  <conditionalFormatting sqref="B14:D55">
    <cfRule type="expression" dxfId="86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60" priority="9">
      <formula>AND(NOT($P14),$T$1)</formula>
    </cfRule>
    <cfRule type="expression" dxfId="859" priority="10">
      <formula>AND($AP14,$S$1="M")</formula>
    </cfRule>
  </conditionalFormatting>
  <conditionalFormatting sqref="L14:L55">
    <cfRule type="expression" dxfId="85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3B084FF-6B88-4D99-9409-B9C24258442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725CB0F-EAB2-4FFE-A54E-22FD25B286E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EF803BE-0520-45AA-B51B-4CB6FFC9A27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3D771C-9092-4A7C-823B-B50B3A09B5DF}">
      <formula1>IF($CA$14,$CA$16:$CA$21,$CB$16:$CB$19)</formula1>
    </dataValidation>
    <dataValidation type="list" allowBlank="1" showErrorMessage="1" errorTitle="Invalid Type" error="You MUST select a Type from the dropdown list provided._x000a__x000a_Also, make sure your Cap Lock is turned on." sqref="B14:B55" xr:uid="{2CCD065F-3D2B-4CDF-9F23-304B0C654B1A}">
      <formula1>$BF$15:$BU$15</formula1>
    </dataValidation>
    <dataValidation allowBlank="1" showInputMessage="1" errorTitle="Invalid Load Case" error="You MUST use a Load Case from the list provided." sqref="M14:M55" xr:uid="{066D6A76-8CC8-431C-91BF-B14EC0F1CEB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F5825-191C-4A24-A0D5-DE7599FD90DF}">
  <sheetPr codeName="Sheet29">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c r="BE4" s="1041" t="s">
        <v>1652</v>
      </c>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4 of 28</v>
      </c>
      <c r="O7" s="1008"/>
      <c r="P7" s="238">
        <v>4</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c r="BE9" s="1041" t="s">
        <v>808</v>
      </c>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t="s">
        <v>1639</v>
      </c>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504" t="s">
        <v>1634</v>
      </c>
      <c r="B14" s="1505" t="s">
        <v>157</v>
      </c>
      <c r="C14" s="1505" t="s">
        <v>142</v>
      </c>
      <c r="D14" s="1505" t="s">
        <v>145</v>
      </c>
      <c r="E14" s="1688"/>
      <c r="F14" s="1506">
        <v>95000</v>
      </c>
      <c r="G14" s="1507"/>
      <c r="H14" s="1508"/>
      <c r="I14" s="1506"/>
      <c r="J14" s="1507"/>
      <c r="K14" s="1508"/>
      <c r="L14" s="1509" t="s">
        <v>116</v>
      </c>
      <c r="M14" s="1510" t="s">
        <v>1625</v>
      </c>
      <c r="N14" s="1691" t="s">
        <v>116</v>
      </c>
      <c r="O14" s="2770"/>
      <c r="P14" s="415" t="b">
        <f t="shared" ref="P14:P16" si="0">IF(ISERROR(VLOOKUP(AO14,BE:BE,1,FALSE)),FALSE,IF(AO14&lt;&gt;"",VLOOKUP(AO14,BE:BE,1,FALSE)=AO14))</f>
        <v>1</v>
      </c>
      <c r="R14" s="245" t="b">
        <f>OR(B14="CP",B14="CA", B14="AX",B14="M",B14="S")</f>
        <v>1</v>
      </c>
      <c r="AO14" s="238" t="str">
        <f>IF(ISBLANK(A14),"",SUBSTITUTE(A14,"*",""))</f>
        <v>10</v>
      </c>
      <c r="AP14" s="945" t="b">
        <v>0</v>
      </c>
      <c r="AQ14" s="1323" t="s">
        <v>157</v>
      </c>
      <c r="AR14" s="1324" t="s">
        <v>142</v>
      </c>
      <c r="AS14" s="1324" t="s">
        <v>145</v>
      </c>
      <c r="AT14" s="1324"/>
      <c r="AU14" s="1324">
        <v>95000</v>
      </c>
      <c r="AV14" s="1324"/>
      <c r="AW14" s="1324"/>
      <c r="AX14" s="1324"/>
      <c r="AY14" s="1324"/>
      <c r="AZ14" s="1324"/>
      <c r="BA14" s="1533" t="s">
        <v>116</v>
      </c>
      <c r="BB14" s="1533" t="s">
        <v>1625</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t="s">
        <v>1635</v>
      </c>
      <c r="B15" s="1512" t="s">
        <v>155</v>
      </c>
      <c r="C15" s="1512" t="s">
        <v>165</v>
      </c>
      <c r="D15" s="1512" t="s">
        <v>145</v>
      </c>
      <c r="E15" s="1513"/>
      <c r="F15" s="1514">
        <v>250</v>
      </c>
      <c r="G15" s="1515"/>
      <c r="H15" s="1516"/>
      <c r="I15" s="1514"/>
      <c r="J15" s="1515"/>
      <c r="K15" s="1516"/>
      <c r="L15" s="1517" t="s">
        <v>116</v>
      </c>
      <c r="M15" s="1518" t="s">
        <v>116</v>
      </c>
      <c r="N15" s="1689" t="s">
        <v>1632</v>
      </c>
      <c r="O15" s="2770"/>
      <c r="P15" s="415" t="b">
        <f t="shared" si="0"/>
        <v>1</v>
      </c>
      <c r="R15" s="245" t="b">
        <f t="shared" ref="R15:R55" si="1">OR(B15="CP",B15="CA", B15="AX",B15="M",B15="S")</f>
        <v>1</v>
      </c>
      <c r="AO15" s="238" t="str">
        <f t="shared" ref="AO15:AO55" si="2">IF(ISBLANK(A15),AO14,SUBSTITUTE(A15,"*",""))</f>
        <v>11</v>
      </c>
      <c r="AP15" s="945" t="b">
        <v>0</v>
      </c>
      <c r="AQ15" s="1323" t="s">
        <v>155</v>
      </c>
      <c r="AR15" s="1324" t="s">
        <v>165</v>
      </c>
      <c r="AS15" s="1324" t="s">
        <v>145</v>
      </c>
      <c r="AT15" s="1324"/>
      <c r="AU15" s="1324">
        <v>250</v>
      </c>
      <c r="AV15" s="1324"/>
      <c r="AW15" s="1324"/>
      <c r="AX15" s="1324"/>
      <c r="AY15" s="1324"/>
      <c r="AZ15" s="1324"/>
      <c r="BA15" s="1533" t="s">
        <v>116</v>
      </c>
      <c r="BB15" s="1533" t="s">
        <v>116</v>
      </c>
      <c r="BC15" s="1534" t="s">
        <v>1632</v>
      </c>
      <c r="BD15" s="245">
        <v>5</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155</v>
      </c>
      <c r="C16" s="1512" t="s">
        <v>165</v>
      </c>
      <c r="D16" s="1512" t="s">
        <v>159</v>
      </c>
      <c r="E16" s="1513"/>
      <c r="F16" s="1514">
        <v>250</v>
      </c>
      <c r="G16" s="1515"/>
      <c r="H16" s="1516"/>
      <c r="I16" s="1514"/>
      <c r="J16" s="1515"/>
      <c r="K16" s="1516"/>
      <c r="L16" s="1517" t="s">
        <v>116</v>
      </c>
      <c r="M16" s="1518" t="s">
        <v>116</v>
      </c>
      <c r="N16" s="1689" t="s">
        <v>116</v>
      </c>
      <c r="O16" s="2770"/>
      <c r="P16" s="415" t="b">
        <f t="shared" si="0"/>
        <v>1</v>
      </c>
      <c r="R16" s="245" t="b">
        <f t="shared" si="1"/>
        <v>1</v>
      </c>
      <c r="AO16" s="238" t="str">
        <f t="shared" si="2"/>
        <v>11</v>
      </c>
      <c r="AP16" s="945" t="b">
        <v>0</v>
      </c>
      <c r="AQ16" s="1323" t="s">
        <v>155</v>
      </c>
      <c r="AR16" s="1324" t="s">
        <v>165</v>
      </c>
      <c r="AS16" s="1324" t="s">
        <v>159</v>
      </c>
      <c r="AT16" s="1324"/>
      <c r="AU16" s="1324">
        <v>250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154</v>
      </c>
      <c r="C17" s="1512" t="s">
        <v>165</v>
      </c>
      <c r="D17" s="1512" t="s">
        <v>145</v>
      </c>
      <c r="E17" s="1513"/>
      <c r="F17" s="1514">
        <v>1500</v>
      </c>
      <c r="G17" s="1515"/>
      <c r="H17" s="1516"/>
      <c r="I17" s="1514"/>
      <c r="J17" s="1515"/>
      <c r="K17" s="1516"/>
      <c r="L17" s="1517" t="s">
        <v>116</v>
      </c>
      <c r="M17" s="1518" t="s">
        <v>116</v>
      </c>
      <c r="N17" s="1689" t="s">
        <v>116</v>
      </c>
      <c r="O17" s="2770"/>
      <c r="P17" s="415" t="b">
        <f>IF(ISERROR(VLOOKUP(AO17,BE:BE,1,FALSE)),FALSE,IF(AO17&lt;&gt;"",VLOOKUP(AO17,BE:BE,1,FALSE)=AO17))</f>
        <v>1</v>
      </c>
      <c r="R17" s="245" t="b">
        <f t="shared" si="1"/>
        <v>1</v>
      </c>
      <c r="AO17" s="238" t="str">
        <f t="shared" si="2"/>
        <v>11</v>
      </c>
      <c r="AP17" s="945" t="b">
        <v>0</v>
      </c>
      <c r="AQ17" s="1323" t="s">
        <v>154</v>
      </c>
      <c r="AR17" s="1324" t="s">
        <v>165</v>
      </c>
      <c r="AS17" s="1324" t="s">
        <v>145</v>
      </c>
      <c r="AT17" s="1324"/>
      <c r="AU17" s="1324">
        <v>1500</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157</v>
      </c>
      <c r="C18" s="1512" t="s">
        <v>167</v>
      </c>
      <c r="D18" s="1512" t="s">
        <v>145</v>
      </c>
      <c r="E18" s="1513"/>
      <c r="F18" s="1514">
        <v>60000</v>
      </c>
      <c r="G18" s="1515"/>
      <c r="H18" s="1516"/>
      <c r="I18" s="1514"/>
      <c r="J18" s="1515"/>
      <c r="K18" s="1516"/>
      <c r="L18" s="1517" t="s">
        <v>116</v>
      </c>
      <c r="M18" s="1518" t="s">
        <v>1393</v>
      </c>
      <c r="N18" s="1689" t="s">
        <v>1636</v>
      </c>
      <c r="O18" s="2770"/>
      <c r="P18" s="415" t="b">
        <f t="shared" ref="P18:P55" si="3">IF(ISERROR(VLOOKUP(AO18,BE:BE,1,FALSE)),FALSE,IF(AO18&lt;&gt;"",VLOOKUP(AO18,BE:BE,1,FALSE)=AO18))</f>
        <v>1</v>
      </c>
      <c r="R18" s="245" t="b">
        <f t="shared" si="1"/>
        <v>1</v>
      </c>
      <c r="AO18" s="238" t="str">
        <f t="shared" si="2"/>
        <v>11</v>
      </c>
      <c r="AP18" s="945" t="b">
        <v>0</v>
      </c>
      <c r="AQ18" s="1323" t="s">
        <v>157</v>
      </c>
      <c r="AR18" s="1324" t="s">
        <v>167</v>
      </c>
      <c r="AS18" s="1324" t="s">
        <v>145</v>
      </c>
      <c r="AT18" s="1324"/>
      <c r="AU18" s="1324">
        <v>60000</v>
      </c>
      <c r="AV18" s="1324"/>
      <c r="AW18" s="1324"/>
      <c r="AX18" s="1324"/>
      <c r="AY18" s="1324"/>
      <c r="AZ18" s="1324"/>
      <c r="BA18" s="1533" t="s">
        <v>116</v>
      </c>
      <c r="BB18" s="1533" t="s">
        <v>116</v>
      </c>
      <c r="BC18" s="1534" t="s">
        <v>1636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157</v>
      </c>
      <c r="C19" s="1512" t="s">
        <v>142</v>
      </c>
      <c r="D19" s="1512" t="s">
        <v>145</v>
      </c>
      <c r="E19" s="1513"/>
      <c r="F19" s="1514">
        <v>60000</v>
      </c>
      <c r="G19" s="1515"/>
      <c r="H19" s="1516"/>
      <c r="I19" s="1514"/>
      <c r="J19" s="1515"/>
      <c r="K19" s="1516"/>
      <c r="L19" s="1517" t="s">
        <v>116</v>
      </c>
      <c r="M19" s="1518" t="s">
        <v>1625</v>
      </c>
      <c r="N19" s="1689" t="s">
        <v>116</v>
      </c>
      <c r="O19" s="2770"/>
      <c r="P19" s="415" t="b">
        <f t="shared" si="3"/>
        <v>1</v>
      </c>
      <c r="R19" s="245" t="b">
        <f t="shared" si="1"/>
        <v>1</v>
      </c>
      <c r="AO19" s="238" t="str">
        <f t="shared" si="2"/>
        <v>11</v>
      </c>
      <c r="AP19" s="945" t="b">
        <v>0</v>
      </c>
      <c r="AQ19" s="1323" t="s">
        <v>157</v>
      </c>
      <c r="AR19" s="1324" t="s">
        <v>142</v>
      </c>
      <c r="AS19" s="1324" t="s">
        <v>145</v>
      </c>
      <c r="AT19" s="1324"/>
      <c r="AU19" s="1324">
        <v>60000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t="s">
        <v>1637</v>
      </c>
      <c r="B20" s="1512" t="s">
        <v>155</v>
      </c>
      <c r="C20" s="1512" t="s">
        <v>165</v>
      </c>
      <c r="D20" s="1512" t="s">
        <v>145</v>
      </c>
      <c r="E20" s="1513"/>
      <c r="F20" s="1514">
        <v>250</v>
      </c>
      <c r="G20" s="1515"/>
      <c r="H20" s="1516"/>
      <c r="I20" s="1514"/>
      <c r="J20" s="1515"/>
      <c r="K20" s="1516"/>
      <c r="L20" s="1517" t="s">
        <v>116</v>
      </c>
      <c r="M20" s="1518" t="s">
        <v>116</v>
      </c>
      <c r="N20" s="1519" t="s">
        <v>1632</v>
      </c>
      <c r="O20" s="2771"/>
      <c r="P20" s="415" t="b">
        <f t="shared" si="3"/>
        <v>1</v>
      </c>
      <c r="R20" s="245" t="b">
        <f t="shared" si="1"/>
        <v>1</v>
      </c>
      <c r="AO20" s="238" t="str">
        <f t="shared" si="2"/>
        <v>12</v>
      </c>
      <c r="AP20" s="945" t="b">
        <v>0</v>
      </c>
      <c r="AQ20" s="1323" t="s">
        <v>155</v>
      </c>
      <c r="AR20" s="1324" t="s">
        <v>165</v>
      </c>
      <c r="AS20" s="1324" t="s">
        <v>145</v>
      </c>
      <c r="AT20" s="1324"/>
      <c r="AU20" s="1324">
        <v>250</v>
      </c>
      <c r="AV20" s="1324"/>
      <c r="AW20" s="1324"/>
      <c r="AX20" s="1324"/>
      <c r="AY20" s="1324"/>
      <c r="AZ20" s="1324"/>
      <c r="BA20" s="1533" t="s">
        <v>116</v>
      </c>
      <c r="BB20" s="1533" t="s">
        <v>116</v>
      </c>
      <c r="BC20" s="1534" t="s">
        <v>1632</v>
      </c>
      <c r="BD20" s="245">
        <v>5</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155</v>
      </c>
      <c r="C21" s="1512" t="s">
        <v>165</v>
      </c>
      <c r="D21" s="1512" t="s">
        <v>159</v>
      </c>
      <c r="E21" s="1513"/>
      <c r="F21" s="1514">
        <v>250</v>
      </c>
      <c r="G21" s="1515"/>
      <c r="H21" s="1516"/>
      <c r="I21" s="1514"/>
      <c r="J21" s="1515"/>
      <c r="K21" s="1516"/>
      <c r="L21" s="1517" t="s">
        <v>116</v>
      </c>
      <c r="M21" s="1518" t="s">
        <v>116</v>
      </c>
      <c r="N21" s="1519" t="s">
        <v>116</v>
      </c>
      <c r="O21" s="2771"/>
      <c r="P21" s="415" t="b">
        <f t="shared" si="3"/>
        <v>1</v>
      </c>
      <c r="R21" s="245" t="b">
        <f t="shared" si="1"/>
        <v>1</v>
      </c>
      <c r="AO21" s="238" t="str">
        <f t="shared" si="2"/>
        <v>12</v>
      </c>
      <c r="AP21" s="945" t="b">
        <v>0</v>
      </c>
      <c r="AQ21" s="1323" t="s">
        <v>155</v>
      </c>
      <c r="AR21" s="1324" t="s">
        <v>165</v>
      </c>
      <c r="AS21" s="1324" t="s">
        <v>159</v>
      </c>
      <c r="AT21" s="1324"/>
      <c r="AU21" s="1324">
        <v>250</v>
      </c>
      <c r="AV21" s="1324"/>
      <c r="AW21" s="1324"/>
      <c r="AX21" s="1324"/>
      <c r="AY21" s="1324"/>
      <c r="AZ21" s="1324"/>
      <c r="BA21" s="1533" t="s">
        <v>116</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1500</v>
      </c>
      <c r="G22" s="1515"/>
      <c r="H22" s="1516"/>
      <c r="I22" s="1514"/>
      <c r="J22" s="1515"/>
      <c r="K22" s="1516"/>
      <c r="L22" s="1517" t="s">
        <v>116</v>
      </c>
      <c r="M22" s="1518" t="s">
        <v>116</v>
      </c>
      <c r="N22" s="1519" t="s">
        <v>116</v>
      </c>
      <c r="O22" s="2771"/>
      <c r="P22" s="415" t="b">
        <f t="shared" si="3"/>
        <v>1</v>
      </c>
      <c r="R22" s="245" t="b">
        <f t="shared" si="1"/>
        <v>1</v>
      </c>
      <c r="AO22" s="238" t="str">
        <f t="shared" si="2"/>
        <v>12</v>
      </c>
      <c r="AP22" s="945" t="b">
        <v>0</v>
      </c>
      <c r="AQ22" s="1323" t="s">
        <v>154</v>
      </c>
      <c r="AR22" s="1324" t="s">
        <v>165</v>
      </c>
      <c r="AS22" s="1324" t="s">
        <v>145</v>
      </c>
      <c r="AT22" s="1324"/>
      <c r="AU22" s="1324">
        <v>1500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157</v>
      </c>
      <c r="C23" s="1512" t="s">
        <v>167</v>
      </c>
      <c r="D23" s="1512" t="s">
        <v>145</v>
      </c>
      <c r="E23" s="1513"/>
      <c r="F23" s="1514">
        <v>65000</v>
      </c>
      <c r="G23" s="1515"/>
      <c r="H23" s="1516"/>
      <c r="I23" s="1514"/>
      <c r="J23" s="1515"/>
      <c r="K23" s="1516"/>
      <c r="L23" s="1517" t="s">
        <v>116</v>
      </c>
      <c r="M23" s="1518" t="s">
        <v>1393</v>
      </c>
      <c r="N23" s="1519" t="s">
        <v>1636</v>
      </c>
      <c r="O23" s="2771"/>
      <c r="P23" s="415" t="b">
        <f t="shared" si="3"/>
        <v>1</v>
      </c>
      <c r="R23" s="245" t="b">
        <f t="shared" si="1"/>
        <v>1</v>
      </c>
      <c r="AO23" s="238" t="str">
        <f t="shared" si="2"/>
        <v>12</v>
      </c>
      <c r="AP23" s="945" t="b">
        <v>0</v>
      </c>
      <c r="AQ23" s="1323" t="s">
        <v>157</v>
      </c>
      <c r="AR23" s="1324" t="s">
        <v>167</v>
      </c>
      <c r="AS23" s="1324" t="s">
        <v>145</v>
      </c>
      <c r="AT23" s="1324"/>
      <c r="AU23" s="1324">
        <v>65000</v>
      </c>
      <c r="AV23" s="1324"/>
      <c r="AW23" s="1324"/>
      <c r="AX23" s="1324"/>
      <c r="AY23" s="1324"/>
      <c r="AZ23" s="1324"/>
      <c r="BA23" s="1533" t="s">
        <v>116</v>
      </c>
      <c r="BB23" s="1533" t="s">
        <v>116</v>
      </c>
      <c r="BC23" s="1534" t="s">
        <v>1636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157</v>
      </c>
      <c r="C24" s="1512" t="s">
        <v>142</v>
      </c>
      <c r="D24" s="1512" t="s">
        <v>145</v>
      </c>
      <c r="E24" s="1513"/>
      <c r="F24" s="1514">
        <v>65000</v>
      </c>
      <c r="G24" s="1515"/>
      <c r="H24" s="1516"/>
      <c r="I24" s="1514"/>
      <c r="J24" s="1515"/>
      <c r="K24" s="1516"/>
      <c r="L24" s="1517" t="s">
        <v>116</v>
      </c>
      <c r="M24" s="1518" t="s">
        <v>1625</v>
      </c>
      <c r="N24" s="1519" t="s">
        <v>116</v>
      </c>
      <c r="O24" s="2771"/>
      <c r="P24" s="415" t="b">
        <f t="shared" si="3"/>
        <v>1</v>
      </c>
      <c r="R24" s="245" t="b">
        <f t="shared" si="1"/>
        <v>1</v>
      </c>
      <c r="AO24" s="238" t="str">
        <f t="shared" si="2"/>
        <v>12</v>
      </c>
      <c r="AP24" s="945" t="b">
        <v>0</v>
      </c>
      <c r="AQ24" s="1323" t="s">
        <v>157</v>
      </c>
      <c r="AR24" s="1324" t="s">
        <v>142</v>
      </c>
      <c r="AS24" s="1324" t="s">
        <v>145</v>
      </c>
      <c r="AT24" s="1324"/>
      <c r="AU24" s="1324">
        <v>65000</v>
      </c>
      <c r="AV24" s="1324"/>
      <c r="AW24" s="1324"/>
      <c r="AX24" s="1324"/>
      <c r="AY24" s="1324"/>
      <c r="AZ24" s="1324"/>
      <c r="BA24" s="1533" t="s">
        <v>116</v>
      </c>
      <c r="BB24" s="1533" t="s">
        <v>1625</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t="s">
        <v>1638</v>
      </c>
      <c r="B25" s="1512" t="s">
        <v>155</v>
      </c>
      <c r="C25" s="1512" t="s">
        <v>165</v>
      </c>
      <c r="D25" s="1512" t="s">
        <v>145</v>
      </c>
      <c r="E25" s="1513"/>
      <c r="F25" s="1514">
        <v>250</v>
      </c>
      <c r="G25" s="1515"/>
      <c r="H25" s="1516"/>
      <c r="I25" s="1514"/>
      <c r="J25" s="1515"/>
      <c r="K25" s="1516"/>
      <c r="L25" s="1517" t="s">
        <v>116</v>
      </c>
      <c r="M25" s="1518" t="s">
        <v>116</v>
      </c>
      <c r="N25" s="1519" t="s">
        <v>1632</v>
      </c>
      <c r="O25" s="2771"/>
      <c r="P25" s="415" t="b">
        <f t="shared" si="3"/>
        <v>1</v>
      </c>
      <c r="R25" s="245" t="b">
        <f t="shared" si="1"/>
        <v>1</v>
      </c>
      <c r="AO25" s="238" t="str">
        <f t="shared" si="2"/>
        <v>13</v>
      </c>
      <c r="AP25" s="945" t="b">
        <v>0</v>
      </c>
      <c r="AQ25" s="1323" t="s">
        <v>155</v>
      </c>
      <c r="AR25" s="1324" t="s">
        <v>165</v>
      </c>
      <c r="AS25" s="1324" t="s">
        <v>145</v>
      </c>
      <c r="AT25" s="1324"/>
      <c r="AU25" s="1324">
        <v>250</v>
      </c>
      <c r="AV25" s="1324"/>
      <c r="AW25" s="1324"/>
      <c r="AX25" s="1324"/>
      <c r="AY25" s="1324"/>
      <c r="AZ25" s="1324"/>
      <c r="BA25" s="1533" t="s">
        <v>116</v>
      </c>
      <c r="BB25" s="1533" t="s">
        <v>116</v>
      </c>
      <c r="BC25" s="1534" t="s">
        <v>1632</v>
      </c>
      <c r="BD25" s="245">
        <v>5</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155</v>
      </c>
      <c r="C26" s="1512" t="s">
        <v>165</v>
      </c>
      <c r="D26" s="1512" t="s">
        <v>159</v>
      </c>
      <c r="E26" s="1513"/>
      <c r="F26" s="1514">
        <v>250</v>
      </c>
      <c r="G26" s="1515"/>
      <c r="H26" s="1516"/>
      <c r="I26" s="1514"/>
      <c r="J26" s="1515"/>
      <c r="K26" s="1516"/>
      <c r="L26" s="1517" t="s">
        <v>116</v>
      </c>
      <c r="M26" s="1518" t="s">
        <v>116</v>
      </c>
      <c r="N26" s="1519" t="s">
        <v>116</v>
      </c>
      <c r="O26" s="2771"/>
      <c r="P26" s="415" t="b">
        <f t="shared" si="3"/>
        <v>1</v>
      </c>
      <c r="R26" s="245" t="b">
        <f t="shared" si="1"/>
        <v>1</v>
      </c>
      <c r="AO26" s="238" t="str">
        <f t="shared" si="2"/>
        <v>13</v>
      </c>
      <c r="AP26" s="945" t="b">
        <v>0</v>
      </c>
      <c r="AQ26" s="1323" t="s">
        <v>155</v>
      </c>
      <c r="AR26" s="1324" t="s">
        <v>165</v>
      </c>
      <c r="AS26" s="1324" t="s">
        <v>159</v>
      </c>
      <c r="AT26" s="1324"/>
      <c r="AU26" s="1324">
        <v>250</v>
      </c>
      <c r="AV26" s="1324"/>
      <c r="AW26" s="1324"/>
      <c r="AX26" s="1324"/>
      <c r="AY26" s="1324"/>
      <c r="AZ26" s="1324"/>
      <c r="BA26" s="1533" t="s">
        <v>116</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154</v>
      </c>
      <c r="C27" s="1512" t="s">
        <v>165</v>
      </c>
      <c r="D27" s="1512" t="s">
        <v>145</v>
      </c>
      <c r="E27" s="1513"/>
      <c r="F27" s="1514">
        <v>1500</v>
      </c>
      <c r="G27" s="1515"/>
      <c r="H27" s="1516"/>
      <c r="I27" s="1514"/>
      <c r="J27" s="1515"/>
      <c r="K27" s="1516"/>
      <c r="L27" s="1517" t="s">
        <v>116</v>
      </c>
      <c r="M27" s="1518" t="s">
        <v>116</v>
      </c>
      <c r="N27" s="1519" t="s">
        <v>116</v>
      </c>
      <c r="O27" s="2771"/>
      <c r="P27" s="415" t="b">
        <f t="shared" si="3"/>
        <v>1</v>
      </c>
      <c r="R27" s="245" t="b">
        <f t="shared" si="1"/>
        <v>1</v>
      </c>
      <c r="AO27" s="238" t="str">
        <f t="shared" si="2"/>
        <v>13</v>
      </c>
      <c r="AP27" s="945" t="b">
        <v>0</v>
      </c>
      <c r="AQ27" s="1323" t="s">
        <v>154</v>
      </c>
      <c r="AR27" s="1324" t="s">
        <v>165</v>
      </c>
      <c r="AS27" s="1324" t="s">
        <v>145</v>
      </c>
      <c r="AT27" s="1324"/>
      <c r="AU27" s="1324">
        <v>1500</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157</v>
      </c>
      <c r="C28" s="1512" t="s">
        <v>167</v>
      </c>
      <c r="D28" s="1512" t="s">
        <v>145</v>
      </c>
      <c r="E28" s="1513"/>
      <c r="F28" s="1514">
        <v>90000</v>
      </c>
      <c r="G28" s="1515"/>
      <c r="H28" s="1516"/>
      <c r="I28" s="1514"/>
      <c r="J28" s="1515"/>
      <c r="K28" s="1516"/>
      <c r="L28" s="1517" t="s">
        <v>116</v>
      </c>
      <c r="M28" s="1518" t="s">
        <v>1393</v>
      </c>
      <c r="N28" s="1689" t="s">
        <v>1636</v>
      </c>
      <c r="O28" s="2770"/>
      <c r="P28" s="415" t="b">
        <f t="shared" si="3"/>
        <v>1</v>
      </c>
      <c r="R28" s="245" t="b">
        <f t="shared" si="1"/>
        <v>1</v>
      </c>
      <c r="AO28" s="238" t="str">
        <f t="shared" si="2"/>
        <v>13</v>
      </c>
      <c r="AP28" s="945" t="b">
        <v>0</v>
      </c>
      <c r="AQ28" s="1323" t="s">
        <v>157</v>
      </c>
      <c r="AR28" s="1324" t="s">
        <v>167</v>
      </c>
      <c r="AS28" s="1324" t="s">
        <v>145</v>
      </c>
      <c r="AT28" s="1324"/>
      <c r="AU28" s="1324">
        <v>90000</v>
      </c>
      <c r="AV28" s="1324"/>
      <c r="AW28" s="1324"/>
      <c r="AX28" s="1324"/>
      <c r="AY28" s="1324"/>
      <c r="AZ28" s="1324"/>
      <c r="BA28" s="1533" t="s">
        <v>116</v>
      </c>
      <c r="BB28" s="1533" t="s">
        <v>116</v>
      </c>
      <c r="BC28" s="1534" t="s">
        <v>1636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157</v>
      </c>
      <c r="C29" s="1512" t="s">
        <v>142</v>
      </c>
      <c r="D29" s="1512" t="s">
        <v>145</v>
      </c>
      <c r="E29" s="1513"/>
      <c r="F29" s="1514">
        <v>90000</v>
      </c>
      <c r="G29" s="1515"/>
      <c r="H29" s="1516"/>
      <c r="I29" s="1514"/>
      <c r="J29" s="1515"/>
      <c r="K29" s="1516"/>
      <c r="L29" s="1517" t="s">
        <v>116</v>
      </c>
      <c r="M29" s="1518" t="s">
        <v>1625</v>
      </c>
      <c r="N29" s="1689" t="s">
        <v>116</v>
      </c>
      <c r="O29" s="2770"/>
      <c r="P29" s="415" t="b">
        <f t="shared" si="3"/>
        <v>1</v>
      </c>
      <c r="R29" s="245" t="b">
        <f t="shared" si="1"/>
        <v>1</v>
      </c>
      <c r="AO29" s="238" t="str">
        <f t="shared" si="2"/>
        <v>13</v>
      </c>
      <c r="AP29" s="945" t="b">
        <v>0</v>
      </c>
      <c r="AQ29" s="1323" t="s">
        <v>157</v>
      </c>
      <c r="AR29" s="1324" t="s">
        <v>142</v>
      </c>
      <c r="AS29" s="1324" t="s">
        <v>145</v>
      </c>
      <c r="AT29" s="1324"/>
      <c r="AU29" s="1324">
        <v>90000</v>
      </c>
      <c r="AV29" s="1324"/>
      <c r="AW29" s="1324"/>
      <c r="AX29" s="1324"/>
      <c r="AY29" s="1324"/>
      <c r="AZ29" s="1324"/>
      <c r="BA29" s="1533" t="s">
        <v>116</v>
      </c>
      <c r="BB29" s="1533" t="s">
        <v>1625</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t="s">
        <v>1639</v>
      </c>
      <c r="B30" s="1512" t="s">
        <v>155</v>
      </c>
      <c r="C30" s="1512" t="s">
        <v>165</v>
      </c>
      <c r="D30" s="1512" t="s">
        <v>145</v>
      </c>
      <c r="E30" s="1513"/>
      <c r="F30" s="1514">
        <v>250</v>
      </c>
      <c r="G30" s="1515"/>
      <c r="H30" s="1516"/>
      <c r="I30" s="1514"/>
      <c r="J30" s="1515"/>
      <c r="K30" s="1516"/>
      <c r="L30" s="1517" t="s">
        <v>116</v>
      </c>
      <c r="M30" s="1518" t="s">
        <v>116</v>
      </c>
      <c r="N30" s="1689" t="s">
        <v>1632</v>
      </c>
      <c r="O30" s="2770"/>
      <c r="P30" s="415" t="b">
        <f t="shared" si="3"/>
        <v>1</v>
      </c>
      <c r="R30" s="245" t="b">
        <f t="shared" si="1"/>
        <v>1</v>
      </c>
      <c r="AO30" s="238" t="str">
        <f t="shared" si="2"/>
        <v>14</v>
      </c>
      <c r="AP30" s="945" t="b">
        <v>0</v>
      </c>
      <c r="AQ30" s="1323" t="s">
        <v>155</v>
      </c>
      <c r="AR30" s="1324" t="s">
        <v>165</v>
      </c>
      <c r="AS30" s="1324" t="s">
        <v>145</v>
      </c>
      <c r="AT30" s="1324"/>
      <c r="AU30" s="1324">
        <v>250</v>
      </c>
      <c r="AV30" s="1324"/>
      <c r="AW30" s="1324"/>
      <c r="AX30" s="1324"/>
      <c r="AY30" s="1324"/>
      <c r="AZ30" s="1324"/>
      <c r="BA30" s="1533" t="s">
        <v>116</v>
      </c>
      <c r="BB30" s="1533" t="s">
        <v>116</v>
      </c>
      <c r="BC30" s="1534" t="s">
        <v>1632</v>
      </c>
      <c r="BD30" s="245">
        <v>5</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155</v>
      </c>
      <c r="C31" s="1512" t="s">
        <v>165</v>
      </c>
      <c r="D31" s="1512" t="s">
        <v>159</v>
      </c>
      <c r="E31" s="1513"/>
      <c r="F31" s="1514">
        <v>250</v>
      </c>
      <c r="G31" s="1515"/>
      <c r="H31" s="1516"/>
      <c r="I31" s="1514"/>
      <c r="J31" s="1515"/>
      <c r="K31" s="1516"/>
      <c r="L31" s="1517" t="s">
        <v>116</v>
      </c>
      <c r="M31" s="1517" t="s">
        <v>116</v>
      </c>
      <c r="N31" s="1689" t="s">
        <v>116</v>
      </c>
      <c r="O31" s="2770"/>
      <c r="P31" s="415" t="b">
        <f t="shared" si="3"/>
        <v>1</v>
      </c>
      <c r="R31" s="245" t="b">
        <f t="shared" si="1"/>
        <v>1</v>
      </c>
      <c r="AO31" s="238" t="str">
        <f t="shared" si="2"/>
        <v>14</v>
      </c>
      <c r="AP31" s="945" t="b">
        <v>0</v>
      </c>
      <c r="AQ31" s="1323" t="s">
        <v>155</v>
      </c>
      <c r="AR31" s="1324" t="s">
        <v>165</v>
      </c>
      <c r="AS31" s="1324" t="s">
        <v>159</v>
      </c>
      <c r="AT31" s="1324"/>
      <c r="AU31" s="1324">
        <v>250</v>
      </c>
      <c r="AV31" s="1324"/>
      <c r="AW31" s="1324"/>
      <c r="AX31" s="1324"/>
      <c r="AY31" s="1324"/>
      <c r="AZ31" s="1324"/>
      <c r="BA31" s="1533" t="s">
        <v>116</v>
      </c>
      <c r="BB31" s="1533" t="s">
        <v>116</v>
      </c>
      <c r="BC31" s="1534" t="s">
        <v>116</v>
      </c>
    </row>
    <row r="32" spans="1:81" ht="14.1" customHeight="1" x14ac:dyDescent="0.2">
      <c r="A32" s="1511"/>
      <c r="B32" s="1512" t="s">
        <v>154</v>
      </c>
      <c r="C32" s="1512" t="s">
        <v>165</v>
      </c>
      <c r="D32" s="1512" t="s">
        <v>145</v>
      </c>
      <c r="E32" s="1513"/>
      <c r="F32" s="1514">
        <v>1500</v>
      </c>
      <c r="G32" s="1515"/>
      <c r="H32" s="1516"/>
      <c r="I32" s="1514"/>
      <c r="J32" s="1515"/>
      <c r="K32" s="1516"/>
      <c r="L32" s="1517" t="s">
        <v>116</v>
      </c>
      <c r="M32" s="1517" t="s">
        <v>116</v>
      </c>
      <c r="N32" s="1689" t="s">
        <v>116</v>
      </c>
      <c r="O32" s="2770"/>
      <c r="P32" s="415" t="b">
        <f t="shared" si="3"/>
        <v>1</v>
      </c>
      <c r="R32" s="245" t="b">
        <f t="shared" si="1"/>
        <v>1</v>
      </c>
      <c r="AO32" s="238" t="str">
        <f t="shared" si="2"/>
        <v>14</v>
      </c>
      <c r="AP32" s="945" t="b">
        <v>0</v>
      </c>
      <c r="AQ32" s="1323" t="s">
        <v>154</v>
      </c>
      <c r="AR32" s="1324" t="s">
        <v>165</v>
      </c>
      <c r="AS32" s="1324" t="s">
        <v>145</v>
      </c>
      <c r="AT32" s="1324"/>
      <c r="AU32" s="1324">
        <v>1500</v>
      </c>
      <c r="AV32" s="1324"/>
      <c r="AW32" s="1324"/>
      <c r="AX32" s="1324"/>
      <c r="AY32" s="1324"/>
      <c r="AZ32" s="1324"/>
      <c r="BA32" s="1533" t="s">
        <v>116</v>
      </c>
      <c r="BB32" s="1533" t="s">
        <v>116</v>
      </c>
      <c r="BC32" s="1534" t="s">
        <v>116</v>
      </c>
    </row>
    <row r="33" spans="1:56" ht="14.1" customHeight="1" x14ac:dyDescent="0.2">
      <c r="A33" s="1511"/>
      <c r="B33" s="1512" t="s">
        <v>157</v>
      </c>
      <c r="C33" s="1512" t="s">
        <v>167</v>
      </c>
      <c r="D33" s="1512" t="s">
        <v>145</v>
      </c>
      <c r="E33" s="1513"/>
      <c r="F33" s="1514">
        <v>75000</v>
      </c>
      <c r="G33" s="1515"/>
      <c r="H33" s="1516"/>
      <c r="I33" s="1514"/>
      <c r="J33" s="1515"/>
      <c r="K33" s="1516"/>
      <c r="L33" s="1517" t="s">
        <v>116</v>
      </c>
      <c r="M33" s="1517" t="s">
        <v>1393</v>
      </c>
      <c r="N33" s="1689" t="s">
        <v>1636</v>
      </c>
      <c r="O33" s="2770"/>
      <c r="P33" s="415" t="b">
        <f t="shared" si="3"/>
        <v>1</v>
      </c>
      <c r="R33" s="245" t="b">
        <f t="shared" si="1"/>
        <v>1</v>
      </c>
      <c r="AO33" s="238" t="str">
        <f t="shared" si="2"/>
        <v>14</v>
      </c>
      <c r="AP33" s="945" t="b">
        <v>0</v>
      </c>
      <c r="AQ33" s="1323" t="s">
        <v>157</v>
      </c>
      <c r="AR33" s="1324" t="s">
        <v>167</v>
      </c>
      <c r="AS33" s="1324" t="s">
        <v>145</v>
      </c>
      <c r="AT33" s="1324"/>
      <c r="AU33" s="1324">
        <v>75000</v>
      </c>
      <c r="AV33" s="1324"/>
      <c r="AW33" s="1324"/>
      <c r="AX33" s="1324"/>
      <c r="AY33" s="1324"/>
      <c r="AZ33" s="1324"/>
      <c r="BA33" s="1533" t="s">
        <v>116</v>
      </c>
      <c r="BB33" s="1533" t="s">
        <v>116</v>
      </c>
      <c r="BC33" s="1534" t="s">
        <v>1636</v>
      </c>
    </row>
    <row r="34" spans="1:56" ht="14.1" customHeight="1" x14ac:dyDescent="0.2">
      <c r="A34" s="1511"/>
      <c r="B34" s="1512" t="s">
        <v>157</v>
      </c>
      <c r="C34" s="1512" t="s">
        <v>142</v>
      </c>
      <c r="D34" s="1512" t="s">
        <v>145</v>
      </c>
      <c r="E34" s="1513"/>
      <c r="F34" s="1514">
        <v>75000</v>
      </c>
      <c r="G34" s="1515"/>
      <c r="H34" s="1516"/>
      <c r="I34" s="1514"/>
      <c r="J34" s="1515"/>
      <c r="K34" s="1516"/>
      <c r="L34" s="1517" t="s">
        <v>116</v>
      </c>
      <c r="M34" s="1517" t="s">
        <v>1625</v>
      </c>
      <c r="N34" s="1689" t="s">
        <v>116</v>
      </c>
      <c r="O34" s="2770"/>
      <c r="P34" s="415" t="b">
        <f t="shared" si="3"/>
        <v>1</v>
      </c>
      <c r="R34" s="245" t="b">
        <f t="shared" si="1"/>
        <v>1</v>
      </c>
      <c r="AO34" s="238" t="str">
        <f t="shared" si="2"/>
        <v>14</v>
      </c>
      <c r="AP34" s="945" t="b">
        <v>0</v>
      </c>
      <c r="AQ34" s="1323" t="s">
        <v>157</v>
      </c>
      <c r="AR34" s="1324" t="s">
        <v>142</v>
      </c>
      <c r="AS34" s="1324" t="s">
        <v>145</v>
      </c>
      <c r="AT34" s="1324"/>
      <c r="AU34" s="1324">
        <v>75000</v>
      </c>
      <c r="AV34" s="1324"/>
      <c r="AW34" s="1324"/>
      <c r="AX34" s="1324"/>
      <c r="AY34" s="1324"/>
      <c r="AZ34" s="1324"/>
      <c r="BA34" s="1533" t="s">
        <v>116</v>
      </c>
      <c r="BB34" s="1533" t="s">
        <v>1625</v>
      </c>
      <c r="BC34" s="1534" t="s">
        <v>116</v>
      </c>
    </row>
    <row r="35" spans="1:56" ht="14.1" customHeight="1" x14ac:dyDescent="0.2">
      <c r="A35" s="1511" t="s">
        <v>1640</v>
      </c>
      <c r="B35" s="1512" t="s">
        <v>155</v>
      </c>
      <c r="C35" s="1512" t="s">
        <v>165</v>
      </c>
      <c r="D35" s="1512" t="s">
        <v>145</v>
      </c>
      <c r="E35" s="1513"/>
      <c r="F35" s="1514">
        <v>250</v>
      </c>
      <c r="G35" s="1515"/>
      <c r="H35" s="1516"/>
      <c r="I35" s="1514"/>
      <c r="J35" s="1515"/>
      <c r="K35" s="1516"/>
      <c r="L35" s="1517" t="s">
        <v>116</v>
      </c>
      <c r="M35" s="1517" t="s">
        <v>116</v>
      </c>
      <c r="N35" s="1689" t="s">
        <v>1632</v>
      </c>
      <c r="O35" s="2770"/>
      <c r="P35" s="415" t="b">
        <f t="shared" si="3"/>
        <v>1</v>
      </c>
      <c r="R35" s="245" t="b">
        <f t="shared" si="1"/>
        <v>1</v>
      </c>
      <c r="AO35" s="238" t="str">
        <f t="shared" si="2"/>
        <v>15</v>
      </c>
      <c r="AP35" s="945" t="b">
        <v>0</v>
      </c>
      <c r="AQ35" s="1323" t="s">
        <v>155</v>
      </c>
      <c r="AR35" s="1324" t="s">
        <v>165</v>
      </c>
      <c r="AS35" s="1324" t="s">
        <v>145</v>
      </c>
      <c r="AT35" s="1324"/>
      <c r="AU35" s="1324">
        <v>250</v>
      </c>
      <c r="AV35" s="1324"/>
      <c r="AW35" s="1324"/>
      <c r="AX35" s="1324"/>
      <c r="AY35" s="1324"/>
      <c r="AZ35" s="1324"/>
      <c r="BA35" s="1533" t="s">
        <v>116</v>
      </c>
      <c r="BB35" s="1533" t="s">
        <v>116</v>
      </c>
      <c r="BC35" s="1534" t="s">
        <v>1632</v>
      </c>
      <c r="BD35" s="245">
        <v>5</v>
      </c>
    </row>
    <row r="36" spans="1:56" ht="14.1" customHeight="1" x14ac:dyDescent="0.2">
      <c r="A36" s="1511"/>
      <c r="B36" s="1512" t="s">
        <v>155</v>
      </c>
      <c r="C36" s="1512" t="s">
        <v>165</v>
      </c>
      <c r="D36" s="1512" t="s">
        <v>159</v>
      </c>
      <c r="E36" s="1513"/>
      <c r="F36" s="1514">
        <v>250</v>
      </c>
      <c r="G36" s="1515"/>
      <c r="H36" s="1516"/>
      <c r="I36" s="1514"/>
      <c r="J36" s="1515"/>
      <c r="K36" s="1516"/>
      <c r="L36" s="1517" t="s">
        <v>116</v>
      </c>
      <c r="M36" s="1517" t="s">
        <v>116</v>
      </c>
      <c r="N36" s="1689" t="s">
        <v>116</v>
      </c>
      <c r="O36" s="2770"/>
      <c r="P36" s="415" t="b">
        <f t="shared" si="3"/>
        <v>1</v>
      </c>
      <c r="R36" s="245" t="b">
        <f t="shared" si="1"/>
        <v>1</v>
      </c>
      <c r="AO36" s="238" t="str">
        <f t="shared" si="2"/>
        <v>15</v>
      </c>
      <c r="AP36" s="945" t="b">
        <v>0</v>
      </c>
      <c r="AQ36" s="1323" t="s">
        <v>155</v>
      </c>
      <c r="AR36" s="1324" t="s">
        <v>165</v>
      </c>
      <c r="AS36" s="1324" t="s">
        <v>159</v>
      </c>
      <c r="AT36" s="1324"/>
      <c r="AU36" s="1324">
        <v>250</v>
      </c>
      <c r="AV36" s="1324"/>
      <c r="AW36" s="1324"/>
      <c r="AX36" s="1324"/>
      <c r="AY36" s="1324"/>
      <c r="AZ36" s="1324"/>
      <c r="BA36" s="1533" t="s">
        <v>116</v>
      </c>
      <c r="BB36" s="1533" t="s">
        <v>116</v>
      </c>
      <c r="BC36" s="1534" t="s">
        <v>116</v>
      </c>
    </row>
    <row r="37" spans="1:56" ht="14.1" customHeight="1" x14ac:dyDescent="0.2">
      <c r="A37" s="1511"/>
      <c r="B37" s="1512" t="s">
        <v>154</v>
      </c>
      <c r="C37" s="1512" t="s">
        <v>165</v>
      </c>
      <c r="D37" s="1512" t="s">
        <v>145</v>
      </c>
      <c r="E37" s="1513"/>
      <c r="F37" s="1514">
        <v>1500</v>
      </c>
      <c r="G37" s="1515"/>
      <c r="H37" s="1516"/>
      <c r="I37" s="1514"/>
      <c r="J37" s="1515"/>
      <c r="K37" s="1516"/>
      <c r="L37" s="1517" t="s">
        <v>116</v>
      </c>
      <c r="M37" s="1517" t="s">
        <v>116</v>
      </c>
      <c r="N37" s="1689" t="s">
        <v>116</v>
      </c>
      <c r="O37" s="2770"/>
      <c r="P37" s="415" t="b">
        <f t="shared" si="3"/>
        <v>1</v>
      </c>
      <c r="R37" s="245" t="b">
        <f t="shared" si="1"/>
        <v>1</v>
      </c>
      <c r="AO37" s="238" t="str">
        <f t="shared" si="2"/>
        <v>15</v>
      </c>
      <c r="AP37" s="945" t="b">
        <v>0</v>
      </c>
      <c r="AQ37" s="1323" t="s">
        <v>154</v>
      </c>
      <c r="AR37" s="1324" t="s">
        <v>165</v>
      </c>
      <c r="AS37" s="1324" t="s">
        <v>145</v>
      </c>
      <c r="AT37" s="1324"/>
      <c r="AU37" s="1324">
        <v>1500</v>
      </c>
      <c r="AV37" s="1324"/>
      <c r="AW37" s="1324"/>
      <c r="AX37" s="1324"/>
      <c r="AY37" s="1324"/>
      <c r="AZ37" s="1324"/>
      <c r="BA37" s="1533" t="s">
        <v>116</v>
      </c>
      <c r="BB37" s="1533" t="s">
        <v>116</v>
      </c>
      <c r="BC37" s="1534" t="s">
        <v>116</v>
      </c>
    </row>
    <row r="38" spans="1:56" ht="14.1" customHeight="1" x14ac:dyDescent="0.2">
      <c r="A38" s="1511"/>
      <c r="B38" s="1512" t="s">
        <v>157</v>
      </c>
      <c r="C38" s="1512" t="s">
        <v>167</v>
      </c>
      <c r="D38" s="1512" t="s">
        <v>145</v>
      </c>
      <c r="E38" s="1513"/>
      <c r="F38" s="1514">
        <v>105000</v>
      </c>
      <c r="G38" s="1515"/>
      <c r="H38" s="1516"/>
      <c r="I38" s="1514"/>
      <c r="J38" s="1515"/>
      <c r="K38" s="1516"/>
      <c r="L38" s="1517" t="s">
        <v>116</v>
      </c>
      <c r="M38" s="1517" t="s">
        <v>1393</v>
      </c>
      <c r="N38" s="1689" t="s">
        <v>1636</v>
      </c>
      <c r="O38" s="2770"/>
      <c r="P38" s="415" t="b">
        <f t="shared" si="3"/>
        <v>1</v>
      </c>
      <c r="R38" s="245" t="b">
        <f t="shared" si="1"/>
        <v>1</v>
      </c>
      <c r="AO38" s="238" t="str">
        <f t="shared" si="2"/>
        <v>15</v>
      </c>
      <c r="AP38" s="945" t="b">
        <v>0</v>
      </c>
      <c r="AQ38" s="1323" t="s">
        <v>157</v>
      </c>
      <c r="AR38" s="1324" t="s">
        <v>167</v>
      </c>
      <c r="AS38" s="1324" t="s">
        <v>145</v>
      </c>
      <c r="AT38" s="1324"/>
      <c r="AU38" s="1324">
        <v>105000</v>
      </c>
      <c r="AV38" s="1324"/>
      <c r="AW38" s="1324"/>
      <c r="AX38" s="1324"/>
      <c r="AY38" s="1324"/>
      <c r="AZ38" s="1324"/>
      <c r="BA38" s="1533" t="s">
        <v>116</v>
      </c>
      <c r="BB38" s="1533" t="s">
        <v>116</v>
      </c>
      <c r="BC38" s="1534" t="s">
        <v>1636</v>
      </c>
    </row>
    <row r="39" spans="1:56" ht="14.1" customHeight="1" x14ac:dyDescent="0.2">
      <c r="A39" s="1511"/>
      <c r="B39" s="1512" t="s">
        <v>157</v>
      </c>
      <c r="C39" s="1512" t="s">
        <v>142</v>
      </c>
      <c r="D39" s="1512" t="s">
        <v>145</v>
      </c>
      <c r="E39" s="1513"/>
      <c r="F39" s="1514">
        <v>105000</v>
      </c>
      <c r="G39" s="1515"/>
      <c r="H39" s="1516"/>
      <c r="I39" s="1514"/>
      <c r="J39" s="1515"/>
      <c r="K39" s="1516"/>
      <c r="L39" s="1517" t="s">
        <v>116</v>
      </c>
      <c r="M39" s="1517" t="s">
        <v>1625</v>
      </c>
      <c r="N39" s="1689" t="s">
        <v>116</v>
      </c>
      <c r="O39" s="2770"/>
      <c r="P39" s="415" t="b">
        <f t="shared" si="3"/>
        <v>1</v>
      </c>
      <c r="R39" s="245" t="b">
        <f t="shared" si="1"/>
        <v>1</v>
      </c>
      <c r="AO39" s="238" t="str">
        <f t="shared" si="2"/>
        <v>15</v>
      </c>
      <c r="AP39" s="945" t="b">
        <v>0</v>
      </c>
      <c r="AQ39" s="1323" t="s">
        <v>157</v>
      </c>
      <c r="AR39" s="1324" t="s">
        <v>142</v>
      </c>
      <c r="AS39" s="1324" t="s">
        <v>145</v>
      </c>
      <c r="AT39" s="1324"/>
      <c r="AU39" s="1324">
        <v>105000</v>
      </c>
      <c r="AV39" s="1324"/>
      <c r="AW39" s="1324"/>
      <c r="AX39" s="1324"/>
      <c r="AY39" s="1324"/>
      <c r="AZ39" s="1324"/>
      <c r="BA39" s="1533" t="s">
        <v>116</v>
      </c>
      <c r="BB39" s="1533" t="s">
        <v>1625</v>
      </c>
      <c r="BC39" s="1534" t="s">
        <v>116</v>
      </c>
    </row>
    <row r="40" spans="1:56" ht="14.1" customHeight="1" x14ac:dyDescent="0.2">
      <c r="A40" s="1511" t="s">
        <v>1641</v>
      </c>
      <c r="B40" s="1512" t="s">
        <v>154</v>
      </c>
      <c r="C40" s="1512" t="s">
        <v>167</v>
      </c>
      <c r="D40" s="1512" t="s">
        <v>145</v>
      </c>
      <c r="E40" s="1513"/>
      <c r="F40" s="1514">
        <v>560</v>
      </c>
      <c r="G40" s="1515"/>
      <c r="H40" s="1516"/>
      <c r="I40" s="1514"/>
      <c r="J40" s="1515"/>
      <c r="K40" s="1516"/>
      <c r="L40" s="1517" t="s">
        <v>116</v>
      </c>
      <c r="M40" s="1517" t="s">
        <v>1393</v>
      </c>
      <c r="N40" s="1689" t="s">
        <v>1642</v>
      </c>
      <c r="O40" s="2770"/>
      <c r="P40" s="415" t="b">
        <f t="shared" si="3"/>
        <v>0</v>
      </c>
      <c r="R40" s="245" t="b">
        <f t="shared" si="1"/>
        <v>1</v>
      </c>
      <c r="AO40" s="238" t="str">
        <f t="shared" si="2"/>
        <v>16</v>
      </c>
      <c r="AP40" s="945" t="b">
        <v>0</v>
      </c>
      <c r="AQ40" s="1323" t="s">
        <v>154</v>
      </c>
      <c r="AR40" s="1324" t="s">
        <v>167</v>
      </c>
      <c r="AS40" s="1324" t="s">
        <v>145</v>
      </c>
      <c r="AT40" s="1324"/>
      <c r="AU40" s="1324">
        <v>560</v>
      </c>
      <c r="AV40" s="1324"/>
      <c r="AW40" s="1324"/>
      <c r="AX40" s="1324"/>
      <c r="AY40" s="1324"/>
      <c r="AZ40" s="1324"/>
      <c r="BA40" s="1533" t="s">
        <v>116</v>
      </c>
      <c r="BB40" s="1533" t="s">
        <v>116</v>
      </c>
      <c r="BC40" s="1534" t="s">
        <v>1642</v>
      </c>
      <c r="BD40" s="245">
        <v>6</v>
      </c>
    </row>
    <row r="41" spans="1:56" ht="14.1" customHeight="1" x14ac:dyDescent="0.2">
      <c r="A41" s="1511"/>
      <c r="B41" s="1512" t="s">
        <v>154</v>
      </c>
      <c r="C41" s="1512" t="s">
        <v>167</v>
      </c>
      <c r="D41" s="1512" t="s">
        <v>145</v>
      </c>
      <c r="E41" s="1513"/>
      <c r="F41" s="1514">
        <v>-560</v>
      </c>
      <c r="G41" s="1515"/>
      <c r="H41" s="1516"/>
      <c r="I41" s="1514"/>
      <c r="J41" s="1515"/>
      <c r="K41" s="1516"/>
      <c r="L41" s="1517" t="s">
        <v>116</v>
      </c>
      <c r="M41" s="1517" t="s">
        <v>808</v>
      </c>
      <c r="N41" s="1689" t="s">
        <v>116</v>
      </c>
      <c r="O41" s="2770"/>
      <c r="P41" s="415" t="b">
        <f t="shared" si="3"/>
        <v>0</v>
      </c>
      <c r="R41" s="245" t="b">
        <f t="shared" si="1"/>
        <v>1</v>
      </c>
      <c r="AO41" s="238" t="str">
        <f t="shared" si="2"/>
        <v>16</v>
      </c>
      <c r="AP41" s="945" t="b">
        <v>0</v>
      </c>
      <c r="AQ41" s="1323" t="s">
        <v>154</v>
      </c>
      <c r="AR41" s="1324" t="s">
        <v>167</v>
      </c>
      <c r="AS41" s="1324" t="s">
        <v>145</v>
      </c>
      <c r="AT41" s="1324"/>
      <c r="AU41" s="1324">
        <v>-560</v>
      </c>
      <c r="AV41" s="1324"/>
      <c r="AW41" s="1324"/>
      <c r="AX41" s="1324"/>
      <c r="AY41" s="1324"/>
      <c r="AZ41" s="1324"/>
      <c r="BA41" s="1533" t="s">
        <v>116</v>
      </c>
      <c r="BB41" s="1533" t="s">
        <v>808</v>
      </c>
      <c r="BC41" s="1534" t="s">
        <v>116</v>
      </c>
    </row>
    <row r="42" spans="1:56" ht="14.1" customHeight="1" x14ac:dyDescent="0.2">
      <c r="A42" s="1511"/>
      <c r="B42" s="1512" t="s">
        <v>151</v>
      </c>
      <c r="C42" s="1512" t="s">
        <v>167</v>
      </c>
      <c r="D42" s="1512" t="s">
        <v>145</v>
      </c>
      <c r="E42" s="1513"/>
      <c r="F42" s="1514">
        <v>10</v>
      </c>
      <c r="G42" s="1515"/>
      <c r="H42" s="1516"/>
      <c r="I42" s="1514"/>
      <c r="J42" s="1515"/>
      <c r="K42" s="1516"/>
      <c r="L42" s="1517" t="s">
        <v>116</v>
      </c>
      <c r="M42" s="1517" t="s">
        <v>1393</v>
      </c>
      <c r="N42" s="1689" t="s">
        <v>116</v>
      </c>
      <c r="O42" s="2770"/>
      <c r="P42" s="415" t="b">
        <f t="shared" si="3"/>
        <v>0</v>
      </c>
      <c r="R42" s="245" t="b">
        <f t="shared" si="1"/>
        <v>0</v>
      </c>
      <c r="AO42" s="238" t="str">
        <f t="shared" si="2"/>
        <v>16</v>
      </c>
      <c r="AP42" s="945" t="b">
        <v>0</v>
      </c>
      <c r="AQ42" s="1323" t="s">
        <v>151</v>
      </c>
      <c r="AR42" s="1324" t="s">
        <v>167</v>
      </c>
      <c r="AS42" s="1324" t="s">
        <v>145</v>
      </c>
      <c r="AT42" s="1324"/>
      <c r="AU42" s="1324">
        <v>10</v>
      </c>
      <c r="AV42" s="1324"/>
      <c r="AW42" s="1324"/>
      <c r="AX42" s="1324"/>
      <c r="AY42" s="1324"/>
      <c r="AZ42" s="1324"/>
      <c r="BA42" s="1533" t="s">
        <v>116</v>
      </c>
      <c r="BB42" s="1533" t="s">
        <v>116</v>
      </c>
      <c r="BC42" s="1534" t="s">
        <v>116</v>
      </c>
    </row>
    <row r="43" spans="1:56" ht="14.1" customHeight="1" x14ac:dyDescent="0.2">
      <c r="A43" s="1511"/>
      <c r="B43" s="1512" t="s">
        <v>151</v>
      </c>
      <c r="C43" s="1512" t="s">
        <v>167</v>
      </c>
      <c r="D43" s="1512" t="s">
        <v>145</v>
      </c>
      <c r="E43" s="1513"/>
      <c r="F43" s="1514">
        <v>-10</v>
      </c>
      <c r="G43" s="1515"/>
      <c r="H43" s="1516"/>
      <c r="I43" s="1514"/>
      <c r="J43" s="1515"/>
      <c r="K43" s="1516"/>
      <c r="L43" s="1517" t="s">
        <v>116</v>
      </c>
      <c r="M43" s="1517" t="s">
        <v>808</v>
      </c>
      <c r="N43" s="1689" t="s">
        <v>116</v>
      </c>
      <c r="O43" s="2770"/>
      <c r="P43" s="415" t="b">
        <f t="shared" si="3"/>
        <v>0</v>
      </c>
      <c r="R43" s="245" t="b">
        <f t="shared" si="1"/>
        <v>0</v>
      </c>
      <c r="AO43" s="238" t="str">
        <f t="shared" si="2"/>
        <v>16</v>
      </c>
      <c r="AP43" s="945" t="b">
        <v>0</v>
      </c>
      <c r="AQ43" s="1323" t="s">
        <v>151</v>
      </c>
      <c r="AR43" s="1324" t="s">
        <v>167</v>
      </c>
      <c r="AS43" s="1324" t="s">
        <v>145</v>
      </c>
      <c r="AT43" s="1324"/>
      <c r="AU43" s="1324">
        <v>-10</v>
      </c>
      <c r="AV43" s="1324"/>
      <c r="AW43" s="1324"/>
      <c r="AX43" s="1324"/>
      <c r="AY43" s="1324"/>
      <c r="AZ43" s="1324"/>
      <c r="BA43" s="1533" t="s">
        <v>116</v>
      </c>
      <c r="BB43" s="1533" t="s">
        <v>808</v>
      </c>
      <c r="BC43" s="1534" t="s">
        <v>116</v>
      </c>
    </row>
    <row r="44" spans="1:56" ht="14.1" customHeight="1" x14ac:dyDescent="0.2">
      <c r="A44" s="1511"/>
      <c r="B44" s="1512" t="s">
        <v>157</v>
      </c>
      <c r="C44" s="1512" t="s">
        <v>167</v>
      </c>
      <c r="D44" s="1512" t="s">
        <v>145</v>
      </c>
      <c r="E44" s="1513"/>
      <c r="F44" s="1514">
        <v>966</v>
      </c>
      <c r="G44" s="1515"/>
      <c r="H44" s="1516"/>
      <c r="I44" s="1514"/>
      <c r="J44" s="1515"/>
      <c r="K44" s="1516"/>
      <c r="L44" s="1517" t="s">
        <v>116</v>
      </c>
      <c r="M44" s="1517" t="s">
        <v>1393</v>
      </c>
      <c r="N44" s="1689" t="s">
        <v>116</v>
      </c>
      <c r="O44" s="2770"/>
      <c r="P44" s="415" t="b">
        <f t="shared" si="3"/>
        <v>0</v>
      </c>
      <c r="R44" s="245" t="b">
        <f t="shared" si="1"/>
        <v>1</v>
      </c>
      <c r="AO44" s="238" t="str">
        <f t="shared" si="2"/>
        <v>16</v>
      </c>
      <c r="AP44" s="945" t="b">
        <v>0</v>
      </c>
      <c r="AQ44" s="1323" t="s">
        <v>157</v>
      </c>
      <c r="AR44" s="1324" t="s">
        <v>167</v>
      </c>
      <c r="AS44" s="1324" t="s">
        <v>145</v>
      </c>
      <c r="AT44" s="1324"/>
      <c r="AU44" s="1324">
        <v>966</v>
      </c>
      <c r="AV44" s="1324"/>
      <c r="AW44" s="1324"/>
      <c r="AX44" s="1324"/>
      <c r="AY44" s="1324"/>
      <c r="AZ44" s="1324"/>
      <c r="BA44" s="1533" t="s">
        <v>116</v>
      </c>
      <c r="BB44" s="1533" t="s">
        <v>116</v>
      </c>
      <c r="BC44" s="1534" t="s">
        <v>116</v>
      </c>
    </row>
    <row r="45" spans="1:56" ht="14.1" customHeight="1" x14ac:dyDescent="0.2">
      <c r="A45" s="1511"/>
      <c r="B45" s="1512" t="s">
        <v>151</v>
      </c>
      <c r="C45" s="1512" t="s">
        <v>165</v>
      </c>
      <c r="D45" s="1512" t="s">
        <v>145</v>
      </c>
      <c r="E45" s="1513"/>
      <c r="F45" s="1514">
        <v>12</v>
      </c>
      <c r="G45" s="1515"/>
      <c r="H45" s="1516"/>
      <c r="I45" s="1514"/>
      <c r="J45" s="1515"/>
      <c r="K45" s="1516"/>
      <c r="L45" s="1517" t="s">
        <v>116</v>
      </c>
      <c r="M45" s="1517" t="s">
        <v>116</v>
      </c>
      <c r="N45" s="1689" t="s">
        <v>116</v>
      </c>
      <c r="O45" s="2770"/>
      <c r="P45" s="415" t="b">
        <f t="shared" si="3"/>
        <v>0</v>
      </c>
      <c r="R45" s="245" t="b">
        <f t="shared" si="1"/>
        <v>0</v>
      </c>
      <c r="AO45" s="238" t="str">
        <f t="shared" si="2"/>
        <v>16</v>
      </c>
      <c r="AP45" s="945" t="b">
        <v>0</v>
      </c>
      <c r="AQ45" s="1323" t="s">
        <v>151</v>
      </c>
      <c r="AR45" s="1324" t="s">
        <v>165</v>
      </c>
      <c r="AS45" s="1324" t="s">
        <v>145</v>
      </c>
      <c r="AT45" s="1324"/>
      <c r="AU45" s="1324">
        <v>12</v>
      </c>
      <c r="AV45" s="1324"/>
      <c r="AW45" s="1324"/>
      <c r="AX45" s="1324"/>
      <c r="AY45" s="1324"/>
      <c r="AZ45" s="1324"/>
      <c r="BA45" s="1533" t="s">
        <v>116</v>
      </c>
      <c r="BB45" s="1533" t="s">
        <v>116</v>
      </c>
      <c r="BC45" s="1534" t="s">
        <v>116</v>
      </c>
    </row>
    <row r="46" spans="1:56" ht="14.1" customHeight="1" x14ac:dyDescent="0.2">
      <c r="A46" s="1511" t="s">
        <v>1643</v>
      </c>
      <c r="B46" s="1512" t="s">
        <v>154</v>
      </c>
      <c r="C46" s="1512" t="s">
        <v>167</v>
      </c>
      <c r="D46" s="1512" t="s">
        <v>145</v>
      </c>
      <c r="E46" s="1513"/>
      <c r="F46" s="1514">
        <v>1121</v>
      </c>
      <c r="G46" s="1515"/>
      <c r="H46" s="1516"/>
      <c r="I46" s="1514"/>
      <c r="J46" s="1515"/>
      <c r="K46" s="1516"/>
      <c r="L46" s="1517" t="s">
        <v>116</v>
      </c>
      <c r="M46" s="1517" t="s">
        <v>1393</v>
      </c>
      <c r="N46" s="1689" t="s">
        <v>1644</v>
      </c>
      <c r="O46" s="2770"/>
      <c r="P46" s="415" t="b">
        <f t="shared" si="3"/>
        <v>1</v>
      </c>
      <c r="R46" s="245" t="b">
        <f t="shared" si="1"/>
        <v>1</v>
      </c>
      <c r="AO46" s="238" t="str">
        <f t="shared" si="2"/>
        <v>17</v>
      </c>
      <c r="AP46" s="945" t="b">
        <v>0</v>
      </c>
      <c r="AQ46" s="1323" t="s">
        <v>154</v>
      </c>
      <c r="AR46" s="1324" t="s">
        <v>167</v>
      </c>
      <c r="AS46" s="1324" t="s">
        <v>145</v>
      </c>
      <c r="AT46" s="1324"/>
      <c r="AU46" s="1324">
        <v>1121</v>
      </c>
      <c r="AV46" s="1324"/>
      <c r="AW46" s="1324"/>
      <c r="AX46" s="1324"/>
      <c r="AY46" s="1324"/>
      <c r="AZ46" s="1324"/>
      <c r="BA46" s="1533" t="s">
        <v>116</v>
      </c>
      <c r="BB46" s="1533" t="s">
        <v>116</v>
      </c>
      <c r="BC46" s="1534" t="s">
        <v>1644</v>
      </c>
      <c r="BD46" s="245">
        <v>2</v>
      </c>
    </row>
    <row r="47" spans="1:56" ht="14.1" customHeight="1" x14ac:dyDescent="0.2">
      <c r="A47" s="1511"/>
      <c r="B47" s="1512" t="s">
        <v>154</v>
      </c>
      <c r="C47" s="1512" t="s">
        <v>165</v>
      </c>
      <c r="D47" s="1512" t="s">
        <v>145</v>
      </c>
      <c r="E47" s="1513"/>
      <c r="F47" s="1514">
        <v>720</v>
      </c>
      <c r="G47" s="1515"/>
      <c r="H47" s="1516"/>
      <c r="I47" s="1514"/>
      <c r="J47" s="1515"/>
      <c r="K47" s="1516"/>
      <c r="L47" s="1517" t="s">
        <v>116</v>
      </c>
      <c r="M47" s="1517" t="s">
        <v>116</v>
      </c>
      <c r="N47" s="1689" t="s">
        <v>116</v>
      </c>
      <c r="O47" s="2770"/>
      <c r="P47" s="415" t="b">
        <f t="shared" si="3"/>
        <v>1</v>
      </c>
      <c r="R47" s="245" t="b">
        <f t="shared" si="1"/>
        <v>1</v>
      </c>
      <c r="AO47" s="238" t="str">
        <f t="shared" si="2"/>
        <v>17</v>
      </c>
      <c r="AP47" s="945" t="b">
        <v>0</v>
      </c>
      <c r="AQ47" s="1323" t="s">
        <v>154</v>
      </c>
      <c r="AR47" s="1324" t="s">
        <v>165</v>
      </c>
      <c r="AS47" s="1324" t="s">
        <v>145</v>
      </c>
      <c r="AT47" s="1324"/>
      <c r="AU47" s="1324">
        <v>720</v>
      </c>
      <c r="AV47" s="1324"/>
      <c r="AW47" s="1324"/>
      <c r="AX47" s="1324"/>
      <c r="AY47" s="1324"/>
      <c r="AZ47" s="1324"/>
      <c r="BA47" s="1533" t="s">
        <v>116</v>
      </c>
      <c r="BB47" s="1533" t="s">
        <v>116</v>
      </c>
      <c r="BC47" s="1534" t="s">
        <v>116</v>
      </c>
    </row>
    <row r="48" spans="1:56" ht="14.1" customHeight="1" x14ac:dyDescent="0.2">
      <c r="A48" s="1511" t="s">
        <v>1645</v>
      </c>
      <c r="B48" s="1512" t="s">
        <v>146</v>
      </c>
      <c r="C48" s="1512" t="s">
        <v>167</v>
      </c>
      <c r="D48" s="1512" t="s">
        <v>145</v>
      </c>
      <c r="E48" s="1513"/>
      <c r="F48" s="1514">
        <v>966</v>
      </c>
      <c r="G48" s="1515">
        <v>8</v>
      </c>
      <c r="H48" s="1516">
        <v>0</v>
      </c>
      <c r="I48" s="1514"/>
      <c r="J48" s="1515"/>
      <c r="K48" s="1516"/>
      <c r="L48" s="1517" t="s">
        <v>700</v>
      </c>
      <c r="M48" s="1517" t="s">
        <v>1393</v>
      </c>
      <c r="N48" s="1689" t="s">
        <v>1646</v>
      </c>
      <c r="O48" s="2770"/>
      <c r="P48" s="415" t="b">
        <f t="shared" si="3"/>
        <v>0</v>
      </c>
      <c r="R48" s="245" t="b">
        <f t="shared" si="1"/>
        <v>0</v>
      </c>
      <c r="AO48" s="238" t="str">
        <f t="shared" si="2"/>
        <v>18</v>
      </c>
      <c r="AP48" s="945" t="b">
        <v>0</v>
      </c>
      <c r="AQ48" s="1323" t="s">
        <v>146</v>
      </c>
      <c r="AR48" s="1324" t="s">
        <v>167</v>
      </c>
      <c r="AS48" s="1324" t="s">
        <v>145</v>
      </c>
      <c r="AT48" s="1324"/>
      <c r="AU48" s="1324">
        <v>966</v>
      </c>
      <c r="AV48" s="1324">
        <v>8</v>
      </c>
      <c r="AW48" s="1324">
        <v>0</v>
      </c>
      <c r="AX48" s="1324"/>
      <c r="AY48" s="1324"/>
      <c r="AZ48" s="1324"/>
      <c r="BA48" s="1533" t="s">
        <v>700</v>
      </c>
      <c r="BB48" s="1533" t="s">
        <v>116</v>
      </c>
      <c r="BC48" s="1534" t="s">
        <v>1646</v>
      </c>
      <c r="BD48" s="245">
        <v>4</v>
      </c>
    </row>
    <row r="49" spans="1:56" ht="14.1" customHeight="1" x14ac:dyDescent="0.2">
      <c r="A49" s="1511"/>
      <c r="B49" s="1512" t="s">
        <v>146</v>
      </c>
      <c r="C49" s="1512" t="s">
        <v>167</v>
      </c>
      <c r="D49" s="1512" t="s">
        <v>145</v>
      </c>
      <c r="E49" s="1513"/>
      <c r="F49" s="1514">
        <v>-966</v>
      </c>
      <c r="G49" s="1515">
        <v>8</v>
      </c>
      <c r="H49" s="1516">
        <v>0</v>
      </c>
      <c r="I49" s="1514"/>
      <c r="J49" s="1515"/>
      <c r="K49" s="1516"/>
      <c r="L49" s="1517" t="s">
        <v>700</v>
      </c>
      <c r="M49" s="1517" t="s">
        <v>808</v>
      </c>
      <c r="N49" s="1689" t="s">
        <v>116</v>
      </c>
      <c r="O49" s="2770"/>
      <c r="P49" s="415" t="b">
        <f t="shared" si="3"/>
        <v>0</v>
      </c>
      <c r="R49" s="245" t="b">
        <f t="shared" si="1"/>
        <v>0</v>
      </c>
      <c r="AO49" s="238" t="str">
        <f t="shared" si="2"/>
        <v>18</v>
      </c>
      <c r="AP49" s="945" t="b">
        <v>0</v>
      </c>
      <c r="AQ49" s="1323" t="s">
        <v>146</v>
      </c>
      <c r="AR49" s="1324" t="s">
        <v>167</v>
      </c>
      <c r="AS49" s="1324" t="s">
        <v>145</v>
      </c>
      <c r="AT49" s="1324"/>
      <c r="AU49" s="1324">
        <v>-966</v>
      </c>
      <c r="AV49" s="1324">
        <v>8</v>
      </c>
      <c r="AW49" s="1324">
        <v>0</v>
      </c>
      <c r="AX49" s="1324"/>
      <c r="AY49" s="1324"/>
      <c r="AZ49" s="1324"/>
      <c r="BA49" s="1533" t="s">
        <v>700</v>
      </c>
      <c r="BB49" s="1533" t="s">
        <v>808</v>
      </c>
      <c r="BC49" s="1534" t="s">
        <v>116</v>
      </c>
    </row>
    <row r="50" spans="1:56" ht="14.1" customHeight="1" x14ac:dyDescent="0.2">
      <c r="A50" s="1511"/>
      <c r="B50" s="1512" t="s">
        <v>157</v>
      </c>
      <c r="C50" s="1512" t="s">
        <v>167</v>
      </c>
      <c r="D50" s="1512" t="s">
        <v>145</v>
      </c>
      <c r="E50" s="1513"/>
      <c r="F50" s="1514">
        <v>966</v>
      </c>
      <c r="G50" s="1515"/>
      <c r="H50" s="1516"/>
      <c r="I50" s="1514"/>
      <c r="J50" s="1515"/>
      <c r="K50" s="1516"/>
      <c r="L50" s="1517" t="s">
        <v>116</v>
      </c>
      <c r="M50" s="1517" t="s">
        <v>1393</v>
      </c>
      <c r="N50" s="1689" t="s">
        <v>116</v>
      </c>
      <c r="O50" s="2770"/>
      <c r="P50" s="415" t="b">
        <f t="shared" si="3"/>
        <v>0</v>
      </c>
      <c r="R50" s="245" t="b">
        <f t="shared" si="1"/>
        <v>1</v>
      </c>
      <c r="AO50" s="238" t="str">
        <f t="shared" si="2"/>
        <v>18</v>
      </c>
      <c r="AP50" s="945" t="b">
        <v>0</v>
      </c>
      <c r="AQ50" s="1323" t="s">
        <v>157</v>
      </c>
      <c r="AR50" s="1324" t="s">
        <v>167</v>
      </c>
      <c r="AS50" s="1324" t="s">
        <v>145</v>
      </c>
      <c r="AT50" s="1324"/>
      <c r="AU50" s="1324">
        <v>966</v>
      </c>
      <c r="AV50" s="1324"/>
      <c r="AW50" s="1324"/>
      <c r="AX50" s="1324"/>
      <c r="AY50" s="1324"/>
      <c r="AZ50" s="1324"/>
      <c r="BA50" s="1533" t="s">
        <v>116</v>
      </c>
      <c r="BB50" s="1533" t="s">
        <v>116</v>
      </c>
      <c r="BC50" s="1534" t="s">
        <v>116</v>
      </c>
    </row>
    <row r="51" spans="1:56" ht="14.1" customHeight="1" x14ac:dyDescent="0.2">
      <c r="A51" s="1511"/>
      <c r="B51" s="1512" t="s">
        <v>146</v>
      </c>
      <c r="C51" s="1512" t="s">
        <v>165</v>
      </c>
      <c r="D51" s="1512" t="s">
        <v>145</v>
      </c>
      <c r="E51" s="1513"/>
      <c r="F51" s="1514">
        <v>96</v>
      </c>
      <c r="G51" s="1515">
        <v>8</v>
      </c>
      <c r="H51" s="1516">
        <v>0</v>
      </c>
      <c r="I51" s="1514"/>
      <c r="J51" s="1515"/>
      <c r="K51" s="1516"/>
      <c r="L51" s="1517" t="s">
        <v>700</v>
      </c>
      <c r="M51" s="1517" t="s">
        <v>116</v>
      </c>
      <c r="N51" s="1689" t="s">
        <v>116</v>
      </c>
      <c r="O51" s="2770"/>
      <c r="P51" s="415" t="b">
        <f t="shared" si="3"/>
        <v>0</v>
      </c>
      <c r="R51" s="245" t="b">
        <f t="shared" si="1"/>
        <v>0</v>
      </c>
      <c r="AO51" s="238" t="str">
        <f t="shared" si="2"/>
        <v>18</v>
      </c>
      <c r="AP51" s="945" t="b">
        <v>0</v>
      </c>
      <c r="AQ51" s="1323" t="s">
        <v>146</v>
      </c>
      <c r="AR51" s="1324" t="s">
        <v>165</v>
      </c>
      <c r="AS51" s="1324" t="s">
        <v>145</v>
      </c>
      <c r="AT51" s="1324"/>
      <c r="AU51" s="1324">
        <v>96</v>
      </c>
      <c r="AV51" s="1324">
        <v>8</v>
      </c>
      <c r="AW51" s="1324">
        <v>0</v>
      </c>
      <c r="AX51" s="1324"/>
      <c r="AY51" s="1324"/>
      <c r="AZ51" s="1324"/>
      <c r="BA51" s="1533" t="s">
        <v>700</v>
      </c>
      <c r="BB51" s="1533" t="s">
        <v>116</v>
      </c>
      <c r="BC51" s="1534" t="s">
        <v>116</v>
      </c>
    </row>
    <row r="52" spans="1:56" ht="14.1" customHeight="1" x14ac:dyDescent="0.2">
      <c r="A52" s="1511" t="s">
        <v>1647</v>
      </c>
      <c r="B52" s="1512" t="s">
        <v>146</v>
      </c>
      <c r="C52" s="1512" t="s">
        <v>167</v>
      </c>
      <c r="D52" s="1512" t="s">
        <v>145</v>
      </c>
      <c r="E52" s="1513"/>
      <c r="F52" s="1514">
        <v>966</v>
      </c>
      <c r="G52" s="1515">
        <v>8</v>
      </c>
      <c r="H52" s="1516">
        <v>0</v>
      </c>
      <c r="I52" s="1514">
        <v>966</v>
      </c>
      <c r="J52" s="1515">
        <v>27</v>
      </c>
      <c r="K52" s="1516">
        <v>0</v>
      </c>
      <c r="L52" s="1517" t="s">
        <v>700</v>
      </c>
      <c r="M52" s="1517" t="s">
        <v>1393</v>
      </c>
      <c r="N52" s="1689" t="s">
        <v>1646</v>
      </c>
      <c r="O52" s="2770"/>
      <c r="P52" s="415" t="b">
        <f t="shared" si="3"/>
        <v>0</v>
      </c>
      <c r="R52" s="245" t="b">
        <f t="shared" si="1"/>
        <v>0</v>
      </c>
      <c r="AO52" s="238" t="str">
        <f t="shared" si="2"/>
        <v>19</v>
      </c>
      <c r="AP52" s="945" t="b">
        <v>0</v>
      </c>
      <c r="AQ52" s="1323" t="s">
        <v>146</v>
      </c>
      <c r="AR52" s="1324" t="s">
        <v>167</v>
      </c>
      <c r="AS52" s="1324" t="s">
        <v>145</v>
      </c>
      <c r="AT52" s="1324"/>
      <c r="AU52" s="1324">
        <v>966</v>
      </c>
      <c r="AV52" s="1324">
        <v>8</v>
      </c>
      <c r="AW52" s="1324">
        <v>0</v>
      </c>
      <c r="AX52" s="1324">
        <v>966</v>
      </c>
      <c r="AY52" s="1324">
        <v>27</v>
      </c>
      <c r="AZ52" s="1324">
        <v>0</v>
      </c>
      <c r="BA52" s="1533" t="s">
        <v>700</v>
      </c>
      <c r="BB52" s="1533" t="s">
        <v>116</v>
      </c>
      <c r="BC52" s="1534" t="s">
        <v>1646</v>
      </c>
      <c r="BD52" s="245">
        <v>1</v>
      </c>
    </row>
    <row r="53" spans="1:56" ht="14.1" customHeight="1" x14ac:dyDescent="0.2">
      <c r="A53" s="1511"/>
      <c r="B53" s="1512"/>
      <c r="C53" s="1512"/>
      <c r="D53" s="1512"/>
      <c r="E53" s="1513"/>
      <c r="F53" s="1514"/>
      <c r="G53" s="1515"/>
      <c r="H53" s="1516"/>
      <c r="I53" s="1514"/>
      <c r="J53" s="1515"/>
      <c r="K53" s="1516"/>
      <c r="L53" s="1517"/>
      <c r="M53" s="1517"/>
      <c r="N53" s="1689" t="s">
        <v>116</v>
      </c>
      <c r="O53" s="2770"/>
      <c r="P53" s="415" t="b">
        <f t="shared" si="3"/>
        <v>0</v>
      </c>
      <c r="R53" s="245" t="b">
        <f t="shared" si="1"/>
        <v>0</v>
      </c>
      <c r="AO53" s="238" t="str">
        <f t="shared" si="2"/>
        <v>19</v>
      </c>
      <c r="AP53" s="945" t="b">
        <v>0</v>
      </c>
      <c r="AQ53" s="1323"/>
      <c r="AR53" s="1324"/>
      <c r="AS53" s="1324"/>
      <c r="AT53" s="1324"/>
      <c r="AU53" s="1324"/>
      <c r="AV53" s="1324"/>
      <c r="AW53" s="1324"/>
      <c r="AX53" s="1324"/>
      <c r="AY53" s="1324"/>
      <c r="AZ53" s="1324"/>
      <c r="BA53" s="1533"/>
      <c r="BB53" s="1533"/>
      <c r="BC53" s="1534"/>
    </row>
    <row r="54" spans="1:56" ht="14.1" customHeight="1" x14ac:dyDescent="0.2">
      <c r="A54" s="1511"/>
      <c r="B54" s="1512"/>
      <c r="C54" s="1512"/>
      <c r="D54" s="1512"/>
      <c r="E54" s="1513"/>
      <c r="F54" s="1514"/>
      <c r="G54" s="1515"/>
      <c r="H54" s="1516"/>
      <c r="I54" s="1514"/>
      <c r="J54" s="1515"/>
      <c r="K54" s="1516"/>
      <c r="L54" s="1517"/>
      <c r="M54" s="1517"/>
      <c r="N54" s="1689" t="s">
        <v>116</v>
      </c>
      <c r="O54" s="2770"/>
      <c r="P54" s="415" t="b">
        <f t="shared" si="3"/>
        <v>0</v>
      </c>
      <c r="R54" s="245" t="b">
        <f t="shared" si="1"/>
        <v>0</v>
      </c>
      <c r="AO54" s="238" t="str">
        <f t="shared" si="2"/>
        <v>19</v>
      </c>
      <c r="AP54" s="945" t="b">
        <v>0</v>
      </c>
      <c r="AQ54" s="1323"/>
      <c r="AR54" s="1324"/>
      <c r="AS54" s="1324"/>
      <c r="AT54" s="1324"/>
      <c r="AU54" s="1324"/>
      <c r="AV54" s="1324"/>
      <c r="AW54" s="1324"/>
      <c r="AX54" s="1324"/>
      <c r="AY54" s="1324"/>
      <c r="AZ54" s="1324"/>
      <c r="BA54" s="1533"/>
      <c r="BB54" s="1533"/>
      <c r="BC54" s="1534"/>
    </row>
    <row r="55" spans="1:56" ht="14.1" customHeight="1" x14ac:dyDescent="0.2">
      <c r="A55" s="1520"/>
      <c r="B55" s="1521"/>
      <c r="C55" s="1521"/>
      <c r="D55" s="1521"/>
      <c r="E55" s="1522"/>
      <c r="F55" s="1523"/>
      <c r="G55" s="1524"/>
      <c r="H55" s="1525"/>
      <c r="I55" s="1523"/>
      <c r="J55" s="1524"/>
      <c r="K55" s="1525"/>
      <c r="L55" s="1526"/>
      <c r="M55" s="1526"/>
      <c r="N55" s="1690"/>
      <c r="O55" s="2770"/>
      <c r="P55" s="415" t="b">
        <f t="shared" si="3"/>
        <v>0</v>
      </c>
      <c r="R55" s="245" t="b">
        <f t="shared" si="1"/>
        <v>0</v>
      </c>
      <c r="AO55" s="238" t="str">
        <f t="shared" si="2"/>
        <v>19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29</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1837</v>
      </c>
    </row>
    <row r="62" spans="1:56" ht="15.95" hidden="1" customHeight="1" x14ac:dyDescent="0.2"/>
    <row r="63" spans="1:56" hidden="1" x14ac:dyDescent="0.2"/>
    <row r="64" spans="1:56" hidden="1" x14ac:dyDescent="0.2"/>
    <row r="65" spans="1:1" x14ac:dyDescent="0.2">
      <c r="A65" s="633" t="s">
        <v>1020</v>
      </c>
    </row>
  </sheetData>
  <sheetProtection algorithmName="SHA-512" hashValue="bZHYS4tqnqA+YVnu6IdQq+nnd2FD3IjuFivoNLhlrJZP9brqtLEKySwn1sFLLIo967Bv8gwszpgdWdRkp+/Hcg==" saltValue="4cL2cVG65SwCUI3Qs4iaQQ=="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57" priority="4" stopIfTrue="1">
      <formula>AND($B14="NU",F14&lt;0)</formula>
    </cfRule>
  </conditionalFormatting>
  <conditionalFormatting sqref="B14:B55">
    <cfRule type="expression" dxfId="856" priority="5" stopIfTrue="1">
      <formula>OR(AND($B14="NU",F14&lt;0),AND($B14="NU",I14&lt;0))</formula>
    </cfRule>
  </conditionalFormatting>
  <conditionalFormatting sqref="G14:H55 J14:L55">
    <cfRule type="expression" dxfId="855" priority="6" stopIfTrue="1">
      <formula>$R14</formula>
    </cfRule>
  </conditionalFormatting>
  <conditionalFormatting sqref="I2:K4">
    <cfRule type="cellIs" dxfId="854" priority="7" stopIfTrue="1" operator="equal">
      <formula>""</formula>
    </cfRule>
  </conditionalFormatting>
  <conditionalFormatting sqref="I14:I55">
    <cfRule type="expression" dxfId="853" priority="8" stopIfTrue="1">
      <formula>OR($R14,$B14="CZ",AND($B14="NU",I14&lt;0))</formula>
    </cfRule>
  </conditionalFormatting>
  <conditionalFormatting sqref="A14:A55">
    <cfRule type="expression" dxfId="852" priority="3">
      <formula>NOT($P14)</formula>
    </cfRule>
  </conditionalFormatting>
  <conditionalFormatting sqref="B14:D55">
    <cfRule type="expression" dxfId="85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50" priority="9">
      <formula>AND(NOT($P14),$T$1)</formula>
    </cfRule>
    <cfRule type="expression" dxfId="849" priority="10">
      <formula>AND($AP14,$S$1="M")</formula>
    </cfRule>
  </conditionalFormatting>
  <conditionalFormatting sqref="L14:L55">
    <cfRule type="expression" dxfId="84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2E492DF5-30A4-4423-BD6C-09636CAE66B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C4B53A6-63C4-44DD-9101-27855E7515F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20593506-B427-4115-A49D-D1FBA3D2E163}">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ACC1B27-EDE8-46BF-B909-09D0F4612F4E}">
      <formula1>IF($CA$14,$CA$16:$CA$21,$CB$16:$CB$19)</formula1>
    </dataValidation>
    <dataValidation type="list" allowBlank="1" showErrorMessage="1" errorTitle="Invalid Type" error="You MUST select a Type from the dropdown list provided._x000a__x000a_Also, make sure your Cap Lock is turned on." sqref="B14:B55" xr:uid="{46FDA958-F124-497E-AAC8-E131876A41D4}">
      <formula1>$BF$15:$BU$15</formula1>
    </dataValidation>
    <dataValidation allowBlank="1" showInputMessage="1" errorTitle="Invalid Load Case" error="You MUST use a Load Case from the list provided." sqref="M14:M55" xr:uid="{F596D003-36DF-42F7-B914-A6C5DE7C40E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EA89E-206A-486F-B9BC-5D0EB43A6250}">
  <sheetPr codeName="Sheet30">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c r="BE4" s="1041" t="s">
        <v>1652</v>
      </c>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5 of 28</v>
      </c>
      <c r="O7" s="1008"/>
      <c r="P7" s="238">
        <v>5</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c r="BE9" s="1041" t="s">
        <v>808</v>
      </c>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t="s">
        <v>1639</v>
      </c>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504" t="s">
        <v>1647</v>
      </c>
      <c r="B14" s="1505" t="s">
        <v>146</v>
      </c>
      <c r="C14" s="1505" t="s">
        <v>167</v>
      </c>
      <c r="D14" s="1505" t="s">
        <v>145</v>
      </c>
      <c r="E14" s="1688"/>
      <c r="F14" s="1506">
        <v>-966</v>
      </c>
      <c r="G14" s="1507">
        <v>8</v>
      </c>
      <c r="H14" s="1508">
        <v>0</v>
      </c>
      <c r="I14" s="1506">
        <v>-966</v>
      </c>
      <c r="J14" s="1507">
        <v>27</v>
      </c>
      <c r="K14" s="1508">
        <v>0</v>
      </c>
      <c r="L14" s="1509" t="s">
        <v>700</v>
      </c>
      <c r="M14" s="1510" t="s">
        <v>808</v>
      </c>
      <c r="N14" s="1691" t="s">
        <v>116</v>
      </c>
      <c r="O14" s="2770"/>
      <c r="P14" s="415" t="b">
        <f t="shared" ref="P14:P16" si="0">IF(ISERROR(VLOOKUP(AO14,BE:BE,1,FALSE)),FALSE,IF(AO14&lt;&gt;"",VLOOKUP(AO14,BE:BE,1,FALSE)=AO14))</f>
        <v>0</v>
      </c>
      <c r="R14" s="245" t="b">
        <f>OR(B14="CP",B14="CA", B14="AX",B14="M",B14="S")</f>
        <v>0</v>
      </c>
      <c r="AO14" s="238" t="str">
        <f>IF(ISBLANK(A14),"",SUBSTITUTE(A14,"*",""))</f>
        <v>19</v>
      </c>
      <c r="AP14" s="945" t="b">
        <v>0</v>
      </c>
      <c r="AQ14" s="1323" t="s">
        <v>146</v>
      </c>
      <c r="AR14" s="1324" t="s">
        <v>167</v>
      </c>
      <c r="AS14" s="1324" t="s">
        <v>145</v>
      </c>
      <c r="AT14" s="1324"/>
      <c r="AU14" s="1324">
        <v>-966</v>
      </c>
      <c r="AV14" s="1324">
        <v>8</v>
      </c>
      <c r="AW14" s="1324">
        <v>0</v>
      </c>
      <c r="AX14" s="1324">
        <v>-966</v>
      </c>
      <c r="AY14" s="1324">
        <v>27</v>
      </c>
      <c r="AZ14" s="1324">
        <v>0</v>
      </c>
      <c r="BA14" s="1533" t="s">
        <v>700</v>
      </c>
      <c r="BB14" s="1533" t="s">
        <v>808</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157</v>
      </c>
      <c r="C15" s="1512" t="s">
        <v>167</v>
      </c>
      <c r="D15" s="1512" t="s">
        <v>145</v>
      </c>
      <c r="E15" s="1513"/>
      <c r="F15" s="1514">
        <v>966</v>
      </c>
      <c r="G15" s="1515"/>
      <c r="H15" s="1516"/>
      <c r="I15" s="1514"/>
      <c r="J15" s="1515"/>
      <c r="K15" s="1516"/>
      <c r="L15" s="1517" t="s">
        <v>116</v>
      </c>
      <c r="M15" s="1518" t="s">
        <v>1393</v>
      </c>
      <c r="N15" s="1689" t="s">
        <v>116</v>
      </c>
      <c r="O15" s="2770"/>
      <c r="P15" s="415" t="b">
        <f t="shared" si="0"/>
        <v>0</v>
      </c>
      <c r="R15" s="245" t="b">
        <f t="shared" ref="R15:R55" si="1">OR(B15="CP",B15="CA", B15="AX",B15="M",B15="S")</f>
        <v>1</v>
      </c>
      <c r="AO15" s="238" t="str">
        <f t="shared" ref="AO15:AO55" si="2">IF(ISBLANK(A15),AO14,SUBSTITUTE(A15,"*",""))</f>
        <v>19</v>
      </c>
      <c r="AP15" s="945" t="b">
        <v>0</v>
      </c>
      <c r="AQ15" s="1323" t="s">
        <v>157</v>
      </c>
      <c r="AR15" s="1324" t="s">
        <v>167</v>
      </c>
      <c r="AS15" s="1324" t="s">
        <v>145</v>
      </c>
      <c r="AT15" s="1324"/>
      <c r="AU15" s="1324">
        <v>966</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146</v>
      </c>
      <c r="C16" s="1512" t="s">
        <v>165</v>
      </c>
      <c r="D16" s="1512" t="s">
        <v>145</v>
      </c>
      <c r="E16" s="1513"/>
      <c r="F16" s="1514">
        <v>96</v>
      </c>
      <c r="G16" s="1515">
        <v>8</v>
      </c>
      <c r="H16" s="1516">
        <v>0</v>
      </c>
      <c r="I16" s="1514">
        <v>96</v>
      </c>
      <c r="J16" s="1515">
        <v>27</v>
      </c>
      <c r="K16" s="1516">
        <v>0</v>
      </c>
      <c r="L16" s="1517" t="s">
        <v>700</v>
      </c>
      <c r="M16" s="1518" t="s">
        <v>116</v>
      </c>
      <c r="N16" s="1689" t="s">
        <v>116</v>
      </c>
      <c r="O16" s="2770"/>
      <c r="P16" s="415" t="b">
        <f t="shared" si="0"/>
        <v>0</v>
      </c>
      <c r="R16" s="245" t="b">
        <f t="shared" si="1"/>
        <v>0</v>
      </c>
      <c r="AO16" s="238" t="str">
        <f t="shared" si="2"/>
        <v>19</v>
      </c>
      <c r="AP16" s="945" t="b">
        <v>0</v>
      </c>
      <c r="AQ16" s="1323" t="s">
        <v>146</v>
      </c>
      <c r="AR16" s="1324" t="s">
        <v>165</v>
      </c>
      <c r="AS16" s="1324" t="s">
        <v>145</v>
      </c>
      <c r="AT16" s="1324"/>
      <c r="AU16" s="1324">
        <v>96</v>
      </c>
      <c r="AV16" s="1324">
        <v>8</v>
      </c>
      <c r="AW16" s="1324">
        <v>0</v>
      </c>
      <c r="AX16" s="1324">
        <v>96</v>
      </c>
      <c r="AY16" s="1324">
        <v>27</v>
      </c>
      <c r="AZ16" s="1324">
        <v>0</v>
      </c>
      <c r="BA16" s="1533" t="s">
        <v>700</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1648</v>
      </c>
      <c r="B17" s="1512" t="s">
        <v>146</v>
      </c>
      <c r="C17" s="1512" t="s">
        <v>167</v>
      </c>
      <c r="D17" s="1512" t="s">
        <v>145</v>
      </c>
      <c r="E17" s="1513"/>
      <c r="F17" s="1514">
        <v>966</v>
      </c>
      <c r="G17" s="1515">
        <v>17</v>
      </c>
      <c r="H17" s="1516">
        <v>0</v>
      </c>
      <c r="I17" s="1514"/>
      <c r="J17" s="1515"/>
      <c r="K17" s="1516"/>
      <c r="L17" s="1517" t="s">
        <v>700</v>
      </c>
      <c r="M17" s="1518" t="s">
        <v>1393</v>
      </c>
      <c r="N17" s="1689" t="s">
        <v>1646</v>
      </c>
      <c r="O17" s="2770"/>
      <c r="P17" s="415" t="b">
        <f>IF(ISERROR(VLOOKUP(AO17,BE:BE,1,FALSE)),FALSE,IF(AO17&lt;&gt;"",VLOOKUP(AO17,BE:BE,1,FALSE)=AO17))</f>
        <v>0</v>
      </c>
      <c r="R17" s="245" t="b">
        <f t="shared" si="1"/>
        <v>0</v>
      </c>
      <c r="AO17" s="238" t="str">
        <f t="shared" si="2"/>
        <v>20</v>
      </c>
      <c r="AP17" s="945" t="b">
        <v>0</v>
      </c>
      <c r="AQ17" s="1323" t="s">
        <v>146</v>
      </c>
      <c r="AR17" s="1324" t="s">
        <v>167</v>
      </c>
      <c r="AS17" s="1324" t="s">
        <v>145</v>
      </c>
      <c r="AT17" s="1324"/>
      <c r="AU17" s="1324">
        <v>966</v>
      </c>
      <c r="AV17" s="1324">
        <v>17</v>
      </c>
      <c r="AW17" s="1324">
        <v>0</v>
      </c>
      <c r="AX17" s="1324"/>
      <c r="AY17" s="1324"/>
      <c r="AZ17" s="1324"/>
      <c r="BA17" s="1533" t="s">
        <v>700</v>
      </c>
      <c r="BB17" s="1533" t="s">
        <v>116</v>
      </c>
      <c r="BC17" s="1534" t="s">
        <v>1646</v>
      </c>
      <c r="BD17" s="245">
        <v>4</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146</v>
      </c>
      <c r="C18" s="1512" t="s">
        <v>167</v>
      </c>
      <c r="D18" s="1512" t="s">
        <v>145</v>
      </c>
      <c r="E18" s="1513"/>
      <c r="F18" s="1514">
        <v>-966</v>
      </c>
      <c r="G18" s="1515">
        <v>17</v>
      </c>
      <c r="H18" s="1516">
        <v>0</v>
      </c>
      <c r="I18" s="1514"/>
      <c r="J18" s="1515"/>
      <c r="K18" s="1516"/>
      <c r="L18" s="1517" t="s">
        <v>700</v>
      </c>
      <c r="M18" s="1518" t="s">
        <v>808</v>
      </c>
      <c r="N18" s="1689" t="s">
        <v>116</v>
      </c>
      <c r="O18" s="2770"/>
      <c r="P18" s="415" t="b">
        <f t="shared" ref="P18:P55" si="3">IF(ISERROR(VLOOKUP(AO18,BE:BE,1,FALSE)),FALSE,IF(AO18&lt;&gt;"",VLOOKUP(AO18,BE:BE,1,FALSE)=AO18))</f>
        <v>0</v>
      </c>
      <c r="R18" s="245" t="b">
        <f t="shared" si="1"/>
        <v>0</v>
      </c>
      <c r="AO18" s="238" t="str">
        <f t="shared" si="2"/>
        <v>20</v>
      </c>
      <c r="AP18" s="945" t="b">
        <v>0</v>
      </c>
      <c r="AQ18" s="1323" t="s">
        <v>146</v>
      </c>
      <c r="AR18" s="1324" t="s">
        <v>167</v>
      </c>
      <c r="AS18" s="1324" t="s">
        <v>145</v>
      </c>
      <c r="AT18" s="1324"/>
      <c r="AU18" s="1324">
        <v>-966</v>
      </c>
      <c r="AV18" s="1324">
        <v>17</v>
      </c>
      <c r="AW18" s="1324">
        <v>0</v>
      </c>
      <c r="AX18" s="1324"/>
      <c r="AY18" s="1324"/>
      <c r="AZ18" s="1324"/>
      <c r="BA18" s="1533" t="s">
        <v>700</v>
      </c>
      <c r="BB18" s="1533" t="s">
        <v>808</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157</v>
      </c>
      <c r="C19" s="1512" t="s">
        <v>167</v>
      </c>
      <c r="D19" s="1512" t="s">
        <v>145</v>
      </c>
      <c r="E19" s="1513"/>
      <c r="F19" s="1514">
        <v>966</v>
      </c>
      <c r="G19" s="1515"/>
      <c r="H19" s="1516"/>
      <c r="I19" s="1514"/>
      <c r="J19" s="1515"/>
      <c r="K19" s="1516"/>
      <c r="L19" s="1517" t="s">
        <v>116</v>
      </c>
      <c r="M19" s="1518" t="s">
        <v>1393</v>
      </c>
      <c r="N19" s="1689" t="s">
        <v>116</v>
      </c>
      <c r="O19" s="2770"/>
      <c r="P19" s="415" t="b">
        <f t="shared" si="3"/>
        <v>0</v>
      </c>
      <c r="R19" s="245" t="b">
        <f t="shared" si="1"/>
        <v>1</v>
      </c>
      <c r="AO19" s="238" t="str">
        <f t="shared" si="2"/>
        <v>20</v>
      </c>
      <c r="AP19" s="945" t="b">
        <v>0</v>
      </c>
      <c r="AQ19" s="1323" t="s">
        <v>157</v>
      </c>
      <c r="AR19" s="1324" t="s">
        <v>167</v>
      </c>
      <c r="AS19" s="1324" t="s">
        <v>145</v>
      </c>
      <c r="AT19" s="1324"/>
      <c r="AU19" s="1324">
        <v>966</v>
      </c>
      <c r="AV19" s="1324"/>
      <c r="AW19" s="1324"/>
      <c r="AX19" s="1324"/>
      <c r="AY19" s="1324"/>
      <c r="AZ19" s="1324"/>
      <c r="BA19" s="1533" t="s">
        <v>116</v>
      </c>
      <c r="BB19" s="1533" t="s">
        <v>116</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146</v>
      </c>
      <c r="C20" s="1512" t="s">
        <v>165</v>
      </c>
      <c r="D20" s="1512" t="s">
        <v>145</v>
      </c>
      <c r="E20" s="1513"/>
      <c r="F20" s="1514">
        <v>96</v>
      </c>
      <c r="G20" s="1515">
        <v>17</v>
      </c>
      <c r="H20" s="1516">
        <v>0</v>
      </c>
      <c r="I20" s="1514"/>
      <c r="J20" s="1515"/>
      <c r="K20" s="1516"/>
      <c r="L20" s="1517" t="s">
        <v>700</v>
      </c>
      <c r="M20" s="1518" t="s">
        <v>116</v>
      </c>
      <c r="N20" s="1519" t="s">
        <v>116</v>
      </c>
      <c r="O20" s="2771"/>
      <c r="P20" s="415" t="b">
        <f t="shared" si="3"/>
        <v>0</v>
      </c>
      <c r="R20" s="245" t="b">
        <f t="shared" si="1"/>
        <v>0</v>
      </c>
      <c r="AO20" s="238" t="str">
        <f t="shared" si="2"/>
        <v>20</v>
      </c>
      <c r="AP20" s="945" t="b">
        <v>0</v>
      </c>
      <c r="AQ20" s="1323" t="s">
        <v>146</v>
      </c>
      <c r="AR20" s="1324" t="s">
        <v>165</v>
      </c>
      <c r="AS20" s="1324" t="s">
        <v>145</v>
      </c>
      <c r="AT20" s="1324"/>
      <c r="AU20" s="1324">
        <v>96</v>
      </c>
      <c r="AV20" s="1324">
        <v>17</v>
      </c>
      <c r="AW20" s="1324">
        <v>0</v>
      </c>
      <c r="AX20" s="1324"/>
      <c r="AY20" s="1324"/>
      <c r="AZ20" s="1324"/>
      <c r="BA20" s="1533" t="s">
        <v>700</v>
      </c>
      <c r="BB20" s="1533" t="s">
        <v>116</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t="s">
        <v>1649</v>
      </c>
      <c r="B21" s="1512" t="s">
        <v>146</v>
      </c>
      <c r="C21" s="1512" t="s">
        <v>167</v>
      </c>
      <c r="D21" s="1512" t="s">
        <v>145</v>
      </c>
      <c r="E21" s="1513"/>
      <c r="F21" s="1514">
        <v>966</v>
      </c>
      <c r="G21" s="1515">
        <v>17</v>
      </c>
      <c r="H21" s="1516">
        <v>0</v>
      </c>
      <c r="I21" s="1514">
        <v>966</v>
      </c>
      <c r="J21" s="1515">
        <v>38</v>
      </c>
      <c r="K21" s="1516">
        <v>6</v>
      </c>
      <c r="L21" s="1517" t="s">
        <v>700</v>
      </c>
      <c r="M21" s="1518" t="s">
        <v>1393</v>
      </c>
      <c r="N21" s="1519" t="s">
        <v>1646</v>
      </c>
      <c r="O21" s="2771"/>
      <c r="P21" s="415" t="b">
        <f t="shared" si="3"/>
        <v>0</v>
      </c>
      <c r="R21" s="245" t="b">
        <f t="shared" si="1"/>
        <v>0</v>
      </c>
      <c r="AO21" s="238" t="str">
        <f t="shared" si="2"/>
        <v>21</v>
      </c>
      <c r="AP21" s="945" t="b">
        <v>0</v>
      </c>
      <c r="AQ21" s="1323" t="s">
        <v>146</v>
      </c>
      <c r="AR21" s="1324" t="s">
        <v>167</v>
      </c>
      <c r="AS21" s="1324" t="s">
        <v>145</v>
      </c>
      <c r="AT21" s="1324"/>
      <c r="AU21" s="1324">
        <v>966</v>
      </c>
      <c r="AV21" s="1324">
        <v>17</v>
      </c>
      <c r="AW21" s="1324">
        <v>0</v>
      </c>
      <c r="AX21" s="1324">
        <v>966</v>
      </c>
      <c r="AY21" s="1324">
        <v>38</v>
      </c>
      <c r="AZ21" s="1324">
        <v>6</v>
      </c>
      <c r="BA21" s="1533" t="s">
        <v>700</v>
      </c>
      <c r="BB21" s="1533" t="s">
        <v>116</v>
      </c>
      <c r="BC21" s="1534" t="s">
        <v>1646</v>
      </c>
      <c r="BD21" s="245">
        <v>4</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146</v>
      </c>
      <c r="C22" s="1512" t="s">
        <v>167</v>
      </c>
      <c r="D22" s="1512" t="s">
        <v>145</v>
      </c>
      <c r="E22" s="1513"/>
      <c r="F22" s="1514">
        <v>-966</v>
      </c>
      <c r="G22" s="1515">
        <v>17</v>
      </c>
      <c r="H22" s="1516">
        <v>0</v>
      </c>
      <c r="I22" s="1514">
        <v>-966</v>
      </c>
      <c r="J22" s="1515">
        <v>38</v>
      </c>
      <c r="K22" s="1516">
        <v>6</v>
      </c>
      <c r="L22" s="1517" t="s">
        <v>700</v>
      </c>
      <c r="M22" s="1518" t="s">
        <v>808</v>
      </c>
      <c r="N22" s="1519" t="s">
        <v>116</v>
      </c>
      <c r="O22" s="2771"/>
      <c r="P22" s="415" t="b">
        <f t="shared" si="3"/>
        <v>0</v>
      </c>
      <c r="R22" s="245" t="b">
        <f t="shared" si="1"/>
        <v>0</v>
      </c>
      <c r="AO22" s="238" t="str">
        <f t="shared" si="2"/>
        <v>21</v>
      </c>
      <c r="AP22" s="945" t="b">
        <v>0</v>
      </c>
      <c r="AQ22" s="1323" t="s">
        <v>146</v>
      </c>
      <c r="AR22" s="1324" t="s">
        <v>167</v>
      </c>
      <c r="AS22" s="1324" t="s">
        <v>145</v>
      </c>
      <c r="AT22" s="1324"/>
      <c r="AU22" s="1324">
        <v>-966</v>
      </c>
      <c r="AV22" s="1324">
        <v>17</v>
      </c>
      <c r="AW22" s="1324">
        <v>0</v>
      </c>
      <c r="AX22" s="1324">
        <v>-966</v>
      </c>
      <c r="AY22" s="1324">
        <v>38</v>
      </c>
      <c r="AZ22" s="1324">
        <v>6</v>
      </c>
      <c r="BA22" s="1533" t="s">
        <v>700</v>
      </c>
      <c r="BB22" s="1533" t="s">
        <v>808</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157</v>
      </c>
      <c r="C23" s="1512" t="s">
        <v>167</v>
      </c>
      <c r="D23" s="1512" t="s">
        <v>145</v>
      </c>
      <c r="E23" s="1513"/>
      <c r="F23" s="1514">
        <v>966</v>
      </c>
      <c r="G23" s="1515"/>
      <c r="H23" s="1516"/>
      <c r="I23" s="1514"/>
      <c r="J23" s="1515"/>
      <c r="K23" s="1516"/>
      <c r="L23" s="1517" t="s">
        <v>116</v>
      </c>
      <c r="M23" s="1518" t="s">
        <v>1393</v>
      </c>
      <c r="N23" s="1519" t="s">
        <v>116</v>
      </c>
      <c r="O23" s="2771"/>
      <c r="P23" s="415" t="b">
        <f t="shared" si="3"/>
        <v>0</v>
      </c>
      <c r="R23" s="245" t="b">
        <f t="shared" si="1"/>
        <v>1</v>
      </c>
      <c r="AO23" s="238" t="str">
        <f t="shared" si="2"/>
        <v>21</v>
      </c>
      <c r="AP23" s="945" t="b">
        <v>0</v>
      </c>
      <c r="AQ23" s="1323" t="s">
        <v>157</v>
      </c>
      <c r="AR23" s="1324" t="s">
        <v>167</v>
      </c>
      <c r="AS23" s="1324" t="s">
        <v>145</v>
      </c>
      <c r="AT23" s="1324"/>
      <c r="AU23" s="1324">
        <v>966</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146</v>
      </c>
      <c r="C24" s="1512" t="s">
        <v>165</v>
      </c>
      <c r="D24" s="1512" t="s">
        <v>145</v>
      </c>
      <c r="E24" s="1513"/>
      <c r="F24" s="1514">
        <v>96</v>
      </c>
      <c r="G24" s="1515">
        <v>17</v>
      </c>
      <c r="H24" s="1516">
        <v>0</v>
      </c>
      <c r="I24" s="1514">
        <v>96</v>
      </c>
      <c r="J24" s="1515">
        <v>38</v>
      </c>
      <c r="K24" s="1516">
        <v>6</v>
      </c>
      <c r="L24" s="1517" t="s">
        <v>700</v>
      </c>
      <c r="M24" s="1518" t="s">
        <v>116</v>
      </c>
      <c r="N24" s="1519" t="s">
        <v>116</v>
      </c>
      <c r="O24" s="2771"/>
      <c r="P24" s="415" t="b">
        <f t="shared" si="3"/>
        <v>0</v>
      </c>
      <c r="R24" s="245" t="b">
        <f t="shared" si="1"/>
        <v>0</v>
      </c>
      <c r="AO24" s="238" t="str">
        <f t="shared" si="2"/>
        <v>21</v>
      </c>
      <c r="AP24" s="945" t="b">
        <v>0</v>
      </c>
      <c r="AQ24" s="1323" t="s">
        <v>146</v>
      </c>
      <c r="AR24" s="1324" t="s">
        <v>165</v>
      </c>
      <c r="AS24" s="1324" t="s">
        <v>145</v>
      </c>
      <c r="AT24" s="1324"/>
      <c r="AU24" s="1324">
        <v>96</v>
      </c>
      <c r="AV24" s="1324">
        <v>17</v>
      </c>
      <c r="AW24" s="1324">
        <v>0</v>
      </c>
      <c r="AX24" s="1324">
        <v>96</v>
      </c>
      <c r="AY24" s="1324">
        <v>38</v>
      </c>
      <c r="AZ24" s="1324">
        <v>6</v>
      </c>
      <c r="BA24" s="1533" t="s">
        <v>700</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t="s">
        <v>1650</v>
      </c>
      <c r="B25" s="1512" t="s">
        <v>146</v>
      </c>
      <c r="C25" s="1512" t="s">
        <v>167</v>
      </c>
      <c r="D25" s="1512" t="s">
        <v>145</v>
      </c>
      <c r="E25" s="1513"/>
      <c r="F25" s="1514">
        <v>966</v>
      </c>
      <c r="G25" s="1515">
        <v>3</v>
      </c>
      <c r="H25" s="1516">
        <v>0</v>
      </c>
      <c r="I25" s="1514"/>
      <c r="J25" s="1515"/>
      <c r="K25" s="1516"/>
      <c r="L25" s="1517" t="s">
        <v>702</v>
      </c>
      <c r="M25" s="1518" t="s">
        <v>1393</v>
      </c>
      <c r="N25" s="1519" t="s">
        <v>1646</v>
      </c>
      <c r="O25" s="2771"/>
      <c r="P25" s="415" t="b">
        <f t="shared" si="3"/>
        <v>0</v>
      </c>
      <c r="R25" s="245" t="b">
        <f t="shared" si="1"/>
        <v>0</v>
      </c>
      <c r="AO25" s="238" t="str">
        <f t="shared" si="2"/>
        <v>22</v>
      </c>
      <c r="AP25" s="945" t="b">
        <v>0</v>
      </c>
      <c r="AQ25" s="1323" t="s">
        <v>146</v>
      </c>
      <c r="AR25" s="1324" t="s">
        <v>167</v>
      </c>
      <c r="AS25" s="1324" t="s">
        <v>145</v>
      </c>
      <c r="AT25" s="1324"/>
      <c r="AU25" s="1324">
        <v>966</v>
      </c>
      <c r="AV25" s="1324">
        <v>3</v>
      </c>
      <c r="AW25" s="1324">
        <v>0</v>
      </c>
      <c r="AX25" s="1324"/>
      <c r="AY25" s="1324"/>
      <c r="AZ25" s="1324"/>
      <c r="BA25" s="1533" t="s">
        <v>702</v>
      </c>
      <c r="BB25" s="1533" t="s">
        <v>116</v>
      </c>
      <c r="BC25" s="1534" t="s">
        <v>1646</v>
      </c>
      <c r="BD25" s="245">
        <v>4</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146</v>
      </c>
      <c r="C26" s="1512" t="s">
        <v>167</v>
      </c>
      <c r="D26" s="1512" t="s">
        <v>145</v>
      </c>
      <c r="E26" s="1513"/>
      <c r="F26" s="1514">
        <v>-966</v>
      </c>
      <c r="G26" s="1515">
        <v>3</v>
      </c>
      <c r="H26" s="1516">
        <v>0</v>
      </c>
      <c r="I26" s="1514"/>
      <c r="J26" s="1515"/>
      <c r="K26" s="1516"/>
      <c r="L26" s="1517" t="s">
        <v>702</v>
      </c>
      <c r="M26" s="1518" t="s">
        <v>808</v>
      </c>
      <c r="N26" s="1519" t="s">
        <v>116</v>
      </c>
      <c r="O26" s="2771"/>
      <c r="P26" s="415" t="b">
        <f t="shared" si="3"/>
        <v>0</v>
      </c>
      <c r="R26" s="245" t="b">
        <f t="shared" si="1"/>
        <v>0</v>
      </c>
      <c r="AO26" s="238" t="str">
        <f t="shared" si="2"/>
        <v>22</v>
      </c>
      <c r="AP26" s="945" t="b">
        <v>0</v>
      </c>
      <c r="AQ26" s="1323" t="s">
        <v>146</v>
      </c>
      <c r="AR26" s="1324" t="s">
        <v>167</v>
      </c>
      <c r="AS26" s="1324" t="s">
        <v>145</v>
      </c>
      <c r="AT26" s="1324"/>
      <c r="AU26" s="1324">
        <v>-966</v>
      </c>
      <c r="AV26" s="1324">
        <v>3</v>
      </c>
      <c r="AW26" s="1324">
        <v>0</v>
      </c>
      <c r="AX26" s="1324"/>
      <c r="AY26" s="1324"/>
      <c r="AZ26" s="1324"/>
      <c r="BA26" s="1533" t="s">
        <v>702</v>
      </c>
      <c r="BB26" s="1533" t="s">
        <v>808</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157</v>
      </c>
      <c r="C27" s="1512" t="s">
        <v>167</v>
      </c>
      <c r="D27" s="1512" t="s">
        <v>145</v>
      </c>
      <c r="E27" s="1513"/>
      <c r="F27" s="1514">
        <v>966</v>
      </c>
      <c r="G27" s="1515"/>
      <c r="H27" s="1516"/>
      <c r="I27" s="1514"/>
      <c r="J27" s="1515"/>
      <c r="K27" s="1516"/>
      <c r="L27" s="1517" t="s">
        <v>116</v>
      </c>
      <c r="M27" s="1518" t="s">
        <v>1393</v>
      </c>
      <c r="N27" s="1519" t="s">
        <v>116</v>
      </c>
      <c r="O27" s="2771"/>
      <c r="P27" s="415" t="b">
        <f t="shared" si="3"/>
        <v>0</v>
      </c>
      <c r="R27" s="245" t="b">
        <f t="shared" si="1"/>
        <v>1</v>
      </c>
      <c r="AO27" s="238" t="str">
        <f t="shared" si="2"/>
        <v>22</v>
      </c>
      <c r="AP27" s="945" t="b">
        <v>0</v>
      </c>
      <c r="AQ27" s="1323" t="s">
        <v>157</v>
      </c>
      <c r="AR27" s="1324" t="s">
        <v>167</v>
      </c>
      <c r="AS27" s="1324" t="s">
        <v>145</v>
      </c>
      <c r="AT27" s="1324"/>
      <c r="AU27" s="1324">
        <v>966</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146</v>
      </c>
      <c r="C28" s="1512" t="s">
        <v>165</v>
      </c>
      <c r="D28" s="1512" t="s">
        <v>145</v>
      </c>
      <c r="E28" s="1513"/>
      <c r="F28" s="1514">
        <v>96</v>
      </c>
      <c r="G28" s="1515">
        <v>3</v>
      </c>
      <c r="H28" s="1516">
        <v>0</v>
      </c>
      <c r="I28" s="1514"/>
      <c r="J28" s="1515"/>
      <c r="K28" s="1516"/>
      <c r="L28" s="1517" t="s">
        <v>702</v>
      </c>
      <c r="M28" s="1518" t="s">
        <v>116</v>
      </c>
      <c r="N28" s="1689" t="s">
        <v>116</v>
      </c>
      <c r="O28" s="2770"/>
      <c r="P28" s="415" t="b">
        <f t="shared" si="3"/>
        <v>0</v>
      </c>
      <c r="R28" s="245" t="b">
        <f t="shared" si="1"/>
        <v>0</v>
      </c>
      <c r="AO28" s="238" t="str">
        <f t="shared" si="2"/>
        <v>22</v>
      </c>
      <c r="AP28" s="945" t="b">
        <v>0</v>
      </c>
      <c r="AQ28" s="1323" t="s">
        <v>146</v>
      </c>
      <c r="AR28" s="1324" t="s">
        <v>165</v>
      </c>
      <c r="AS28" s="1324" t="s">
        <v>145</v>
      </c>
      <c r="AT28" s="1324"/>
      <c r="AU28" s="1324">
        <v>96</v>
      </c>
      <c r="AV28" s="1324">
        <v>3</v>
      </c>
      <c r="AW28" s="1324">
        <v>0</v>
      </c>
      <c r="AX28" s="1324"/>
      <c r="AY28" s="1324"/>
      <c r="AZ28" s="1324"/>
      <c r="BA28" s="1533" t="s">
        <v>702</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t="s">
        <v>1651</v>
      </c>
      <c r="B29" s="1512" t="s">
        <v>146</v>
      </c>
      <c r="C29" s="1512" t="s">
        <v>167</v>
      </c>
      <c r="D29" s="1512" t="s">
        <v>145</v>
      </c>
      <c r="E29" s="1513"/>
      <c r="F29" s="1514">
        <v>966</v>
      </c>
      <c r="G29" s="1515">
        <v>28</v>
      </c>
      <c r="H29" s="1516">
        <v>0</v>
      </c>
      <c r="I29" s="1514"/>
      <c r="J29" s="1515"/>
      <c r="K29" s="1516"/>
      <c r="L29" s="1517" t="s">
        <v>700</v>
      </c>
      <c r="M29" s="1518" t="s">
        <v>1393</v>
      </c>
      <c r="N29" s="1689" t="s">
        <v>1646</v>
      </c>
      <c r="O29" s="2770"/>
      <c r="P29" s="415" t="b">
        <f t="shared" si="3"/>
        <v>0</v>
      </c>
      <c r="R29" s="245" t="b">
        <f t="shared" si="1"/>
        <v>0</v>
      </c>
      <c r="AO29" s="238" t="str">
        <f t="shared" si="2"/>
        <v>23</v>
      </c>
      <c r="AP29" s="945" t="b">
        <v>0</v>
      </c>
      <c r="AQ29" s="1323" t="s">
        <v>146</v>
      </c>
      <c r="AR29" s="1324" t="s">
        <v>167</v>
      </c>
      <c r="AS29" s="1324" t="s">
        <v>145</v>
      </c>
      <c r="AT29" s="1324"/>
      <c r="AU29" s="1324">
        <v>966</v>
      </c>
      <c r="AV29" s="1324">
        <v>28</v>
      </c>
      <c r="AW29" s="1324">
        <v>0</v>
      </c>
      <c r="AX29" s="1324"/>
      <c r="AY29" s="1324"/>
      <c r="AZ29" s="1324"/>
      <c r="BA29" s="1533" t="s">
        <v>700</v>
      </c>
      <c r="BB29" s="1533" t="s">
        <v>116</v>
      </c>
      <c r="BC29" s="1534" t="s">
        <v>1646</v>
      </c>
      <c r="BD29" s="245">
        <v>4</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146</v>
      </c>
      <c r="C30" s="1512" t="s">
        <v>167</v>
      </c>
      <c r="D30" s="1512" t="s">
        <v>145</v>
      </c>
      <c r="E30" s="1513"/>
      <c r="F30" s="1514">
        <v>-966</v>
      </c>
      <c r="G30" s="1515">
        <v>28</v>
      </c>
      <c r="H30" s="1516">
        <v>0</v>
      </c>
      <c r="I30" s="1514"/>
      <c r="J30" s="1515"/>
      <c r="K30" s="1516"/>
      <c r="L30" s="1517" t="s">
        <v>700</v>
      </c>
      <c r="M30" s="1518" t="s">
        <v>808</v>
      </c>
      <c r="N30" s="1689" t="s">
        <v>116</v>
      </c>
      <c r="O30" s="2770"/>
      <c r="P30" s="415" t="b">
        <f t="shared" si="3"/>
        <v>0</v>
      </c>
      <c r="R30" s="245" t="b">
        <f t="shared" si="1"/>
        <v>0</v>
      </c>
      <c r="AO30" s="238" t="str">
        <f t="shared" si="2"/>
        <v>23</v>
      </c>
      <c r="AP30" s="945" t="b">
        <v>0</v>
      </c>
      <c r="AQ30" s="1323" t="s">
        <v>146</v>
      </c>
      <c r="AR30" s="1324" t="s">
        <v>167</v>
      </c>
      <c r="AS30" s="1324" t="s">
        <v>145</v>
      </c>
      <c r="AT30" s="1324"/>
      <c r="AU30" s="1324">
        <v>-966</v>
      </c>
      <c r="AV30" s="1324">
        <v>28</v>
      </c>
      <c r="AW30" s="1324">
        <v>0</v>
      </c>
      <c r="AX30" s="1324"/>
      <c r="AY30" s="1324"/>
      <c r="AZ30" s="1324"/>
      <c r="BA30" s="1533" t="s">
        <v>700</v>
      </c>
      <c r="BB30" s="1533" t="s">
        <v>808</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157</v>
      </c>
      <c r="C31" s="1512" t="s">
        <v>167</v>
      </c>
      <c r="D31" s="1512" t="s">
        <v>145</v>
      </c>
      <c r="E31" s="1513"/>
      <c r="F31" s="1514">
        <v>966</v>
      </c>
      <c r="G31" s="1515"/>
      <c r="H31" s="1516"/>
      <c r="I31" s="1514"/>
      <c r="J31" s="1515"/>
      <c r="K31" s="1516"/>
      <c r="L31" s="1517" t="s">
        <v>116</v>
      </c>
      <c r="M31" s="1517" t="s">
        <v>1393</v>
      </c>
      <c r="N31" s="1689" t="s">
        <v>116</v>
      </c>
      <c r="O31" s="2770"/>
      <c r="P31" s="415" t="b">
        <f t="shared" si="3"/>
        <v>0</v>
      </c>
      <c r="R31" s="245" t="b">
        <f t="shared" si="1"/>
        <v>1</v>
      </c>
      <c r="AO31" s="238" t="str">
        <f t="shared" si="2"/>
        <v>23</v>
      </c>
      <c r="AP31" s="945" t="b">
        <v>0</v>
      </c>
      <c r="AQ31" s="1323" t="s">
        <v>157</v>
      </c>
      <c r="AR31" s="1324" t="s">
        <v>167</v>
      </c>
      <c r="AS31" s="1324" t="s">
        <v>145</v>
      </c>
      <c r="AT31" s="1324"/>
      <c r="AU31" s="1324">
        <v>966</v>
      </c>
      <c r="AV31" s="1324"/>
      <c r="AW31" s="1324"/>
      <c r="AX31" s="1324"/>
      <c r="AY31" s="1324"/>
      <c r="AZ31" s="1324"/>
      <c r="BA31" s="1533" t="s">
        <v>116</v>
      </c>
      <c r="BB31" s="1533" t="s">
        <v>116</v>
      </c>
      <c r="BC31" s="1534" t="s">
        <v>116</v>
      </c>
    </row>
    <row r="32" spans="1:81" ht="14.1" customHeight="1" x14ac:dyDescent="0.2">
      <c r="A32" s="1511"/>
      <c r="B32" s="1512" t="s">
        <v>146</v>
      </c>
      <c r="C32" s="1512" t="s">
        <v>165</v>
      </c>
      <c r="D32" s="1512" t="s">
        <v>145</v>
      </c>
      <c r="E32" s="1513"/>
      <c r="F32" s="1514">
        <v>96</v>
      </c>
      <c r="G32" s="1515">
        <v>28</v>
      </c>
      <c r="H32" s="1516">
        <v>0</v>
      </c>
      <c r="I32" s="1514"/>
      <c r="J32" s="1515"/>
      <c r="K32" s="1516"/>
      <c r="L32" s="1517" t="s">
        <v>700</v>
      </c>
      <c r="M32" s="1517" t="s">
        <v>116</v>
      </c>
      <c r="N32" s="1689" t="s">
        <v>116</v>
      </c>
      <c r="O32" s="2770"/>
      <c r="P32" s="415" t="b">
        <f t="shared" si="3"/>
        <v>0</v>
      </c>
      <c r="R32" s="245" t="b">
        <f t="shared" si="1"/>
        <v>0</v>
      </c>
      <c r="AO32" s="238" t="str">
        <f t="shared" si="2"/>
        <v>23</v>
      </c>
      <c r="AP32" s="945" t="b">
        <v>0</v>
      </c>
      <c r="AQ32" s="1323" t="s">
        <v>146</v>
      </c>
      <c r="AR32" s="1324" t="s">
        <v>165</v>
      </c>
      <c r="AS32" s="1324" t="s">
        <v>145</v>
      </c>
      <c r="AT32" s="1324"/>
      <c r="AU32" s="1324">
        <v>96</v>
      </c>
      <c r="AV32" s="1324">
        <v>28</v>
      </c>
      <c r="AW32" s="1324">
        <v>0</v>
      </c>
      <c r="AX32" s="1324"/>
      <c r="AY32" s="1324"/>
      <c r="AZ32" s="1324"/>
      <c r="BA32" s="1533" t="s">
        <v>700</v>
      </c>
      <c r="BB32" s="1533" t="s">
        <v>116</v>
      </c>
      <c r="BC32" s="1534" t="s">
        <v>116</v>
      </c>
    </row>
    <row r="33" spans="1:56" ht="14.1" customHeight="1" x14ac:dyDescent="0.2">
      <c r="A33" s="1511" t="s">
        <v>1652</v>
      </c>
      <c r="B33" s="1512" t="s">
        <v>151</v>
      </c>
      <c r="C33" s="1512" t="s">
        <v>165</v>
      </c>
      <c r="D33" s="1512" t="s">
        <v>145</v>
      </c>
      <c r="E33" s="1513"/>
      <c r="F33" s="1514">
        <v>12</v>
      </c>
      <c r="G33" s="1515"/>
      <c r="H33" s="1516"/>
      <c r="I33" s="1514"/>
      <c r="J33" s="1515"/>
      <c r="K33" s="1516"/>
      <c r="L33" s="1517" t="s">
        <v>116</v>
      </c>
      <c r="M33" s="1517" t="s">
        <v>116</v>
      </c>
      <c r="N33" s="1689" t="s">
        <v>1653</v>
      </c>
      <c r="O33" s="2770"/>
      <c r="P33" s="415" t="b">
        <f t="shared" si="3"/>
        <v>1</v>
      </c>
      <c r="R33" s="245" t="b">
        <f t="shared" si="1"/>
        <v>0</v>
      </c>
      <c r="AO33" s="238" t="str">
        <f t="shared" si="2"/>
        <v>24</v>
      </c>
      <c r="AP33" s="945" t="b">
        <v>0</v>
      </c>
      <c r="AQ33" s="1323" t="s">
        <v>151</v>
      </c>
      <c r="AR33" s="1324" t="s">
        <v>165</v>
      </c>
      <c r="AS33" s="1324" t="s">
        <v>145</v>
      </c>
      <c r="AT33" s="1324"/>
      <c r="AU33" s="1324">
        <v>12</v>
      </c>
      <c r="AV33" s="1324"/>
      <c r="AW33" s="1324"/>
      <c r="AX33" s="1324"/>
      <c r="AY33" s="1324"/>
      <c r="AZ33" s="1324"/>
      <c r="BA33" s="1533" t="s">
        <v>116</v>
      </c>
      <c r="BB33" s="1533" t="s">
        <v>116</v>
      </c>
      <c r="BC33" s="1534" t="s">
        <v>1653</v>
      </c>
      <c r="BD33" s="245">
        <v>1</v>
      </c>
    </row>
    <row r="34" spans="1:56" ht="14.1" customHeight="1" x14ac:dyDescent="0.2">
      <c r="A34" s="1511" t="s">
        <v>1654</v>
      </c>
      <c r="B34" s="1512" t="s">
        <v>154</v>
      </c>
      <c r="C34" s="1512" t="s">
        <v>167</v>
      </c>
      <c r="D34" s="1512" t="s">
        <v>145</v>
      </c>
      <c r="E34" s="1513"/>
      <c r="F34" s="1514">
        <v>1070</v>
      </c>
      <c r="G34" s="1515"/>
      <c r="H34" s="1516"/>
      <c r="I34" s="1514"/>
      <c r="J34" s="1515"/>
      <c r="K34" s="1516"/>
      <c r="L34" s="1517" t="s">
        <v>116</v>
      </c>
      <c r="M34" s="1517" t="s">
        <v>1393</v>
      </c>
      <c r="N34" s="1689" t="s">
        <v>1655</v>
      </c>
      <c r="O34" s="2770"/>
      <c r="P34" s="415" t="b">
        <f t="shared" si="3"/>
        <v>0</v>
      </c>
      <c r="R34" s="245" t="b">
        <f t="shared" si="1"/>
        <v>1</v>
      </c>
      <c r="AO34" s="238" t="str">
        <f t="shared" si="2"/>
        <v>25</v>
      </c>
      <c r="AP34" s="945" t="b">
        <v>0</v>
      </c>
      <c r="AQ34" s="1323" t="s">
        <v>154</v>
      </c>
      <c r="AR34" s="1324" t="s">
        <v>167</v>
      </c>
      <c r="AS34" s="1324" t="s">
        <v>145</v>
      </c>
      <c r="AT34" s="1324"/>
      <c r="AU34" s="1324">
        <v>1070</v>
      </c>
      <c r="AV34" s="1324"/>
      <c r="AW34" s="1324"/>
      <c r="AX34" s="1324"/>
      <c r="AY34" s="1324"/>
      <c r="AZ34" s="1324"/>
      <c r="BA34" s="1533" t="s">
        <v>116</v>
      </c>
      <c r="BB34" s="1533" t="s">
        <v>116</v>
      </c>
      <c r="BC34" s="1534" t="s">
        <v>1655</v>
      </c>
      <c r="BD34" s="245">
        <v>6</v>
      </c>
    </row>
    <row r="35" spans="1:56" ht="14.1" customHeight="1" x14ac:dyDescent="0.2">
      <c r="A35" s="1511"/>
      <c r="B35" s="1512" t="s">
        <v>154</v>
      </c>
      <c r="C35" s="1512" t="s">
        <v>167</v>
      </c>
      <c r="D35" s="1512" t="s">
        <v>145</v>
      </c>
      <c r="E35" s="1513"/>
      <c r="F35" s="1514">
        <v>-1070</v>
      </c>
      <c r="G35" s="1515"/>
      <c r="H35" s="1516"/>
      <c r="I35" s="1514"/>
      <c r="J35" s="1515"/>
      <c r="K35" s="1516"/>
      <c r="L35" s="1517" t="s">
        <v>116</v>
      </c>
      <c r="M35" s="1517" t="s">
        <v>808</v>
      </c>
      <c r="N35" s="1689" t="s">
        <v>116</v>
      </c>
      <c r="O35" s="2770"/>
      <c r="P35" s="415" t="b">
        <f t="shared" si="3"/>
        <v>0</v>
      </c>
      <c r="R35" s="245" t="b">
        <f t="shared" si="1"/>
        <v>1</v>
      </c>
      <c r="AO35" s="238" t="str">
        <f t="shared" si="2"/>
        <v>25</v>
      </c>
      <c r="AP35" s="945" t="b">
        <v>0</v>
      </c>
      <c r="AQ35" s="1323" t="s">
        <v>154</v>
      </c>
      <c r="AR35" s="1324" t="s">
        <v>167</v>
      </c>
      <c r="AS35" s="1324" t="s">
        <v>145</v>
      </c>
      <c r="AT35" s="1324"/>
      <c r="AU35" s="1324">
        <v>-1070</v>
      </c>
      <c r="AV35" s="1324"/>
      <c r="AW35" s="1324"/>
      <c r="AX35" s="1324"/>
      <c r="AY35" s="1324"/>
      <c r="AZ35" s="1324"/>
      <c r="BA35" s="1533" t="s">
        <v>116</v>
      </c>
      <c r="BB35" s="1533" t="s">
        <v>808</v>
      </c>
      <c r="BC35" s="1534" t="s">
        <v>116</v>
      </c>
    </row>
    <row r="36" spans="1:56" ht="14.1" customHeight="1" x14ac:dyDescent="0.2">
      <c r="A36" s="1511"/>
      <c r="B36" s="1512" t="s">
        <v>151</v>
      </c>
      <c r="C36" s="1512" t="s">
        <v>167</v>
      </c>
      <c r="D36" s="1512" t="s">
        <v>145</v>
      </c>
      <c r="E36" s="1513"/>
      <c r="F36" s="1514">
        <v>14</v>
      </c>
      <c r="G36" s="1515"/>
      <c r="H36" s="1516"/>
      <c r="I36" s="1514"/>
      <c r="J36" s="1515"/>
      <c r="K36" s="1516"/>
      <c r="L36" s="1517" t="s">
        <v>116</v>
      </c>
      <c r="M36" s="1517" t="s">
        <v>1393</v>
      </c>
      <c r="N36" s="1689" t="s">
        <v>116</v>
      </c>
      <c r="O36" s="2770"/>
      <c r="P36" s="415" t="b">
        <f t="shared" si="3"/>
        <v>0</v>
      </c>
      <c r="R36" s="245" t="b">
        <f t="shared" si="1"/>
        <v>0</v>
      </c>
      <c r="AO36" s="238" t="str">
        <f t="shared" si="2"/>
        <v>25</v>
      </c>
      <c r="AP36" s="945" t="b">
        <v>0</v>
      </c>
      <c r="AQ36" s="1323" t="s">
        <v>151</v>
      </c>
      <c r="AR36" s="1324" t="s">
        <v>167</v>
      </c>
      <c r="AS36" s="1324" t="s">
        <v>145</v>
      </c>
      <c r="AT36" s="1324"/>
      <c r="AU36" s="1324">
        <v>14</v>
      </c>
      <c r="AV36" s="1324"/>
      <c r="AW36" s="1324"/>
      <c r="AX36" s="1324"/>
      <c r="AY36" s="1324"/>
      <c r="AZ36" s="1324"/>
      <c r="BA36" s="1533" t="s">
        <v>116</v>
      </c>
      <c r="BB36" s="1533" t="s">
        <v>116</v>
      </c>
      <c r="BC36" s="1534" t="s">
        <v>116</v>
      </c>
    </row>
    <row r="37" spans="1:56" ht="14.1" customHeight="1" x14ac:dyDescent="0.2">
      <c r="A37" s="1511"/>
      <c r="B37" s="1512" t="s">
        <v>151</v>
      </c>
      <c r="C37" s="1512" t="s">
        <v>167</v>
      </c>
      <c r="D37" s="1512" t="s">
        <v>145</v>
      </c>
      <c r="E37" s="1513"/>
      <c r="F37" s="1514">
        <v>-14</v>
      </c>
      <c r="G37" s="1515"/>
      <c r="H37" s="1516"/>
      <c r="I37" s="1514"/>
      <c r="J37" s="1515"/>
      <c r="K37" s="1516"/>
      <c r="L37" s="1517" t="s">
        <v>116</v>
      </c>
      <c r="M37" s="1517" t="s">
        <v>808</v>
      </c>
      <c r="N37" s="1689" t="s">
        <v>116</v>
      </c>
      <c r="O37" s="2770"/>
      <c r="P37" s="415" t="b">
        <f t="shared" si="3"/>
        <v>0</v>
      </c>
      <c r="R37" s="245" t="b">
        <f t="shared" si="1"/>
        <v>0</v>
      </c>
      <c r="AO37" s="238" t="str">
        <f t="shared" si="2"/>
        <v>25</v>
      </c>
      <c r="AP37" s="945" t="b">
        <v>0</v>
      </c>
      <c r="AQ37" s="1323" t="s">
        <v>151</v>
      </c>
      <c r="AR37" s="1324" t="s">
        <v>167</v>
      </c>
      <c r="AS37" s="1324" t="s">
        <v>145</v>
      </c>
      <c r="AT37" s="1324"/>
      <c r="AU37" s="1324">
        <v>-14</v>
      </c>
      <c r="AV37" s="1324"/>
      <c r="AW37" s="1324"/>
      <c r="AX37" s="1324"/>
      <c r="AY37" s="1324"/>
      <c r="AZ37" s="1324"/>
      <c r="BA37" s="1533" t="s">
        <v>116</v>
      </c>
      <c r="BB37" s="1533" t="s">
        <v>808</v>
      </c>
      <c r="BC37" s="1534" t="s">
        <v>116</v>
      </c>
    </row>
    <row r="38" spans="1:56" ht="14.1" customHeight="1" x14ac:dyDescent="0.2">
      <c r="A38" s="1511"/>
      <c r="B38" s="1512" t="s">
        <v>157</v>
      </c>
      <c r="C38" s="1512" t="s">
        <v>167</v>
      </c>
      <c r="D38" s="1512" t="s">
        <v>145</v>
      </c>
      <c r="E38" s="1513"/>
      <c r="F38" s="1514">
        <v>1844</v>
      </c>
      <c r="G38" s="1515"/>
      <c r="H38" s="1516"/>
      <c r="I38" s="1514"/>
      <c r="J38" s="1515"/>
      <c r="K38" s="1516"/>
      <c r="L38" s="1517" t="s">
        <v>116</v>
      </c>
      <c r="M38" s="1517" t="s">
        <v>1393</v>
      </c>
      <c r="N38" s="1689" t="s">
        <v>116</v>
      </c>
      <c r="O38" s="2770"/>
      <c r="P38" s="415" t="b">
        <f t="shared" si="3"/>
        <v>0</v>
      </c>
      <c r="R38" s="245" t="b">
        <f t="shared" si="1"/>
        <v>1</v>
      </c>
      <c r="AO38" s="238" t="str">
        <f t="shared" si="2"/>
        <v>25</v>
      </c>
      <c r="AP38" s="945" t="b">
        <v>0</v>
      </c>
      <c r="AQ38" s="1323" t="s">
        <v>157</v>
      </c>
      <c r="AR38" s="1324" t="s">
        <v>167</v>
      </c>
      <c r="AS38" s="1324" t="s">
        <v>145</v>
      </c>
      <c r="AT38" s="1324"/>
      <c r="AU38" s="1324">
        <v>1844</v>
      </c>
      <c r="AV38" s="1324"/>
      <c r="AW38" s="1324"/>
      <c r="AX38" s="1324"/>
      <c r="AY38" s="1324"/>
      <c r="AZ38" s="1324"/>
      <c r="BA38" s="1533" t="s">
        <v>116</v>
      </c>
      <c r="BB38" s="1533" t="s">
        <v>116</v>
      </c>
      <c r="BC38" s="1534" t="s">
        <v>116</v>
      </c>
    </row>
    <row r="39" spans="1:56" ht="14.1" customHeight="1" x14ac:dyDescent="0.2">
      <c r="A39" s="1511"/>
      <c r="B39" s="1512" t="s">
        <v>151</v>
      </c>
      <c r="C39" s="1512" t="s">
        <v>165</v>
      </c>
      <c r="D39" s="1512" t="s">
        <v>145</v>
      </c>
      <c r="E39" s="1513"/>
      <c r="F39" s="1514">
        <v>37</v>
      </c>
      <c r="G39" s="1515"/>
      <c r="H39" s="1516"/>
      <c r="I39" s="1514"/>
      <c r="J39" s="1515"/>
      <c r="K39" s="1516"/>
      <c r="L39" s="1517" t="s">
        <v>116</v>
      </c>
      <c r="M39" s="1517" t="s">
        <v>116</v>
      </c>
      <c r="N39" s="1689" t="s">
        <v>116</v>
      </c>
      <c r="O39" s="2770"/>
      <c r="P39" s="415" t="b">
        <f t="shared" si="3"/>
        <v>0</v>
      </c>
      <c r="R39" s="245" t="b">
        <f t="shared" si="1"/>
        <v>0</v>
      </c>
      <c r="AO39" s="238" t="str">
        <f t="shared" si="2"/>
        <v>25</v>
      </c>
      <c r="AP39" s="945" t="b">
        <v>0</v>
      </c>
      <c r="AQ39" s="1323" t="s">
        <v>151</v>
      </c>
      <c r="AR39" s="1324" t="s">
        <v>165</v>
      </c>
      <c r="AS39" s="1324" t="s">
        <v>145</v>
      </c>
      <c r="AT39" s="1324"/>
      <c r="AU39" s="1324">
        <v>37</v>
      </c>
      <c r="AV39" s="1324"/>
      <c r="AW39" s="1324"/>
      <c r="AX39" s="1324"/>
      <c r="AY39" s="1324"/>
      <c r="AZ39" s="1324"/>
      <c r="BA39" s="1533" t="s">
        <v>116</v>
      </c>
      <c r="BB39" s="1533" t="s">
        <v>116</v>
      </c>
      <c r="BC39" s="1534" t="s">
        <v>116</v>
      </c>
    </row>
    <row r="40" spans="1:56" ht="14.1" customHeight="1" x14ac:dyDescent="0.2">
      <c r="A40" s="1511" t="s">
        <v>1656</v>
      </c>
      <c r="B40" s="1512" t="s">
        <v>154</v>
      </c>
      <c r="C40" s="1512" t="s">
        <v>167</v>
      </c>
      <c r="D40" s="1512" t="s">
        <v>145</v>
      </c>
      <c r="E40" s="1513"/>
      <c r="F40" s="1514">
        <v>1888</v>
      </c>
      <c r="G40" s="1515"/>
      <c r="H40" s="1516"/>
      <c r="I40" s="1514"/>
      <c r="J40" s="1515"/>
      <c r="K40" s="1516"/>
      <c r="L40" s="1517" t="s">
        <v>116</v>
      </c>
      <c r="M40" s="1517" t="s">
        <v>1393</v>
      </c>
      <c r="N40" s="1689" t="s">
        <v>1657</v>
      </c>
      <c r="O40" s="2770"/>
      <c r="P40" s="415" t="b">
        <f t="shared" si="3"/>
        <v>1</v>
      </c>
      <c r="R40" s="245" t="b">
        <f t="shared" si="1"/>
        <v>1</v>
      </c>
      <c r="AO40" s="238" t="str">
        <f t="shared" si="2"/>
        <v>26</v>
      </c>
      <c r="AP40" s="945" t="b">
        <v>0</v>
      </c>
      <c r="AQ40" s="1323" t="s">
        <v>154</v>
      </c>
      <c r="AR40" s="1324" t="s">
        <v>167</v>
      </c>
      <c r="AS40" s="1324" t="s">
        <v>145</v>
      </c>
      <c r="AT40" s="1324"/>
      <c r="AU40" s="1324">
        <v>1888</v>
      </c>
      <c r="AV40" s="1324"/>
      <c r="AW40" s="1324"/>
      <c r="AX40" s="1324"/>
      <c r="AY40" s="1324"/>
      <c r="AZ40" s="1324"/>
      <c r="BA40" s="1533" t="s">
        <v>116</v>
      </c>
      <c r="BB40" s="1533" t="s">
        <v>116</v>
      </c>
      <c r="BC40" s="1534" t="s">
        <v>1657</v>
      </c>
      <c r="BD40" s="245">
        <v>2</v>
      </c>
    </row>
    <row r="41" spans="1:56" ht="14.1" customHeight="1" x14ac:dyDescent="0.2">
      <c r="A41" s="1511"/>
      <c r="B41" s="1512" t="s">
        <v>154</v>
      </c>
      <c r="C41" s="1512" t="s">
        <v>165</v>
      </c>
      <c r="D41" s="1512" t="s">
        <v>145</v>
      </c>
      <c r="E41" s="1513"/>
      <c r="F41" s="1514">
        <v>2220</v>
      </c>
      <c r="G41" s="1515"/>
      <c r="H41" s="1516"/>
      <c r="I41" s="1514"/>
      <c r="J41" s="1515"/>
      <c r="K41" s="1516"/>
      <c r="L41" s="1517" t="s">
        <v>116</v>
      </c>
      <c r="M41" s="1517" t="s">
        <v>116</v>
      </c>
      <c r="N41" s="1689" t="s">
        <v>116</v>
      </c>
      <c r="O41" s="2770"/>
      <c r="P41" s="415" t="b">
        <f t="shared" si="3"/>
        <v>1</v>
      </c>
      <c r="R41" s="245" t="b">
        <f t="shared" si="1"/>
        <v>1</v>
      </c>
      <c r="AO41" s="238" t="str">
        <f t="shared" si="2"/>
        <v>26</v>
      </c>
      <c r="AP41" s="945" t="b">
        <v>0</v>
      </c>
      <c r="AQ41" s="1323" t="s">
        <v>154</v>
      </c>
      <c r="AR41" s="1324" t="s">
        <v>165</v>
      </c>
      <c r="AS41" s="1324" t="s">
        <v>145</v>
      </c>
      <c r="AT41" s="1324"/>
      <c r="AU41" s="1324">
        <v>2220</v>
      </c>
      <c r="AV41" s="1324"/>
      <c r="AW41" s="1324"/>
      <c r="AX41" s="1324"/>
      <c r="AY41" s="1324"/>
      <c r="AZ41" s="1324"/>
      <c r="BA41" s="1533" t="s">
        <v>116</v>
      </c>
      <c r="BB41" s="1533" t="s">
        <v>116</v>
      </c>
      <c r="BC41" s="1534" t="s">
        <v>116</v>
      </c>
    </row>
    <row r="42" spans="1:56" ht="14.1" customHeight="1" x14ac:dyDescent="0.2">
      <c r="A42" s="1511" t="s">
        <v>1658</v>
      </c>
      <c r="B42" s="1512" t="s">
        <v>146</v>
      </c>
      <c r="C42" s="1512" t="s">
        <v>167</v>
      </c>
      <c r="D42" s="1512" t="s">
        <v>145</v>
      </c>
      <c r="E42" s="1513"/>
      <c r="F42" s="1514">
        <v>1844</v>
      </c>
      <c r="G42" s="1515">
        <v>3</v>
      </c>
      <c r="H42" s="1516">
        <v>0</v>
      </c>
      <c r="I42" s="1514"/>
      <c r="J42" s="1515"/>
      <c r="K42" s="1516"/>
      <c r="L42" s="1517" t="s">
        <v>702</v>
      </c>
      <c r="M42" s="1517" t="s">
        <v>1393</v>
      </c>
      <c r="N42" s="1689" t="s">
        <v>1659</v>
      </c>
      <c r="O42" s="2770"/>
      <c r="P42" s="415" t="b">
        <f t="shared" si="3"/>
        <v>0</v>
      </c>
      <c r="R42" s="245" t="b">
        <f t="shared" si="1"/>
        <v>0</v>
      </c>
      <c r="AO42" s="238" t="str">
        <f t="shared" si="2"/>
        <v>27</v>
      </c>
      <c r="AP42" s="945" t="b">
        <v>0</v>
      </c>
      <c r="AQ42" s="1323" t="s">
        <v>146</v>
      </c>
      <c r="AR42" s="1324" t="s">
        <v>167</v>
      </c>
      <c r="AS42" s="1324" t="s">
        <v>145</v>
      </c>
      <c r="AT42" s="1324"/>
      <c r="AU42" s="1324">
        <v>1844</v>
      </c>
      <c r="AV42" s="1324">
        <v>3</v>
      </c>
      <c r="AW42" s="1324">
        <v>0</v>
      </c>
      <c r="AX42" s="1324"/>
      <c r="AY42" s="1324"/>
      <c r="AZ42" s="1324"/>
      <c r="BA42" s="1533" t="s">
        <v>702</v>
      </c>
      <c r="BB42" s="1533" t="s">
        <v>116</v>
      </c>
      <c r="BC42" s="1534" t="s">
        <v>1659</v>
      </c>
      <c r="BD42" s="245">
        <v>4</v>
      </c>
    </row>
    <row r="43" spans="1:56" ht="14.1" customHeight="1" x14ac:dyDescent="0.2">
      <c r="A43" s="1511"/>
      <c r="B43" s="1512" t="s">
        <v>146</v>
      </c>
      <c r="C43" s="1512" t="s">
        <v>167</v>
      </c>
      <c r="D43" s="1512" t="s">
        <v>145</v>
      </c>
      <c r="E43" s="1513"/>
      <c r="F43" s="1514">
        <v>-1844</v>
      </c>
      <c r="G43" s="1515">
        <v>3</v>
      </c>
      <c r="H43" s="1516">
        <v>0</v>
      </c>
      <c r="I43" s="1514"/>
      <c r="J43" s="1515"/>
      <c r="K43" s="1516"/>
      <c r="L43" s="1517" t="s">
        <v>702</v>
      </c>
      <c r="M43" s="1517" t="s">
        <v>808</v>
      </c>
      <c r="N43" s="1689" t="s">
        <v>116</v>
      </c>
      <c r="O43" s="2770"/>
      <c r="P43" s="415" t="b">
        <f t="shared" si="3"/>
        <v>0</v>
      </c>
      <c r="R43" s="245" t="b">
        <f t="shared" si="1"/>
        <v>0</v>
      </c>
      <c r="AO43" s="238" t="str">
        <f t="shared" si="2"/>
        <v>27</v>
      </c>
      <c r="AP43" s="945" t="b">
        <v>0</v>
      </c>
      <c r="AQ43" s="1323" t="s">
        <v>146</v>
      </c>
      <c r="AR43" s="1324" t="s">
        <v>167</v>
      </c>
      <c r="AS43" s="1324" t="s">
        <v>145</v>
      </c>
      <c r="AT43" s="1324"/>
      <c r="AU43" s="1324">
        <v>-1844</v>
      </c>
      <c r="AV43" s="1324">
        <v>3</v>
      </c>
      <c r="AW43" s="1324">
        <v>0</v>
      </c>
      <c r="AX43" s="1324"/>
      <c r="AY43" s="1324"/>
      <c r="AZ43" s="1324"/>
      <c r="BA43" s="1533" t="s">
        <v>702</v>
      </c>
      <c r="BB43" s="1533" t="s">
        <v>808</v>
      </c>
      <c r="BC43" s="1534" t="s">
        <v>116</v>
      </c>
    </row>
    <row r="44" spans="1:56" ht="14.1" customHeight="1" x14ac:dyDescent="0.2">
      <c r="A44" s="1511"/>
      <c r="B44" s="1512" t="s">
        <v>157</v>
      </c>
      <c r="C44" s="1512" t="s">
        <v>167</v>
      </c>
      <c r="D44" s="1512" t="s">
        <v>145</v>
      </c>
      <c r="E44" s="1513"/>
      <c r="F44" s="1514">
        <v>1844</v>
      </c>
      <c r="G44" s="1515"/>
      <c r="H44" s="1516"/>
      <c r="I44" s="1514"/>
      <c r="J44" s="1515"/>
      <c r="K44" s="1516"/>
      <c r="L44" s="1517" t="s">
        <v>116</v>
      </c>
      <c r="M44" s="1517" t="s">
        <v>1393</v>
      </c>
      <c r="N44" s="1689" t="s">
        <v>116</v>
      </c>
      <c r="O44" s="2770"/>
      <c r="P44" s="415" t="b">
        <f t="shared" si="3"/>
        <v>0</v>
      </c>
      <c r="R44" s="245" t="b">
        <f t="shared" si="1"/>
        <v>1</v>
      </c>
      <c r="AO44" s="238" t="str">
        <f t="shared" si="2"/>
        <v>27</v>
      </c>
      <c r="AP44" s="945" t="b">
        <v>0</v>
      </c>
      <c r="AQ44" s="1323" t="s">
        <v>157</v>
      </c>
      <c r="AR44" s="1324" t="s">
        <v>167</v>
      </c>
      <c r="AS44" s="1324" t="s">
        <v>145</v>
      </c>
      <c r="AT44" s="1324"/>
      <c r="AU44" s="1324">
        <v>1844</v>
      </c>
      <c r="AV44" s="1324"/>
      <c r="AW44" s="1324"/>
      <c r="AX44" s="1324"/>
      <c r="AY44" s="1324"/>
      <c r="AZ44" s="1324"/>
      <c r="BA44" s="1533" t="s">
        <v>116</v>
      </c>
      <c r="BB44" s="1533" t="s">
        <v>116</v>
      </c>
      <c r="BC44" s="1534" t="s">
        <v>116</v>
      </c>
    </row>
    <row r="45" spans="1:56" ht="14.1" customHeight="1" x14ac:dyDescent="0.2">
      <c r="A45" s="1511"/>
      <c r="B45" s="1512" t="s">
        <v>146</v>
      </c>
      <c r="C45" s="1512" t="s">
        <v>165</v>
      </c>
      <c r="D45" s="1512" t="s">
        <v>145</v>
      </c>
      <c r="E45" s="1513"/>
      <c r="F45" s="1514">
        <v>296</v>
      </c>
      <c r="G45" s="1515">
        <v>3</v>
      </c>
      <c r="H45" s="1516">
        <v>0</v>
      </c>
      <c r="I45" s="1514"/>
      <c r="J45" s="1515"/>
      <c r="K45" s="1516"/>
      <c r="L45" s="1517" t="s">
        <v>702</v>
      </c>
      <c r="M45" s="1517" t="s">
        <v>116</v>
      </c>
      <c r="N45" s="1689" t="s">
        <v>116</v>
      </c>
      <c r="O45" s="2770"/>
      <c r="P45" s="415" t="b">
        <f t="shared" si="3"/>
        <v>0</v>
      </c>
      <c r="R45" s="245" t="b">
        <f t="shared" si="1"/>
        <v>0</v>
      </c>
      <c r="AO45" s="238" t="str">
        <f t="shared" si="2"/>
        <v>27</v>
      </c>
      <c r="AP45" s="945" t="b">
        <v>0</v>
      </c>
      <c r="AQ45" s="1323" t="s">
        <v>146</v>
      </c>
      <c r="AR45" s="1324" t="s">
        <v>165</v>
      </c>
      <c r="AS45" s="1324" t="s">
        <v>145</v>
      </c>
      <c r="AT45" s="1324"/>
      <c r="AU45" s="1324">
        <v>296</v>
      </c>
      <c r="AV45" s="1324">
        <v>3</v>
      </c>
      <c r="AW45" s="1324">
        <v>0</v>
      </c>
      <c r="AX45" s="1324"/>
      <c r="AY45" s="1324"/>
      <c r="AZ45" s="1324"/>
      <c r="BA45" s="1533" t="s">
        <v>702</v>
      </c>
      <c r="BB45" s="1533" t="s">
        <v>116</v>
      </c>
      <c r="BC45" s="1534" t="s">
        <v>116</v>
      </c>
    </row>
    <row r="46" spans="1:56" ht="14.1" customHeight="1" x14ac:dyDescent="0.2">
      <c r="A46" s="1511" t="s">
        <v>1660</v>
      </c>
      <c r="B46" s="1512" t="s">
        <v>146</v>
      </c>
      <c r="C46" s="1512" t="s">
        <v>167</v>
      </c>
      <c r="D46" s="1512" t="s">
        <v>145</v>
      </c>
      <c r="E46" s="1513"/>
      <c r="F46" s="1514">
        <v>1844</v>
      </c>
      <c r="G46" s="1515">
        <v>3</v>
      </c>
      <c r="H46" s="1516">
        <v>0</v>
      </c>
      <c r="I46" s="1514">
        <v>1844</v>
      </c>
      <c r="J46" s="1515">
        <v>7</v>
      </c>
      <c r="K46" s="1516">
        <v>3</v>
      </c>
      <c r="L46" s="1517" t="s">
        <v>702</v>
      </c>
      <c r="M46" s="1517" t="s">
        <v>1393</v>
      </c>
      <c r="N46" s="1689" t="s">
        <v>1659</v>
      </c>
      <c r="O46" s="2770"/>
      <c r="P46" s="415" t="b">
        <f t="shared" si="3"/>
        <v>0</v>
      </c>
      <c r="R46" s="245" t="b">
        <f t="shared" si="1"/>
        <v>0</v>
      </c>
      <c r="AO46" s="238" t="str">
        <f t="shared" si="2"/>
        <v>28</v>
      </c>
      <c r="AP46" s="945" t="b">
        <v>0</v>
      </c>
      <c r="AQ46" s="1323" t="s">
        <v>146</v>
      </c>
      <c r="AR46" s="1324" t="s">
        <v>167</v>
      </c>
      <c r="AS46" s="1324" t="s">
        <v>145</v>
      </c>
      <c r="AT46" s="1324"/>
      <c r="AU46" s="1324">
        <v>1844</v>
      </c>
      <c r="AV46" s="1324">
        <v>3</v>
      </c>
      <c r="AW46" s="1324">
        <v>0</v>
      </c>
      <c r="AX46" s="1324">
        <v>1844</v>
      </c>
      <c r="AY46" s="1324">
        <v>7</v>
      </c>
      <c r="AZ46" s="1324">
        <v>3</v>
      </c>
      <c r="BA46" s="1533" t="s">
        <v>702</v>
      </c>
      <c r="BB46" s="1533" t="s">
        <v>116</v>
      </c>
      <c r="BC46" s="1534" t="s">
        <v>1659</v>
      </c>
      <c r="BD46" s="245">
        <v>4</v>
      </c>
    </row>
    <row r="47" spans="1:56" ht="14.1" customHeight="1" x14ac:dyDescent="0.2">
      <c r="A47" s="1511"/>
      <c r="B47" s="1512" t="s">
        <v>146</v>
      </c>
      <c r="C47" s="1512" t="s">
        <v>167</v>
      </c>
      <c r="D47" s="1512" t="s">
        <v>145</v>
      </c>
      <c r="E47" s="1513"/>
      <c r="F47" s="1514">
        <v>-1844</v>
      </c>
      <c r="G47" s="1515">
        <v>3</v>
      </c>
      <c r="H47" s="1516">
        <v>0</v>
      </c>
      <c r="I47" s="1514">
        <v>-1844</v>
      </c>
      <c r="J47" s="1515">
        <v>7</v>
      </c>
      <c r="K47" s="1516">
        <v>3</v>
      </c>
      <c r="L47" s="1517" t="s">
        <v>702</v>
      </c>
      <c r="M47" s="1517" t="s">
        <v>808</v>
      </c>
      <c r="N47" s="1689" t="s">
        <v>116</v>
      </c>
      <c r="O47" s="2770"/>
      <c r="P47" s="415" t="b">
        <f t="shared" si="3"/>
        <v>0</v>
      </c>
      <c r="R47" s="245" t="b">
        <f t="shared" si="1"/>
        <v>0</v>
      </c>
      <c r="AO47" s="238" t="str">
        <f t="shared" si="2"/>
        <v>28</v>
      </c>
      <c r="AP47" s="945" t="b">
        <v>0</v>
      </c>
      <c r="AQ47" s="1323" t="s">
        <v>146</v>
      </c>
      <c r="AR47" s="1324" t="s">
        <v>167</v>
      </c>
      <c r="AS47" s="1324" t="s">
        <v>145</v>
      </c>
      <c r="AT47" s="1324"/>
      <c r="AU47" s="1324">
        <v>-1844</v>
      </c>
      <c r="AV47" s="1324">
        <v>3</v>
      </c>
      <c r="AW47" s="1324">
        <v>0</v>
      </c>
      <c r="AX47" s="1324">
        <v>-1844</v>
      </c>
      <c r="AY47" s="1324">
        <v>7</v>
      </c>
      <c r="AZ47" s="1324">
        <v>3</v>
      </c>
      <c r="BA47" s="1533" t="s">
        <v>702</v>
      </c>
      <c r="BB47" s="1533" t="s">
        <v>808</v>
      </c>
      <c r="BC47" s="1534" t="s">
        <v>116</v>
      </c>
    </row>
    <row r="48" spans="1:56" ht="14.1" customHeight="1" x14ac:dyDescent="0.2">
      <c r="A48" s="1511"/>
      <c r="B48" s="1512" t="s">
        <v>157</v>
      </c>
      <c r="C48" s="1512" t="s">
        <v>167</v>
      </c>
      <c r="D48" s="1512" t="s">
        <v>145</v>
      </c>
      <c r="E48" s="1513"/>
      <c r="F48" s="1514">
        <v>1844</v>
      </c>
      <c r="G48" s="1515"/>
      <c r="H48" s="1516"/>
      <c r="I48" s="1514"/>
      <c r="J48" s="1515"/>
      <c r="K48" s="1516"/>
      <c r="L48" s="1517" t="s">
        <v>116</v>
      </c>
      <c r="M48" s="1517" t="s">
        <v>1393</v>
      </c>
      <c r="N48" s="1689" t="s">
        <v>116</v>
      </c>
      <c r="O48" s="2770"/>
      <c r="P48" s="415" t="b">
        <f t="shared" si="3"/>
        <v>0</v>
      </c>
      <c r="R48" s="245" t="b">
        <f t="shared" si="1"/>
        <v>1</v>
      </c>
      <c r="AO48" s="238" t="str">
        <f t="shared" si="2"/>
        <v>28</v>
      </c>
      <c r="AP48" s="945" t="b">
        <v>0</v>
      </c>
      <c r="AQ48" s="1323" t="s">
        <v>157</v>
      </c>
      <c r="AR48" s="1324" t="s">
        <v>167</v>
      </c>
      <c r="AS48" s="1324" t="s">
        <v>145</v>
      </c>
      <c r="AT48" s="1324"/>
      <c r="AU48" s="1324">
        <v>1844</v>
      </c>
      <c r="AV48" s="1324"/>
      <c r="AW48" s="1324"/>
      <c r="AX48" s="1324"/>
      <c r="AY48" s="1324"/>
      <c r="AZ48" s="1324"/>
      <c r="BA48" s="1533" t="s">
        <v>116</v>
      </c>
      <c r="BB48" s="1533" t="s">
        <v>116</v>
      </c>
      <c r="BC48" s="1534" t="s">
        <v>116</v>
      </c>
    </row>
    <row r="49" spans="1:56" ht="14.1" customHeight="1" x14ac:dyDescent="0.2">
      <c r="A49" s="1511"/>
      <c r="B49" s="1512" t="s">
        <v>146</v>
      </c>
      <c r="C49" s="1512" t="s">
        <v>165</v>
      </c>
      <c r="D49" s="1512" t="s">
        <v>145</v>
      </c>
      <c r="E49" s="1513"/>
      <c r="F49" s="1514">
        <v>296</v>
      </c>
      <c r="G49" s="1515">
        <v>3</v>
      </c>
      <c r="H49" s="1516">
        <v>0</v>
      </c>
      <c r="I49" s="1514">
        <v>600</v>
      </c>
      <c r="J49" s="1515">
        <v>7</v>
      </c>
      <c r="K49" s="1516">
        <v>3</v>
      </c>
      <c r="L49" s="1517" t="s">
        <v>702</v>
      </c>
      <c r="M49" s="1517" t="s">
        <v>116</v>
      </c>
      <c r="N49" s="1689" t="s">
        <v>116</v>
      </c>
      <c r="O49" s="2770"/>
      <c r="P49" s="415" t="b">
        <f t="shared" si="3"/>
        <v>0</v>
      </c>
      <c r="R49" s="245" t="b">
        <f t="shared" si="1"/>
        <v>0</v>
      </c>
      <c r="AO49" s="238" t="str">
        <f t="shared" si="2"/>
        <v>28</v>
      </c>
      <c r="AP49" s="945" t="b">
        <v>0</v>
      </c>
      <c r="AQ49" s="1323" t="s">
        <v>146</v>
      </c>
      <c r="AR49" s="1324" t="s">
        <v>165</v>
      </c>
      <c r="AS49" s="1324" t="s">
        <v>145</v>
      </c>
      <c r="AT49" s="1324"/>
      <c r="AU49" s="1324">
        <v>296</v>
      </c>
      <c r="AV49" s="1324">
        <v>3</v>
      </c>
      <c r="AW49" s="1324">
        <v>0</v>
      </c>
      <c r="AX49" s="1324">
        <v>600</v>
      </c>
      <c r="AY49" s="1324">
        <v>7</v>
      </c>
      <c r="AZ49" s="1324">
        <v>3</v>
      </c>
      <c r="BA49" s="1533" t="s">
        <v>702</v>
      </c>
      <c r="BB49" s="1533" t="s">
        <v>116</v>
      </c>
      <c r="BC49" s="1534" t="s">
        <v>116</v>
      </c>
    </row>
    <row r="50" spans="1:56" ht="14.1" customHeight="1" x14ac:dyDescent="0.2">
      <c r="A50" s="1511" t="s">
        <v>1661</v>
      </c>
      <c r="B50" s="1512" t="s">
        <v>146</v>
      </c>
      <c r="C50" s="1512" t="s">
        <v>167</v>
      </c>
      <c r="D50" s="1512" t="s">
        <v>145</v>
      </c>
      <c r="E50" s="1513"/>
      <c r="F50" s="1514">
        <v>1844</v>
      </c>
      <c r="G50" s="1515">
        <v>7</v>
      </c>
      <c r="H50" s="1516">
        <v>3</v>
      </c>
      <c r="I50" s="1514"/>
      <c r="J50" s="1515"/>
      <c r="K50" s="1516"/>
      <c r="L50" s="1517" t="s">
        <v>702</v>
      </c>
      <c r="M50" s="1517" t="s">
        <v>1393</v>
      </c>
      <c r="N50" s="1689" t="s">
        <v>1659</v>
      </c>
      <c r="O50" s="2770"/>
      <c r="P50" s="415" t="b">
        <f t="shared" si="3"/>
        <v>0</v>
      </c>
      <c r="R50" s="245" t="b">
        <f t="shared" si="1"/>
        <v>0</v>
      </c>
      <c r="AO50" s="238" t="str">
        <f t="shared" si="2"/>
        <v>29</v>
      </c>
      <c r="AP50" s="945" t="b">
        <v>0</v>
      </c>
      <c r="AQ50" s="1323" t="s">
        <v>146</v>
      </c>
      <c r="AR50" s="1324" t="s">
        <v>167</v>
      </c>
      <c r="AS50" s="1324" t="s">
        <v>145</v>
      </c>
      <c r="AT50" s="1324"/>
      <c r="AU50" s="1324">
        <v>1844</v>
      </c>
      <c r="AV50" s="1324">
        <v>7</v>
      </c>
      <c r="AW50" s="1324">
        <v>3</v>
      </c>
      <c r="AX50" s="1324"/>
      <c r="AY50" s="1324"/>
      <c r="AZ50" s="1324"/>
      <c r="BA50" s="1533" t="s">
        <v>702</v>
      </c>
      <c r="BB50" s="1533" t="s">
        <v>116</v>
      </c>
      <c r="BC50" s="1534" t="s">
        <v>1659</v>
      </c>
      <c r="BD50" s="245">
        <v>3</v>
      </c>
    </row>
    <row r="51" spans="1:56" ht="14.1" customHeight="1" x14ac:dyDescent="0.2">
      <c r="A51" s="1511"/>
      <c r="B51" s="1512" t="s">
        <v>146</v>
      </c>
      <c r="C51" s="1512" t="s">
        <v>167</v>
      </c>
      <c r="D51" s="1512" t="s">
        <v>145</v>
      </c>
      <c r="E51" s="1513"/>
      <c r="F51" s="1514">
        <v>-1844</v>
      </c>
      <c r="G51" s="1515">
        <v>7</v>
      </c>
      <c r="H51" s="1516">
        <v>3</v>
      </c>
      <c r="I51" s="1514"/>
      <c r="J51" s="1515"/>
      <c r="K51" s="1516"/>
      <c r="L51" s="1517" t="s">
        <v>702</v>
      </c>
      <c r="M51" s="1517" t="s">
        <v>808</v>
      </c>
      <c r="N51" s="1689" t="s">
        <v>116</v>
      </c>
      <c r="O51" s="2770"/>
      <c r="P51" s="415" t="b">
        <f t="shared" si="3"/>
        <v>0</v>
      </c>
      <c r="R51" s="245" t="b">
        <f t="shared" si="1"/>
        <v>0</v>
      </c>
      <c r="AO51" s="238" t="str">
        <f t="shared" si="2"/>
        <v>29</v>
      </c>
      <c r="AP51" s="945" t="b">
        <v>0</v>
      </c>
      <c r="AQ51" s="1323" t="s">
        <v>146</v>
      </c>
      <c r="AR51" s="1324" t="s">
        <v>167</v>
      </c>
      <c r="AS51" s="1324" t="s">
        <v>145</v>
      </c>
      <c r="AT51" s="1324"/>
      <c r="AU51" s="1324">
        <v>-1844</v>
      </c>
      <c r="AV51" s="1324">
        <v>7</v>
      </c>
      <c r="AW51" s="1324">
        <v>3</v>
      </c>
      <c r="AX51" s="1324"/>
      <c r="AY51" s="1324"/>
      <c r="AZ51" s="1324"/>
      <c r="BA51" s="1533" t="s">
        <v>702</v>
      </c>
      <c r="BB51" s="1533" t="s">
        <v>808</v>
      </c>
      <c r="BC51" s="1534" t="s">
        <v>116</v>
      </c>
    </row>
    <row r="52" spans="1:56" ht="14.1" customHeight="1" x14ac:dyDescent="0.2">
      <c r="A52" s="1511"/>
      <c r="B52" s="1512" t="s">
        <v>157</v>
      </c>
      <c r="C52" s="1512" t="s">
        <v>167</v>
      </c>
      <c r="D52" s="1512" t="s">
        <v>145</v>
      </c>
      <c r="E52" s="1513"/>
      <c r="F52" s="1514">
        <v>1844</v>
      </c>
      <c r="G52" s="1515"/>
      <c r="H52" s="1516"/>
      <c r="I52" s="1514"/>
      <c r="J52" s="1515"/>
      <c r="K52" s="1516"/>
      <c r="L52" s="1517" t="s">
        <v>116</v>
      </c>
      <c r="M52" s="1517" t="s">
        <v>1393</v>
      </c>
      <c r="N52" s="1689" t="s">
        <v>116</v>
      </c>
      <c r="O52" s="2770"/>
      <c r="P52" s="415" t="b">
        <f t="shared" si="3"/>
        <v>0</v>
      </c>
      <c r="R52" s="245" t="b">
        <f t="shared" si="1"/>
        <v>1</v>
      </c>
      <c r="AO52" s="238" t="str">
        <f t="shared" si="2"/>
        <v>29</v>
      </c>
      <c r="AP52" s="945" t="b">
        <v>0</v>
      </c>
      <c r="AQ52" s="1323" t="s">
        <v>157</v>
      </c>
      <c r="AR52" s="1324" t="s">
        <v>167</v>
      </c>
      <c r="AS52" s="1324" t="s">
        <v>145</v>
      </c>
      <c r="AT52" s="1324"/>
      <c r="AU52" s="1324">
        <v>1844</v>
      </c>
      <c r="AV52" s="1324"/>
      <c r="AW52" s="1324"/>
      <c r="AX52" s="1324"/>
      <c r="AY52" s="1324"/>
      <c r="AZ52" s="1324"/>
      <c r="BA52" s="1533" t="s">
        <v>116</v>
      </c>
      <c r="BB52" s="1533" t="s">
        <v>116</v>
      </c>
      <c r="BC52" s="1534" t="s">
        <v>116</v>
      </c>
    </row>
    <row r="53" spans="1:56" ht="14.1" customHeight="1" x14ac:dyDescent="0.2">
      <c r="A53" s="1511"/>
      <c r="B53" s="1512"/>
      <c r="C53" s="1512"/>
      <c r="D53" s="1512"/>
      <c r="E53" s="1513"/>
      <c r="F53" s="1514"/>
      <c r="G53" s="1515"/>
      <c r="H53" s="1516"/>
      <c r="I53" s="1514"/>
      <c r="J53" s="1515"/>
      <c r="K53" s="1516"/>
      <c r="L53" s="1517"/>
      <c r="M53" s="1517"/>
      <c r="N53" s="1689" t="s">
        <v>116</v>
      </c>
      <c r="O53" s="2770"/>
      <c r="P53" s="415" t="b">
        <f t="shared" si="3"/>
        <v>0</v>
      </c>
      <c r="R53" s="245" t="b">
        <f t="shared" si="1"/>
        <v>0</v>
      </c>
      <c r="AO53" s="238" t="str">
        <f t="shared" si="2"/>
        <v>29</v>
      </c>
      <c r="AP53" s="945" t="b">
        <v>0</v>
      </c>
      <c r="AQ53" s="1323"/>
      <c r="AR53" s="1324"/>
      <c r="AS53" s="1324"/>
      <c r="AT53" s="1324"/>
      <c r="AU53" s="1324"/>
      <c r="AV53" s="1324"/>
      <c r="AW53" s="1324"/>
      <c r="AX53" s="1324"/>
      <c r="AY53" s="1324"/>
      <c r="AZ53" s="1324"/>
      <c r="BA53" s="1533"/>
      <c r="BB53" s="1533"/>
      <c r="BC53" s="1534"/>
    </row>
    <row r="54" spans="1:56" ht="14.1" customHeight="1" x14ac:dyDescent="0.2">
      <c r="A54" s="1511"/>
      <c r="B54" s="1512"/>
      <c r="C54" s="1512"/>
      <c r="D54" s="1512"/>
      <c r="E54" s="1513"/>
      <c r="F54" s="1514"/>
      <c r="G54" s="1515"/>
      <c r="H54" s="1516"/>
      <c r="I54" s="1514"/>
      <c r="J54" s="1515"/>
      <c r="K54" s="1516"/>
      <c r="L54" s="1517"/>
      <c r="M54" s="1517"/>
      <c r="N54" s="1689" t="s">
        <v>116</v>
      </c>
      <c r="O54" s="2770"/>
      <c r="P54" s="415" t="b">
        <f t="shared" si="3"/>
        <v>0</v>
      </c>
      <c r="R54" s="245" t="b">
        <f t="shared" si="1"/>
        <v>0</v>
      </c>
      <c r="AO54" s="238" t="str">
        <f t="shared" si="2"/>
        <v>29</v>
      </c>
      <c r="AP54" s="945" t="b">
        <v>0</v>
      </c>
      <c r="AQ54" s="1323"/>
      <c r="AR54" s="1324"/>
      <c r="AS54" s="1324"/>
      <c r="AT54" s="1324"/>
      <c r="AU54" s="1324"/>
      <c r="AV54" s="1324"/>
      <c r="AW54" s="1324"/>
      <c r="AX54" s="1324"/>
      <c r="AY54" s="1324"/>
      <c r="AZ54" s="1324"/>
      <c r="BA54" s="1533"/>
      <c r="BB54" s="1533"/>
      <c r="BC54" s="1534"/>
    </row>
    <row r="55" spans="1:56" ht="14.1" customHeight="1" x14ac:dyDescent="0.2">
      <c r="A55" s="1520"/>
      <c r="B55" s="1521"/>
      <c r="C55" s="1521"/>
      <c r="D55" s="1521"/>
      <c r="E55" s="1522"/>
      <c r="F55" s="1523"/>
      <c r="G55" s="1524"/>
      <c r="H55" s="1525"/>
      <c r="I55" s="1523"/>
      <c r="J55" s="1524"/>
      <c r="K55" s="1525"/>
      <c r="L55" s="1526"/>
      <c r="M55" s="1526"/>
      <c r="N55" s="1690"/>
      <c r="O55" s="2770"/>
      <c r="P55" s="415" t="b">
        <f t="shared" si="3"/>
        <v>0</v>
      </c>
      <c r="R55" s="245" t="b">
        <f t="shared" si="1"/>
        <v>0</v>
      </c>
      <c r="AO55" s="238" t="str">
        <f t="shared" si="2"/>
        <v>29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4</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1838</v>
      </c>
    </row>
    <row r="62" spans="1:56" ht="15.95" hidden="1" customHeight="1" x14ac:dyDescent="0.2"/>
    <row r="63" spans="1:56" hidden="1" x14ac:dyDescent="0.2"/>
    <row r="64" spans="1:56" hidden="1" x14ac:dyDescent="0.2"/>
    <row r="65" spans="1:1" x14ac:dyDescent="0.2">
      <c r="A65" s="633" t="s">
        <v>1020</v>
      </c>
    </row>
  </sheetData>
  <sheetProtection algorithmName="SHA-512" hashValue="irhh6lsvNUh0JusjbjpxvqnaDVceYR4eR9HOazlf1Ysq51pYDEO9+o6Apcy1FloguX5Du3qw2vAu6oCkU3UOug==" saltValue="e/MrryWDg8Sy34TIykRGdw=="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47" priority="4" stopIfTrue="1">
      <formula>AND($B14="NU",F14&lt;0)</formula>
    </cfRule>
  </conditionalFormatting>
  <conditionalFormatting sqref="B14:B55">
    <cfRule type="expression" dxfId="846" priority="5" stopIfTrue="1">
      <formula>OR(AND($B14="NU",F14&lt;0),AND($B14="NU",I14&lt;0))</formula>
    </cfRule>
  </conditionalFormatting>
  <conditionalFormatting sqref="G14:H55 J14:L55">
    <cfRule type="expression" dxfId="845" priority="6" stopIfTrue="1">
      <formula>$R14</formula>
    </cfRule>
  </conditionalFormatting>
  <conditionalFormatting sqref="I2:K4">
    <cfRule type="cellIs" dxfId="844" priority="7" stopIfTrue="1" operator="equal">
      <formula>""</formula>
    </cfRule>
  </conditionalFormatting>
  <conditionalFormatting sqref="I14:I55">
    <cfRule type="expression" dxfId="843" priority="8" stopIfTrue="1">
      <formula>OR($R14,$B14="CZ",AND($B14="NU",I14&lt;0))</formula>
    </cfRule>
  </conditionalFormatting>
  <conditionalFormatting sqref="A14:A55">
    <cfRule type="expression" dxfId="842" priority="3">
      <formula>NOT($P14)</formula>
    </cfRule>
  </conditionalFormatting>
  <conditionalFormatting sqref="B14:D55">
    <cfRule type="expression" dxfId="84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40" priority="9">
      <formula>AND(NOT($P14),$T$1)</formula>
    </cfRule>
    <cfRule type="expression" dxfId="839" priority="10">
      <formula>AND($AP14,$S$1="M")</formula>
    </cfRule>
  </conditionalFormatting>
  <conditionalFormatting sqref="L14:L55">
    <cfRule type="expression" dxfId="83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EC518121-42F6-4BBE-8ED3-78E451D3905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23BCBA4-65BC-4CD6-B834-40820C44C7B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6067562-9739-47CB-8636-5790C90D057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978D5AA-15CE-41C8-B914-0434FF556D89}">
      <formula1>IF($CA$14,$CA$16:$CA$21,$CB$16:$CB$19)</formula1>
    </dataValidation>
    <dataValidation type="list" allowBlank="1" showErrorMessage="1" errorTitle="Invalid Type" error="You MUST select a Type from the dropdown list provided._x000a__x000a_Also, make sure your Cap Lock is turned on." sqref="B14:B55" xr:uid="{C4B98616-9F83-4736-AD83-41F3565CE637}">
      <formula1>$BF$15:$BU$15</formula1>
    </dataValidation>
    <dataValidation allowBlank="1" showInputMessage="1" errorTitle="Invalid Load Case" error="You MUST use a Load Case from the list provided." sqref="M14:M55" xr:uid="{22F36E47-8799-4269-BC1A-475B1095D305}"/>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75294-268E-41E0-A518-EA1709DCDD4F}">
  <sheetPr codeName="Sheet31">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c r="BE4" s="1041" t="s">
        <v>1652</v>
      </c>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6 of 28</v>
      </c>
      <c r="O7" s="1008"/>
      <c r="P7" s="238">
        <v>6</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c r="BE9" s="1041" t="s">
        <v>808</v>
      </c>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t="s">
        <v>1639</v>
      </c>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504" t="s">
        <v>1661</v>
      </c>
      <c r="B14" s="1505" t="s">
        <v>146</v>
      </c>
      <c r="C14" s="1505" t="s">
        <v>165</v>
      </c>
      <c r="D14" s="1505" t="s">
        <v>145</v>
      </c>
      <c r="E14" s="1688"/>
      <c r="F14" s="1506">
        <v>296</v>
      </c>
      <c r="G14" s="1507">
        <v>7</v>
      </c>
      <c r="H14" s="1508">
        <v>3</v>
      </c>
      <c r="I14" s="1506"/>
      <c r="J14" s="1507"/>
      <c r="K14" s="1508"/>
      <c r="L14" s="1509" t="s">
        <v>702</v>
      </c>
      <c r="M14" s="1510" t="s">
        <v>116</v>
      </c>
      <c r="N14" s="1691" t="s">
        <v>116</v>
      </c>
      <c r="O14" s="2770"/>
      <c r="P14" s="415" t="b">
        <f t="shared" ref="P14:P16" si="0">IF(ISERROR(VLOOKUP(AO14,BE:BE,1,FALSE)),FALSE,IF(AO14&lt;&gt;"",VLOOKUP(AO14,BE:BE,1,FALSE)=AO14))</f>
        <v>0</v>
      </c>
      <c r="R14" s="245" t="b">
        <f>OR(B14="CP",B14="CA", B14="AX",B14="M",B14="S")</f>
        <v>0</v>
      </c>
      <c r="AO14" s="238" t="str">
        <f>IF(ISBLANK(A14),"",SUBSTITUTE(A14,"*",""))</f>
        <v>29</v>
      </c>
      <c r="AP14" s="945" t="b">
        <v>0</v>
      </c>
      <c r="AQ14" s="1323" t="s">
        <v>146</v>
      </c>
      <c r="AR14" s="1324" t="s">
        <v>165</v>
      </c>
      <c r="AS14" s="1324" t="s">
        <v>145</v>
      </c>
      <c r="AT14" s="1324"/>
      <c r="AU14" s="1324">
        <v>296</v>
      </c>
      <c r="AV14" s="1324">
        <v>7</v>
      </c>
      <c r="AW14" s="1324">
        <v>3</v>
      </c>
      <c r="AX14" s="1324"/>
      <c r="AY14" s="1324"/>
      <c r="AZ14" s="1324"/>
      <c r="BA14" s="1533" t="s">
        <v>702</v>
      </c>
      <c r="BB14" s="1533" t="s">
        <v>116</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t="s">
        <v>1662</v>
      </c>
      <c r="B15" s="1512" t="s">
        <v>146</v>
      </c>
      <c r="C15" s="1512" t="s">
        <v>167</v>
      </c>
      <c r="D15" s="1512" t="s">
        <v>145</v>
      </c>
      <c r="E15" s="1513"/>
      <c r="F15" s="1514">
        <v>1844</v>
      </c>
      <c r="G15" s="1515">
        <v>22</v>
      </c>
      <c r="H15" s="1516">
        <v>6</v>
      </c>
      <c r="I15" s="1514"/>
      <c r="J15" s="1515"/>
      <c r="K15" s="1516"/>
      <c r="L15" s="1517" t="s">
        <v>702</v>
      </c>
      <c r="M15" s="1518" t="s">
        <v>1393</v>
      </c>
      <c r="N15" s="1689" t="s">
        <v>1659</v>
      </c>
      <c r="O15" s="2770"/>
      <c r="P15" s="415" t="b">
        <f t="shared" si="0"/>
        <v>0</v>
      </c>
      <c r="R15" s="245" t="b">
        <f t="shared" ref="R15:R55" si="1">OR(B15="CP",B15="CA", B15="AX",B15="M",B15="S")</f>
        <v>0</v>
      </c>
      <c r="AO15" s="238" t="str">
        <f t="shared" ref="AO15:AO55" si="2">IF(ISBLANK(A15),AO14,SUBSTITUTE(A15,"*",""))</f>
        <v>30</v>
      </c>
      <c r="AP15" s="945" t="b">
        <v>0</v>
      </c>
      <c r="AQ15" s="1323" t="s">
        <v>146</v>
      </c>
      <c r="AR15" s="1324" t="s">
        <v>167</v>
      </c>
      <c r="AS15" s="1324" t="s">
        <v>145</v>
      </c>
      <c r="AT15" s="1324"/>
      <c r="AU15" s="1324">
        <v>1844</v>
      </c>
      <c r="AV15" s="1324">
        <v>22</v>
      </c>
      <c r="AW15" s="1324">
        <v>6</v>
      </c>
      <c r="AX15" s="1324"/>
      <c r="AY15" s="1324"/>
      <c r="AZ15" s="1324"/>
      <c r="BA15" s="1533" t="s">
        <v>702</v>
      </c>
      <c r="BB15" s="1533" t="s">
        <v>116</v>
      </c>
      <c r="BC15" s="1534" t="s">
        <v>1659</v>
      </c>
      <c r="BD15" s="245">
        <v>4</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146</v>
      </c>
      <c r="C16" s="1512" t="s">
        <v>167</v>
      </c>
      <c r="D16" s="1512" t="s">
        <v>145</v>
      </c>
      <c r="E16" s="1513"/>
      <c r="F16" s="1514">
        <v>-1844</v>
      </c>
      <c r="G16" s="1515">
        <v>22</v>
      </c>
      <c r="H16" s="1516">
        <v>6</v>
      </c>
      <c r="I16" s="1514"/>
      <c r="J16" s="1515"/>
      <c r="K16" s="1516"/>
      <c r="L16" s="1517" t="s">
        <v>702</v>
      </c>
      <c r="M16" s="1518" t="s">
        <v>808</v>
      </c>
      <c r="N16" s="1689" t="s">
        <v>116</v>
      </c>
      <c r="O16" s="2770"/>
      <c r="P16" s="415" t="b">
        <f t="shared" si="0"/>
        <v>0</v>
      </c>
      <c r="R16" s="245" t="b">
        <f t="shared" si="1"/>
        <v>0</v>
      </c>
      <c r="AO16" s="238" t="str">
        <f t="shared" si="2"/>
        <v>30</v>
      </c>
      <c r="AP16" s="945" t="b">
        <v>0</v>
      </c>
      <c r="AQ16" s="1323" t="s">
        <v>146</v>
      </c>
      <c r="AR16" s="1324" t="s">
        <v>167</v>
      </c>
      <c r="AS16" s="1324" t="s">
        <v>145</v>
      </c>
      <c r="AT16" s="1324"/>
      <c r="AU16" s="1324">
        <v>-1844</v>
      </c>
      <c r="AV16" s="1324">
        <v>22</v>
      </c>
      <c r="AW16" s="1324">
        <v>6</v>
      </c>
      <c r="AX16" s="1324"/>
      <c r="AY16" s="1324"/>
      <c r="AZ16" s="1324"/>
      <c r="BA16" s="1533" t="s">
        <v>702</v>
      </c>
      <c r="BB16" s="1533" t="s">
        <v>808</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157</v>
      </c>
      <c r="C17" s="1512" t="s">
        <v>167</v>
      </c>
      <c r="D17" s="1512" t="s">
        <v>145</v>
      </c>
      <c r="E17" s="1513"/>
      <c r="F17" s="1514">
        <v>1844</v>
      </c>
      <c r="G17" s="1515"/>
      <c r="H17" s="1516"/>
      <c r="I17" s="1514"/>
      <c r="J17" s="1515"/>
      <c r="K17" s="1516"/>
      <c r="L17" s="1517" t="s">
        <v>116</v>
      </c>
      <c r="M17" s="1518" t="s">
        <v>1393</v>
      </c>
      <c r="N17" s="1689" t="s">
        <v>116</v>
      </c>
      <c r="O17" s="2770"/>
      <c r="P17" s="415" t="b">
        <f>IF(ISERROR(VLOOKUP(AO17,BE:BE,1,FALSE)),FALSE,IF(AO17&lt;&gt;"",VLOOKUP(AO17,BE:BE,1,FALSE)=AO17))</f>
        <v>0</v>
      </c>
      <c r="R17" s="245" t="b">
        <f t="shared" si="1"/>
        <v>1</v>
      </c>
      <c r="AO17" s="238" t="str">
        <f t="shared" si="2"/>
        <v>30</v>
      </c>
      <c r="AP17" s="945" t="b">
        <v>0</v>
      </c>
      <c r="AQ17" s="1323" t="s">
        <v>157</v>
      </c>
      <c r="AR17" s="1324" t="s">
        <v>167</v>
      </c>
      <c r="AS17" s="1324" t="s">
        <v>145</v>
      </c>
      <c r="AT17" s="1324"/>
      <c r="AU17" s="1324">
        <v>1844</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146</v>
      </c>
      <c r="C18" s="1512" t="s">
        <v>165</v>
      </c>
      <c r="D18" s="1512" t="s">
        <v>145</v>
      </c>
      <c r="E18" s="1513"/>
      <c r="F18" s="1514">
        <v>296</v>
      </c>
      <c r="G18" s="1515">
        <v>22</v>
      </c>
      <c r="H18" s="1516">
        <v>6</v>
      </c>
      <c r="I18" s="1514"/>
      <c r="J18" s="1515"/>
      <c r="K18" s="1516"/>
      <c r="L18" s="1517" t="s">
        <v>702</v>
      </c>
      <c r="M18" s="1518" t="s">
        <v>116</v>
      </c>
      <c r="N18" s="1689" t="s">
        <v>116</v>
      </c>
      <c r="O18" s="2770"/>
      <c r="P18" s="415" t="b">
        <f t="shared" ref="P18:P55" si="3">IF(ISERROR(VLOOKUP(AO18,BE:BE,1,FALSE)),FALSE,IF(AO18&lt;&gt;"",VLOOKUP(AO18,BE:BE,1,FALSE)=AO18))</f>
        <v>0</v>
      </c>
      <c r="R18" s="245" t="b">
        <f t="shared" si="1"/>
        <v>0</v>
      </c>
      <c r="AO18" s="238" t="str">
        <f t="shared" si="2"/>
        <v>30</v>
      </c>
      <c r="AP18" s="945" t="b">
        <v>0</v>
      </c>
      <c r="AQ18" s="1323" t="s">
        <v>146</v>
      </c>
      <c r="AR18" s="1324" t="s">
        <v>165</v>
      </c>
      <c r="AS18" s="1324" t="s">
        <v>145</v>
      </c>
      <c r="AT18" s="1324"/>
      <c r="AU18" s="1324">
        <v>296</v>
      </c>
      <c r="AV18" s="1324">
        <v>22</v>
      </c>
      <c r="AW18" s="1324">
        <v>6</v>
      </c>
      <c r="AX18" s="1324"/>
      <c r="AY18" s="1324"/>
      <c r="AZ18" s="1324"/>
      <c r="BA18" s="1533" t="s">
        <v>702</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116</v>
      </c>
      <c r="C19" s="1512" t="s">
        <v>116</v>
      </c>
      <c r="D19" s="1512" t="s">
        <v>116</v>
      </c>
      <c r="E19" s="1513"/>
      <c r="F19" s="1514"/>
      <c r="G19" s="1515"/>
      <c r="H19" s="1516"/>
      <c r="I19" s="1514"/>
      <c r="J19" s="1515"/>
      <c r="K19" s="1516"/>
      <c r="L19" s="1517" t="s">
        <v>116</v>
      </c>
      <c r="M19" s="1518" t="s">
        <v>116</v>
      </c>
      <c r="N19" s="1689" t="s">
        <v>116</v>
      </c>
      <c r="O19" s="2770"/>
      <c r="P19" s="415" t="b">
        <f t="shared" si="3"/>
        <v>0</v>
      </c>
      <c r="R19" s="245" t="b">
        <f t="shared" si="1"/>
        <v>0</v>
      </c>
      <c r="AO19" s="238" t="str">
        <f t="shared" si="2"/>
        <v>30</v>
      </c>
      <c r="AP19" s="945" t="b">
        <v>0</v>
      </c>
      <c r="AQ19" s="1323"/>
      <c r="AR19" s="1324"/>
      <c r="AS19" s="1324"/>
      <c r="AT19" s="1324"/>
      <c r="AU19" s="1324"/>
      <c r="AV19" s="1324"/>
      <c r="AW19" s="1324"/>
      <c r="AX19" s="1324"/>
      <c r="AY19" s="1324"/>
      <c r="AZ19" s="1324"/>
      <c r="BA19" s="1533"/>
      <c r="BB19" s="1533"/>
      <c r="BC19" s="1534"/>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t="s">
        <v>1663</v>
      </c>
      <c r="B20" s="1512" t="s">
        <v>154</v>
      </c>
      <c r="C20" s="1512" t="s">
        <v>167</v>
      </c>
      <c r="D20" s="1512" t="s">
        <v>145</v>
      </c>
      <c r="E20" s="1513"/>
      <c r="F20" s="1514">
        <v>1888</v>
      </c>
      <c r="G20" s="1515"/>
      <c r="H20" s="1516"/>
      <c r="I20" s="1514"/>
      <c r="J20" s="1515"/>
      <c r="K20" s="1516"/>
      <c r="L20" s="1517" t="s">
        <v>116</v>
      </c>
      <c r="M20" s="1518" t="s">
        <v>1393</v>
      </c>
      <c r="N20" s="1519" t="s">
        <v>1657</v>
      </c>
      <c r="O20" s="2771"/>
      <c r="P20" s="415" t="b">
        <f t="shared" si="3"/>
        <v>1</v>
      </c>
      <c r="R20" s="245" t="b">
        <f t="shared" si="1"/>
        <v>1</v>
      </c>
      <c r="AO20" s="238" t="str">
        <f t="shared" si="2"/>
        <v>32</v>
      </c>
      <c r="AP20" s="945" t="b">
        <v>0</v>
      </c>
      <c r="AQ20" s="1323" t="s">
        <v>154</v>
      </c>
      <c r="AR20" s="1324" t="s">
        <v>167</v>
      </c>
      <c r="AS20" s="1324" t="s">
        <v>145</v>
      </c>
      <c r="AT20" s="1324"/>
      <c r="AU20" s="1324">
        <v>1888</v>
      </c>
      <c r="AV20" s="1324"/>
      <c r="AW20" s="1324"/>
      <c r="AX20" s="1324"/>
      <c r="AY20" s="1324"/>
      <c r="AZ20" s="1324"/>
      <c r="BA20" s="1533" t="s">
        <v>116</v>
      </c>
      <c r="BB20" s="1533" t="s">
        <v>116</v>
      </c>
      <c r="BC20" s="1534" t="s">
        <v>1657</v>
      </c>
      <c r="BD20" s="245">
        <v>2</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2220</v>
      </c>
      <c r="G21" s="1515">
        <v>24</v>
      </c>
      <c r="H21" s="1516">
        <v>0</v>
      </c>
      <c r="I21" s="1514">
        <v>2220</v>
      </c>
      <c r="J21" s="1515">
        <v>48</v>
      </c>
      <c r="K21" s="1516">
        <v>0</v>
      </c>
      <c r="L21" s="1517" t="s">
        <v>700</v>
      </c>
      <c r="M21" s="1518" t="s">
        <v>116</v>
      </c>
      <c r="N21" s="1519" t="s">
        <v>116</v>
      </c>
      <c r="O21" s="2771"/>
      <c r="P21" s="415" t="b">
        <f t="shared" si="3"/>
        <v>1</v>
      </c>
      <c r="R21" s="245" t="b">
        <f t="shared" si="1"/>
        <v>0</v>
      </c>
      <c r="AO21" s="238" t="str">
        <f t="shared" si="2"/>
        <v>32</v>
      </c>
      <c r="AP21" s="945" t="b">
        <v>0</v>
      </c>
      <c r="AQ21" s="1323" t="s">
        <v>148</v>
      </c>
      <c r="AR21" s="1324" t="s">
        <v>165</v>
      </c>
      <c r="AS21" s="1324" t="s">
        <v>145</v>
      </c>
      <c r="AT21" s="1324"/>
      <c r="AU21" s="1324">
        <v>2220</v>
      </c>
      <c r="AV21" s="1324">
        <v>24</v>
      </c>
      <c r="AW21" s="1324">
        <v>0</v>
      </c>
      <c r="AX21" s="1324">
        <v>2220</v>
      </c>
      <c r="AY21" s="1324">
        <v>48</v>
      </c>
      <c r="AZ21" s="1324">
        <v>0</v>
      </c>
      <c r="BA21" s="1533" t="s">
        <v>700</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t="s">
        <v>1664</v>
      </c>
      <c r="B22" s="1512" t="s">
        <v>154</v>
      </c>
      <c r="C22" s="1512" t="s">
        <v>167</v>
      </c>
      <c r="D22" s="1512" t="s">
        <v>145</v>
      </c>
      <c r="E22" s="1513"/>
      <c r="F22" s="1514">
        <v>1888</v>
      </c>
      <c r="G22" s="1515"/>
      <c r="H22" s="1516"/>
      <c r="I22" s="1514"/>
      <c r="J22" s="1515"/>
      <c r="K22" s="1516"/>
      <c r="L22" s="1517" t="s">
        <v>116</v>
      </c>
      <c r="M22" s="1518" t="s">
        <v>1393</v>
      </c>
      <c r="N22" s="1519" t="s">
        <v>1657</v>
      </c>
      <c r="O22" s="2771"/>
      <c r="P22" s="415" t="b">
        <f t="shared" si="3"/>
        <v>1</v>
      </c>
      <c r="R22" s="245" t="b">
        <f t="shared" si="1"/>
        <v>1</v>
      </c>
      <c r="AO22" s="238" t="str">
        <f t="shared" si="2"/>
        <v>33</v>
      </c>
      <c r="AP22" s="945" t="b">
        <v>0</v>
      </c>
      <c r="AQ22" s="1323" t="s">
        <v>154</v>
      </c>
      <c r="AR22" s="1324" t="s">
        <v>167</v>
      </c>
      <c r="AS22" s="1324" t="s">
        <v>145</v>
      </c>
      <c r="AT22" s="1324"/>
      <c r="AU22" s="1324">
        <v>1888</v>
      </c>
      <c r="AV22" s="1324"/>
      <c r="AW22" s="1324"/>
      <c r="AX22" s="1324"/>
      <c r="AY22" s="1324"/>
      <c r="AZ22" s="1324"/>
      <c r="BA22" s="1533" t="s">
        <v>116</v>
      </c>
      <c r="BB22" s="1533" t="s">
        <v>116</v>
      </c>
      <c r="BC22" s="1534" t="s">
        <v>1657</v>
      </c>
      <c r="BD22" s="245">
        <v>2</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720</v>
      </c>
      <c r="G23" s="1515">
        <v>8</v>
      </c>
      <c r="H23" s="1516">
        <v>0</v>
      </c>
      <c r="I23" s="1514">
        <v>2220</v>
      </c>
      <c r="J23" s="1515">
        <v>16</v>
      </c>
      <c r="K23" s="1516">
        <v>0</v>
      </c>
      <c r="L23" s="1517" t="s">
        <v>700</v>
      </c>
      <c r="M23" s="1518" t="s">
        <v>116</v>
      </c>
      <c r="N23" s="1519" t="s">
        <v>116</v>
      </c>
      <c r="O23" s="2771"/>
      <c r="P23" s="415" t="b">
        <f t="shared" si="3"/>
        <v>1</v>
      </c>
      <c r="R23" s="245" t="b">
        <f t="shared" si="1"/>
        <v>0</v>
      </c>
      <c r="AO23" s="238" t="str">
        <f t="shared" si="2"/>
        <v>33</v>
      </c>
      <c r="AP23" s="945" t="b">
        <v>0</v>
      </c>
      <c r="AQ23" s="1323" t="s">
        <v>148</v>
      </c>
      <c r="AR23" s="1324" t="s">
        <v>165</v>
      </c>
      <c r="AS23" s="1324" t="s">
        <v>145</v>
      </c>
      <c r="AT23" s="1324"/>
      <c r="AU23" s="1324">
        <v>720</v>
      </c>
      <c r="AV23" s="1324">
        <v>8</v>
      </c>
      <c r="AW23" s="1324">
        <v>0</v>
      </c>
      <c r="AX23" s="1324">
        <v>2220</v>
      </c>
      <c r="AY23" s="1324">
        <v>16</v>
      </c>
      <c r="AZ23" s="1324">
        <v>0</v>
      </c>
      <c r="BA23" s="1533" t="s">
        <v>700</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t="s">
        <v>1665</v>
      </c>
      <c r="B24" s="1512" t="s">
        <v>154</v>
      </c>
      <c r="C24" s="1512" t="s">
        <v>167</v>
      </c>
      <c r="D24" s="1512" t="s">
        <v>145</v>
      </c>
      <c r="E24" s="1513"/>
      <c r="F24" s="1514">
        <v>1888</v>
      </c>
      <c r="G24" s="1515"/>
      <c r="H24" s="1516"/>
      <c r="I24" s="1514"/>
      <c r="J24" s="1515"/>
      <c r="K24" s="1516"/>
      <c r="L24" s="1517" t="s">
        <v>116</v>
      </c>
      <c r="M24" s="1518" t="s">
        <v>1393</v>
      </c>
      <c r="N24" s="1519" t="s">
        <v>1657</v>
      </c>
      <c r="O24" s="2771"/>
      <c r="P24" s="415" t="b">
        <f t="shared" si="3"/>
        <v>1</v>
      </c>
      <c r="R24" s="245" t="b">
        <f t="shared" si="1"/>
        <v>1</v>
      </c>
      <c r="AO24" s="238" t="str">
        <f t="shared" si="2"/>
        <v>34</v>
      </c>
      <c r="AP24" s="945" t="b">
        <v>0</v>
      </c>
      <c r="AQ24" s="1323" t="s">
        <v>154</v>
      </c>
      <c r="AR24" s="1324" t="s">
        <v>167</v>
      </c>
      <c r="AS24" s="1324" t="s">
        <v>145</v>
      </c>
      <c r="AT24" s="1324"/>
      <c r="AU24" s="1324">
        <v>1888</v>
      </c>
      <c r="AV24" s="1324"/>
      <c r="AW24" s="1324"/>
      <c r="AX24" s="1324"/>
      <c r="AY24" s="1324"/>
      <c r="AZ24" s="1324"/>
      <c r="BA24" s="1533" t="s">
        <v>116</v>
      </c>
      <c r="BB24" s="1533" t="s">
        <v>116</v>
      </c>
      <c r="BC24" s="1534" t="s">
        <v>1657</v>
      </c>
      <c r="BD24" s="245">
        <v>3</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2220</v>
      </c>
      <c r="G25" s="1515">
        <v>16</v>
      </c>
      <c r="H25" s="1516">
        <v>0</v>
      </c>
      <c r="I25" s="1514">
        <v>2220</v>
      </c>
      <c r="J25" s="1515">
        <v>24</v>
      </c>
      <c r="K25" s="1516">
        <v>0</v>
      </c>
      <c r="L25" s="1517" t="s">
        <v>700</v>
      </c>
      <c r="M25" s="1518" t="s">
        <v>116</v>
      </c>
      <c r="N25" s="1519" t="s">
        <v>116</v>
      </c>
      <c r="O25" s="2771"/>
      <c r="P25" s="415" t="b">
        <f t="shared" si="3"/>
        <v>1</v>
      </c>
      <c r="R25" s="245" t="b">
        <f t="shared" si="1"/>
        <v>0</v>
      </c>
      <c r="AO25" s="238" t="str">
        <f t="shared" si="2"/>
        <v>34</v>
      </c>
      <c r="AP25" s="945" t="b">
        <v>0</v>
      </c>
      <c r="AQ25" s="1323" t="s">
        <v>148</v>
      </c>
      <c r="AR25" s="1324" t="s">
        <v>165</v>
      </c>
      <c r="AS25" s="1324" t="s">
        <v>145</v>
      </c>
      <c r="AT25" s="1324"/>
      <c r="AU25" s="1324">
        <v>2220</v>
      </c>
      <c r="AV25" s="1324">
        <v>16</v>
      </c>
      <c r="AW25" s="1324">
        <v>0</v>
      </c>
      <c r="AX25" s="1324">
        <v>2220</v>
      </c>
      <c r="AY25" s="1324">
        <v>24</v>
      </c>
      <c r="AZ25" s="1324">
        <v>0</v>
      </c>
      <c r="BA25" s="1533" t="s">
        <v>700</v>
      </c>
      <c r="BB25" s="1533" t="s">
        <v>116</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2220</v>
      </c>
      <c r="G26" s="1515">
        <v>48</v>
      </c>
      <c r="H26" s="1516">
        <v>0</v>
      </c>
      <c r="I26" s="1514"/>
      <c r="J26" s="1515"/>
      <c r="K26" s="1516"/>
      <c r="L26" s="1517" t="s">
        <v>700</v>
      </c>
      <c r="M26" s="1518" t="s">
        <v>116</v>
      </c>
      <c r="N26" s="1519" t="s">
        <v>116</v>
      </c>
      <c r="O26" s="2771"/>
      <c r="P26" s="415" t="b">
        <f t="shared" si="3"/>
        <v>1</v>
      </c>
      <c r="R26" s="245" t="b">
        <f t="shared" si="1"/>
        <v>0</v>
      </c>
      <c r="AO26" s="238" t="str">
        <f t="shared" si="2"/>
        <v>34</v>
      </c>
      <c r="AP26" s="945" t="b">
        <v>0</v>
      </c>
      <c r="AQ26" s="1323" t="s">
        <v>148</v>
      </c>
      <c r="AR26" s="1324" t="s">
        <v>165</v>
      </c>
      <c r="AS26" s="1324" t="s">
        <v>145</v>
      </c>
      <c r="AT26" s="1324"/>
      <c r="AU26" s="1324">
        <v>2220</v>
      </c>
      <c r="AV26" s="1324">
        <v>48</v>
      </c>
      <c r="AW26" s="1324">
        <v>0</v>
      </c>
      <c r="AX26" s="1324"/>
      <c r="AY26" s="1324"/>
      <c r="AZ26" s="1324"/>
      <c r="BA26" s="1533" t="s">
        <v>700</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t="s">
        <v>1666</v>
      </c>
      <c r="B27" s="1512" t="s">
        <v>154</v>
      </c>
      <c r="C27" s="1512" t="s">
        <v>167</v>
      </c>
      <c r="D27" s="1512" t="s">
        <v>145</v>
      </c>
      <c r="E27" s="1513"/>
      <c r="F27" s="1514">
        <v>1888</v>
      </c>
      <c r="G27" s="1515"/>
      <c r="H27" s="1516"/>
      <c r="I27" s="1514"/>
      <c r="J27" s="1515"/>
      <c r="K27" s="1516"/>
      <c r="L27" s="1517" t="s">
        <v>116</v>
      </c>
      <c r="M27" s="1518" t="s">
        <v>1393</v>
      </c>
      <c r="N27" s="1519" t="s">
        <v>1657</v>
      </c>
      <c r="O27" s="2771"/>
      <c r="P27" s="415" t="b">
        <f t="shared" si="3"/>
        <v>1</v>
      </c>
      <c r="R27" s="245" t="b">
        <f t="shared" si="1"/>
        <v>1</v>
      </c>
      <c r="AO27" s="238" t="str">
        <f t="shared" si="2"/>
        <v>35</v>
      </c>
      <c r="AP27" s="945" t="b">
        <v>0</v>
      </c>
      <c r="AQ27" s="1323" t="s">
        <v>154</v>
      </c>
      <c r="AR27" s="1324" t="s">
        <v>167</v>
      </c>
      <c r="AS27" s="1324" t="s">
        <v>145</v>
      </c>
      <c r="AT27" s="1324"/>
      <c r="AU27" s="1324">
        <v>1888</v>
      </c>
      <c r="AV27" s="1324"/>
      <c r="AW27" s="1324"/>
      <c r="AX27" s="1324"/>
      <c r="AY27" s="1324"/>
      <c r="AZ27" s="1324"/>
      <c r="BA27" s="1533" t="s">
        <v>116</v>
      </c>
      <c r="BB27" s="1533" t="s">
        <v>116</v>
      </c>
      <c r="BC27" s="1534" t="s">
        <v>1657</v>
      </c>
      <c r="BD27" s="245">
        <v>2</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2220</v>
      </c>
      <c r="G28" s="1515">
        <v>16</v>
      </c>
      <c r="H28" s="1516">
        <v>0</v>
      </c>
      <c r="I28" s="1514">
        <v>2220</v>
      </c>
      <c r="J28" s="1515">
        <v>40</v>
      </c>
      <c r="K28" s="1516">
        <v>0</v>
      </c>
      <c r="L28" s="1517" t="s">
        <v>700</v>
      </c>
      <c r="M28" s="1518" t="s">
        <v>116</v>
      </c>
      <c r="N28" s="1689" t="s">
        <v>116</v>
      </c>
      <c r="O28" s="2770"/>
      <c r="P28" s="415" t="b">
        <f t="shared" si="3"/>
        <v>1</v>
      </c>
      <c r="R28" s="245" t="b">
        <f t="shared" si="1"/>
        <v>0</v>
      </c>
      <c r="AO28" s="238" t="str">
        <f t="shared" si="2"/>
        <v>35</v>
      </c>
      <c r="AP28" s="945" t="b">
        <v>0</v>
      </c>
      <c r="AQ28" s="1323" t="s">
        <v>148</v>
      </c>
      <c r="AR28" s="1324" t="s">
        <v>165</v>
      </c>
      <c r="AS28" s="1324" t="s">
        <v>145</v>
      </c>
      <c r="AT28" s="1324"/>
      <c r="AU28" s="1324">
        <v>2220</v>
      </c>
      <c r="AV28" s="1324">
        <v>16</v>
      </c>
      <c r="AW28" s="1324">
        <v>0</v>
      </c>
      <c r="AX28" s="1324">
        <v>2220</v>
      </c>
      <c r="AY28" s="1324">
        <v>40</v>
      </c>
      <c r="AZ28" s="1324">
        <v>0</v>
      </c>
      <c r="BA28" s="1533" t="s">
        <v>700</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t="s">
        <v>1667</v>
      </c>
      <c r="B29" s="1512" t="s">
        <v>154</v>
      </c>
      <c r="C29" s="1512" t="s">
        <v>167</v>
      </c>
      <c r="D29" s="1512" t="s">
        <v>145</v>
      </c>
      <c r="E29" s="1513"/>
      <c r="F29" s="1514">
        <v>1888</v>
      </c>
      <c r="G29" s="1515"/>
      <c r="H29" s="1516"/>
      <c r="I29" s="1514"/>
      <c r="J29" s="1515"/>
      <c r="K29" s="1516"/>
      <c r="L29" s="1517" t="s">
        <v>116</v>
      </c>
      <c r="M29" s="1518" t="s">
        <v>1393</v>
      </c>
      <c r="N29" s="1689" t="s">
        <v>1668</v>
      </c>
      <c r="O29" s="2770"/>
      <c r="P29" s="415" t="b">
        <f t="shared" si="3"/>
        <v>1</v>
      </c>
      <c r="R29" s="245" t="b">
        <f t="shared" si="1"/>
        <v>1</v>
      </c>
      <c r="AO29" s="238" t="str">
        <f t="shared" si="2"/>
        <v>36</v>
      </c>
      <c r="AP29" s="945" t="b">
        <v>0</v>
      </c>
      <c r="AQ29" s="1323" t="s">
        <v>154</v>
      </c>
      <c r="AR29" s="1324" t="s">
        <v>167</v>
      </c>
      <c r="AS29" s="1324" t="s">
        <v>145</v>
      </c>
      <c r="AT29" s="1324"/>
      <c r="AU29" s="1324">
        <v>1888</v>
      </c>
      <c r="AV29" s="1324"/>
      <c r="AW29" s="1324"/>
      <c r="AX29" s="1324"/>
      <c r="AY29" s="1324"/>
      <c r="AZ29" s="1324"/>
      <c r="BA29" s="1533" t="s">
        <v>116</v>
      </c>
      <c r="BB29" s="1533" t="s">
        <v>116</v>
      </c>
      <c r="BC29" s="1534" t="s">
        <v>1668</v>
      </c>
      <c r="BD29" s="245">
        <v>2</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720</v>
      </c>
      <c r="G30" s="1515">
        <v>8</v>
      </c>
      <c r="H30" s="1516">
        <v>0</v>
      </c>
      <c r="I30" s="1514">
        <v>2220</v>
      </c>
      <c r="J30" s="1515">
        <v>48</v>
      </c>
      <c r="K30" s="1516">
        <v>0</v>
      </c>
      <c r="L30" s="1517" t="s">
        <v>700</v>
      </c>
      <c r="M30" s="1518" t="s">
        <v>116</v>
      </c>
      <c r="N30" s="1689" t="s">
        <v>116</v>
      </c>
      <c r="O30" s="2770"/>
      <c r="P30" s="415" t="b">
        <f t="shared" si="3"/>
        <v>1</v>
      </c>
      <c r="R30" s="245" t="b">
        <f t="shared" si="1"/>
        <v>0</v>
      </c>
      <c r="AO30" s="238" t="str">
        <f t="shared" si="2"/>
        <v>36</v>
      </c>
      <c r="AP30" s="945" t="b">
        <v>0</v>
      </c>
      <c r="AQ30" s="1323" t="s">
        <v>148</v>
      </c>
      <c r="AR30" s="1324" t="s">
        <v>165</v>
      </c>
      <c r="AS30" s="1324" t="s">
        <v>145</v>
      </c>
      <c r="AT30" s="1324"/>
      <c r="AU30" s="1324">
        <v>720</v>
      </c>
      <c r="AV30" s="1324">
        <v>8</v>
      </c>
      <c r="AW30" s="1324">
        <v>0</v>
      </c>
      <c r="AX30" s="1324">
        <v>2220</v>
      </c>
      <c r="AY30" s="1324">
        <v>48</v>
      </c>
      <c r="AZ30" s="1324">
        <v>0</v>
      </c>
      <c r="BA30" s="1533" t="s">
        <v>700</v>
      </c>
      <c r="BB30" s="1533" t="s">
        <v>116</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t="s">
        <v>1669</v>
      </c>
      <c r="B31" s="1512" t="s">
        <v>154</v>
      </c>
      <c r="C31" s="1512" t="s">
        <v>167</v>
      </c>
      <c r="D31" s="1512" t="s">
        <v>145</v>
      </c>
      <c r="E31" s="1513"/>
      <c r="F31" s="1514">
        <v>1888</v>
      </c>
      <c r="G31" s="1515"/>
      <c r="H31" s="1516"/>
      <c r="I31" s="1514"/>
      <c r="J31" s="1515"/>
      <c r="K31" s="1516"/>
      <c r="L31" s="1517" t="s">
        <v>116</v>
      </c>
      <c r="M31" s="1517" t="s">
        <v>1393</v>
      </c>
      <c r="N31" s="1689" t="s">
        <v>1657</v>
      </c>
      <c r="O31" s="2770"/>
      <c r="P31" s="415" t="b">
        <f t="shared" si="3"/>
        <v>1</v>
      </c>
      <c r="R31" s="245" t="b">
        <f t="shared" si="1"/>
        <v>1</v>
      </c>
      <c r="AO31" s="238" t="str">
        <f t="shared" si="2"/>
        <v>37</v>
      </c>
      <c r="AP31" s="945" t="b">
        <v>0</v>
      </c>
      <c r="AQ31" s="1323" t="s">
        <v>154</v>
      </c>
      <c r="AR31" s="1324" t="s">
        <v>167</v>
      </c>
      <c r="AS31" s="1324" t="s">
        <v>145</v>
      </c>
      <c r="AT31" s="1324"/>
      <c r="AU31" s="1324">
        <v>1888</v>
      </c>
      <c r="AV31" s="1324"/>
      <c r="AW31" s="1324"/>
      <c r="AX31" s="1324"/>
      <c r="AY31" s="1324"/>
      <c r="AZ31" s="1324"/>
      <c r="BA31" s="1533" t="s">
        <v>116</v>
      </c>
      <c r="BB31" s="1533" t="s">
        <v>116</v>
      </c>
      <c r="BC31" s="1534" t="s">
        <v>1657</v>
      </c>
      <c r="BD31" s="245">
        <v>3</v>
      </c>
    </row>
    <row r="32" spans="1:81" ht="14.1" customHeight="1" x14ac:dyDescent="0.2">
      <c r="A32" s="1511"/>
      <c r="B32" s="1512" t="s">
        <v>148</v>
      </c>
      <c r="C32" s="1512" t="s">
        <v>165</v>
      </c>
      <c r="D32" s="1512" t="s">
        <v>145</v>
      </c>
      <c r="E32" s="1513"/>
      <c r="F32" s="1514">
        <v>720</v>
      </c>
      <c r="G32" s="1515">
        <v>8</v>
      </c>
      <c r="H32" s="1516">
        <v>0</v>
      </c>
      <c r="I32" s="1514">
        <v>2220</v>
      </c>
      <c r="J32" s="1515">
        <v>40</v>
      </c>
      <c r="K32" s="1516">
        <v>0</v>
      </c>
      <c r="L32" s="1517" t="s">
        <v>700</v>
      </c>
      <c r="M32" s="1517" t="s">
        <v>116</v>
      </c>
      <c r="N32" s="1689" t="s">
        <v>116</v>
      </c>
      <c r="O32" s="2770"/>
      <c r="P32" s="415" t="b">
        <f t="shared" si="3"/>
        <v>1</v>
      </c>
      <c r="R32" s="245" t="b">
        <f t="shared" si="1"/>
        <v>0</v>
      </c>
      <c r="AO32" s="238" t="str">
        <f t="shared" si="2"/>
        <v>37</v>
      </c>
      <c r="AP32" s="945" t="b">
        <v>0</v>
      </c>
      <c r="AQ32" s="1323" t="s">
        <v>148</v>
      </c>
      <c r="AR32" s="1324" t="s">
        <v>165</v>
      </c>
      <c r="AS32" s="1324" t="s">
        <v>145</v>
      </c>
      <c r="AT32" s="1324"/>
      <c r="AU32" s="1324">
        <v>720</v>
      </c>
      <c r="AV32" s="1324">
        <v>8</v>
      </c>
      <c r="AW32" s="1324">
        <v>0</v>
      </c>
      <c r="AX32" s="1324">
        <v>2220</v>
      </c>
      <c r="AY32" s="1324">
        <v>40</v>
      </c>
      <c r="AZ32" s="1324">
        <v>0</v>
      </c>
      <c r="BA32" s="1533" t="s">
        <v>700</v>
      </c>
      <c r="BB32" s="1533" t="s">
        <v>116</v>
      </c>
      <c r="BC32" s="1534" t="s">
        <v>116</v>
      </c>
    </row>
    <row r="33" spans="1:56" ht="14.1" customHeight="1" x14ac:dyDescent="0.2">
      <c r="A33" s="1511"/>
      <c r="B33" s="1512" t="s">
        <v>148</v>
      </c>
      <c r="C33" s="1512" t="s">
        <v>165</v>
      </c>
      <c r="D33" s="1512" t="s">
        <v>145</v>
      </c>
      <c r="E33" s="1513"/>
      <c r="F33" s="1514">
        <v>2220</v>
      </c>
      <c r="G33" s="1515">
        <v>48</v>
      </c>
      <c r="H33" s="1516">
        <v>0</v>
      </c>
      <c r="I33" s="1514"/>
      <c r="J33" s="1515"/>
      <c r="K33" s="1516"/>
      <c r="L33" s="1517" t="s">
        <v>700</v>
      </c>
      <c r="M33" s="1517" t="s">
        <v>116</v>
      </c>
      <c r="N33" s="1689" t="s">
        <v>116</v>
      </c>
      <c r="O33" s="2770"/>
      <c r="P33" s="415" t="b">
        <f t="shared" si="3"/>
        <v>1</v>
      </c>
      <c r="R33" s="245" t="b">
        <f t="shared" si="1"/>
        <v>0</v>
      </c>
      <c r="AO33" s="238" t="str">
        <f t="shared" si="2"/>
        <v>37</v>
      </c>
      <c r="AP33" s="945" t="b">
        <v>0</v>
      </c>
      <c r="AQ33" s="1323" t="s">
        <v>148</v>
      </c>
      <c r="AR33" s="1324" t="s">
        <v>165</v>
      </c>
      <c r="AS33" s="1324" t="s">
        <v>145</v>
      </c>
      <c r="AT33" s="1324"/>
      <c r="AU33" s="1324">
        <v>2220</v>
      </c>
      <c r="AV33" s="1324">
        <v>48</v>
      </c>
      <c r="AW33" s="1324">
        <v>0</v>
      </c>
      <c r="AX33" s="1324"/>
      <c r="AY33" s="1324"/>
      <c r="AZ33" s="1324"/>
      <c r="BA33" s="1533" t="s">
        <v>700</v>
      </c>
      <c r="BB33" s="1533" t="s">
        <v>116</v>
      </c>
      <c r="BC33" s="1534" t="s">
        <v>116</v>
      </c>
    </row>
    <row r="34" spans="1:56" ht="14.1" customHeight="1" x14ac:dyDescent="0.2">
      <c r="A34" s="1511" t="s">
        <v>1670</v>
      </c>
      <c r="B34" s="1512" t="s">
        <v>146</v>
      </c>
      <c r="C34" s="1512" t="s">
        <v>167</v>
      </c>
      <c r="D34" s="1512" t="s">
        <v>145</v>
      </c>
      <c r="E34" s="1513"/>
      <c r="F34" s="1514">
        <v>966</v>
      </c>
      <c r="G34" s="1515">
        <v>3</v>
      </c>
      <c r="H34" s="1516">
        <v>0</v>
      </c>
      <c r="I34" s="1514">
        <v>966</v>
      </c>
      <c r="J34" s="1515">
        <v>12</v>
      </c>
      <c r="K34" s="1516">
        <v>0</v>
      </c>
      <c r="L34" s="1517" t="s">
        <v>700</v>
      </c>
      <c r="M34" s="1517" t="s">
        <v>1393</v>
      </c>
      <c r="N34" s="1689" t="s">
        <v>1646</v>
      </c>
      <c r="O34" s="2770"/>
      <c r="P34" s="415" t="b">
        <f t="shared" si="3"/>
        <v>0</v>
      </c>
      <c r="R34" s="245" t="b">
        <f t="shared" si="1"/>
        <v>0</v>
      </c>
      <c r="AO34" s="238" t="str">
        <f t="shared" si="2"/>
        <v>38</v>
      </c>
      <c r="AP34" s="945" t="b">
        <v>0</v>
      </c>
      <c r="AQ34" s="1323" t="s">
        <v>146</v>
      </c>
      <c r="AR34" s="1324" t="s">
        <v>167</v>
      </c>
      <c r="AS34" s="1324" t="s">
        <v>145</v>
      </c>
      <c r="AT34" s="1324"/>
      <c r="AU34" s="1324">
        <v>966</v>
      </c>
      <c r="AV34" s="1324">
        <v>3</v>
      </c>
      <c r="AW34" s="1324">
        <v>0</v>
      </c>
      <c r="AX34" s="1324">
        <v>966</v>
      </c>
      <c r="AY34" s="1324">
        <v>12</v>
      </c>
      <c r="AZ34" s="1324">
        <v>0</v>
      </c>
      <c r="BA34" s="1533" t="s">
        <v>700</v>
      </c>
      <c r="BB34" s="1533" t="s">
        <v>116</v>
      </c>
      <c r="BC34" s="1534" t="s">
        <v>1646</v>
      </c>
      <c r="BD34" s="245">
        <v>4</v>
      </c>
    </row>
    <row r="35" spans="1:56" ht="14.1" customHeight="1" x14ac:dyDescent="0.2">
      <c r="A35" s="1511"/>
      <c r="B35" s="1512" t="s">
        <v>146</v>
      </c>
      <c r="C35" s="1512" t="s">
        <v>167</v>
      </c>
      <c r="D35" s="1512" t="s">
        <v>145</v>
      </c>
      <c r="E35" s="1513"/>
      <c r="F35" s="1514">
        <v>-966</v>
      </c>
      <c r="G35" s="1515">
        <v>3</v>
      </c>
      <c r="H35" s="1516">
        <v>0</v>
      </c>
      <c r="I35" s="1514">
        <v>-966</v>
      </c>
      <c r="J35" s="1515">
        <v>12</v>
      </c>
      <c r="K35" s="1516">
        <v>0</v>
      </c>
      <c r="L35" s="1517" t="s">
        <v>700</v>
      </c>
      <c r="M35" s="1517" t="s">
        <v>808</v>
      </c>
      <c r="N35" s="1689" t="s">
        <v>116</v>
      </c>
      <c r="O35" s="2770"/>
      <c r="P35" s="415" t="b">
        <f t="shared" si="3"/>
        <v>0</v>
      </c>
      <c r="R35" s="245" t="b">
        <f t="shared" si="1"/>
        <v>0</v>
      </c>
      <c r="AO35" s="238" t="str">
        <f t="shared" si="2"/>
        <v>38</v>
      </c>
      <c r="AP35" s="945" t="b">
        <v>0</v>
      </c>
      <c r="AQ35" s="1323" t="s">
        <v>146</v>
      </c>
      <c r="AR35" s="1324" t="s">
        <v>167</v>
      </c>
      <c r="AS35" s="1324" t="s">
        <v>145</v>
      </c>
      <c r="AT35" s="1324"/>
      <c r="AU35" s="1324">
        <v>-966</v>
      </c>
      <c r="AV35" s="1324">
        <v>3</v>
      </c>
      <c r="AW35" s="1324">
        <v>0</v>
      </c>
      <c r="AX35" s="1324">
        <v>-966</v>
      </c>
      <c r="AY35" s="1324">
        <v>12</v>
      </c>
      <c r="AZ35" s="1324">
        <v>0</v>
      </c>
      <c r="BA35" s="1533" t="s">
        <v>700</v>
      </c>
      <c r="BB35" s="1533" t="s">
        <v>808</v>
      </c>
      <c r="BC35" s="1534" t="s">
        <v>116</v>
      </c>
    </row>
    <row r="36" spans="1:56" ht="14.1" customHeight="1" x14ac:dyDescent="0.2">
      <c r="A36" s="1511"/>
      <c r="B36" s="1512" t="s">
        <v>157</v>
      </c>
      <c r="C36" s="1512" t="s">
        <v>167</v>
      </c>
      <c r="D36" s="1512" t="s">
        <v>145</v>
      </c>
      <c r="E36" s="1513"/>
      <c r="F36" s="1514">
        <v>966</v>
      </c>
      <c r="G36" s="1515"/>
      <c r="H36" s="1516"/>
      <c r="I36" s="1514"/>
      <c r="J36" s="1515"/>
      <c r="K36" s="1516"/>
      <c r="L36" s="1517" t="s">
        <v>116</v>
      </c>
      <c r="M36" s="1517" t="s">
        <v>1393</v>
      </c>
      <c r="N36" s="1689" t="s">
        <v>116</v>
      </c>
      <c r="O36" s="2770"/>
      <c r="P36" s="415" t="b">
        <f t="shared" si="3"/>
        <v>0</v>
      </c>
      <c r="R36" s="245" t="b">
        <f t="shared" si="1"/>
        <v>1</v>
      </c>
      <c r="AO36" s="238" t="str">
        <f t="shared" si="2"/>
        <v>38</v>
      </c>
      <c r="AP36" s="945" t="b">
        <v>0</v>
      </c>
      <c r="AQ36" s="1323" t="s">
        <v>157</v>
      </c>
      <c r="AR36" s="1324" t="s">
        <v>167</v>
      </c>
      <c r="AS36" s="1324" t="s">
        <v>145</v>
      </c>
      <c r="AT36" s="1324"/>
      <c r="AU36" s="1324">
        <v>966</v>
      </c>
      <c r="AV36" s="1324"/>
      <c r="AW36" s="1324"/>
      <c r="AX36" s="1324"/>
      <c r="AY36" s="1324"/>
      <c r="AZ36" s="1324"/>
      <c r="BA36" s="1533" t="s">
        <v>116</v>
      </c>
      <c r="BB36" s="1533" t="s">
        <v>116</v>
      </c>
      <c r="BC36" s="1534" t="s">
        <v>116</v>
      </c>
    </row>
    <row r="37" spans="1:56" ht="14.1" customHeight="1" x14ac:dyDescent="0.2">
      <c r="A37" s="1511"/>
      <c r="B37" s="1512" t="s">
        <v>146</v>
      </c>
      <c r="C37" s="1512" t="s">
        <v>165</v>
      </c>
      <c r="D37" s="1512" t="s">
        <v>145</v>
      </c>
      <c r="E37" s="1513"/>
      <c r="F37" s="1514">
        <v>96</v>
      </c>
      <c r="G37" s="1515">
        <v>3</v>
      </c>
      <c r="H37" s="1516">
        <v>0</v>
      </c>
      <c r="I37" s="1514">
        <v>96</v>
      </c>
      <c r="J37" s="1515">
        <v>12</v>
      </c>
      <c r="K37" s="1516">
        <v>0</v>
      </c>
      <c r="L37" s="1517" t="s">
        <v>700</v>
      </c>
      <c r="M37" s="1517" t="s">
        <v>116</v>
      </c>
      <c r="N37" s="1689" t="s">
        <v>116</v>
      </c>
      <c r="O37" s="2770"/>
      <c r="P37" s="415" t="b">
        <f t="shared" si="3"/>
        <v>0</v>
      </c>
      <c r="R37" s="245" t="b">
        <f t="shared" si="1"/>
        <v>0</v>
      </c>
      <c r="AO37" s="238" t="str">
        <f t="shared" si="2"/>
        <v>38</v>
      </c>
      <c r="AP37" s="945" t="b">
        <v>0</v>
      </c>
      <c r="AQ37" s="1323" t="s">
        <v>146</v>
      </c>
      <c r="AR37" s="1324" t="s">
        <v>165</v>
      </c>
      <c r="AS37" s="1324" t="s">
        <v>145</v>
      </c>
      <c r="AT37" s="1324"/>
      <c r="AU37" s="1324">
        <v>96</v>
      </c>
      <c r="AV37" s="1324">
        <v>3</v>
      </c>
      <c r="AW37" s="1324">
        <v>0</v>
      </c>
      <c r="AX37" s="1324">
        <v>96</v>
      </c>
      <c r="AY37" s="1324">
        <v>12</v>
      </c>
      <c r="AZ37" s="1324">
        <v>0</v>
      </c>
      <c r="BA37" s="1533" t="s">
        <v>700</v>
      </c>
      <c r="BB37" s="1533" t="s">
        <v>116</v>
      </c>
      <c r="BC37" s="1534" t="s">
        <v>116</v>
      </c>
    </row>
    <row r="38" spans="1:56" ht="14.1" customHeight="1" x14ac:dyDescent="0.2">
      <c r="A38" s="1511" t="s">
        <v>1671</v>
      </c>
      <c r="B38" s="1512" t="s">
        <v>146</v>
      </c>
      <c r="C38" s="1512" t="s">
        <v>167</v>
      </c>
      <c r="D38" s="1512" t="s">
        <v>145</v>
      </c>
      <c r="E38" s="1513"/>
      <c r="F38" s="1514">
        <v>966</v>
      </c>
      <c r="G38" s="1515">
        <v>3</v>
      </c>
      <c r="H38" s="1516">
        <v>0</v>
      </c>
      <c r="I38" s="1514"/>
      <c r="J38" s="1515"/>
      <c r="K38" s="1516"/>
      <c r="L38" s="1517" t="s">
        <v>700</v>
      </c>
      <c r="M38" s="1517" t="s">
        <v>1393</v>
      </c>
      <c r="N38" s="1689" t="s">
        <v>1646</v>
      </c>
      <c r="O38" s="2770"/>
      <c r="P38" s="415" t="b">
        <f t="shared" si="3"/>
        <v>0</v>
      </c>
      <c r="R38" s="245" t="b">
        <f t="shared" si="1"/>
        <v>0</v>
      </c>
      <c r="AO38" s="238" t="str">
        <f t="shared" si="2"/>
        <v>39</v>
      </c>
      <c r="AP38" s="945" t="b">
        <v>0</v>
      </c>
      <c r="AQ38" s="1323" t="s">
        <v>146</v>
      </c>
      <c r="AR38" s="1324" t="s">
        <v>167</v>
      </c>
      <c r="AS38" s="1324" t="s">
        <v>145</v>
      </c>
      <c r="AT38" s="1324"/>
      <c r="AU38" s="1324">
        <v>966</v>
      </c>
      <c r="AV38" s="1324">
        <v>3</v>
      </c>
      <c r="AW38" s="1324">
        <v>0</v>
      </c>
      <c r="AX38" s="1324"/>
      <c r="AY38" s="1324"/>
      <c r="AZ38" s="1324"/>
      <c r="BA38" s="1533" t="s">
        <v>700</v>
      </c>
      <c r="BB38" s="1533" t="s">
        <v>116</v>
      </c>
      <c r="BC38" s="1534" t="s">
        <v>1646</v>
      </c>
      <c r="BD38" s="245">
        <v>4</v>
      </c>
    </row>
    <row r="39" spans="1:56" ht="14.1" customHeight="1" x14ac:dyDescent="0.2">
      <c r="A39" s="1511"/>
      <c r="B39" s="1512" t="s">
        <v>146</v>
      </c>
      <c r="C39" s="1512" t="s">
        <v>167</v>
      </c>
      <c r="D39" s="1512" t="s">
        <v>145</v>
      </c>
      <c r="E39" s="1513"/>
      <c r="F39" s="1514">
        <v>-966</v>
      </c>
      <c r="G39" s="1515">
        <v>3</v>
      </c>
      <c r="H39" s="1516">
        <v>0</v>
      </c>
      <c r="I39" s="1514"/>
      <c r="J39" s="1515"/>
      <c r="K39" s="1516"/>
      <c r="L39" s="1517" t="s">
        <v>700</v>
      </c>
      <c r="M39" s="1517" t="s">
        <v>808</v>
      </c>
      <c r="N39" s="1689" t="s">
        <v>116</v>
      </c>
      <c r="O39" s="2770"/>
      <c r="P39" s="415" t="b">
        <f t="shared" si="3"/>
        <v>0</v>
      </c>
      <c r="R39" s="245" t="b">
        <f t="shared" si="1"/>
        <v>0</v>
      </c>
      <c r="AO39" s="238" t="str">
        <f t="shared" si="2"/>
        <v>39</v>
      </c>
      <c r="AP39" s="945" t="b">
        <v>0</v>
      </c>
      <c r="AQ39" s="1323" t="s">
        <v>146</v>
      </c>
      <c r="AR39" s="1324" t="s">
        <v>167</v>
      </c>
      <c r="AS39" s="1324" t="s">
        <v>145</v>
      </c>
      <c r="AT39" s="1324"/>
      <c r="AU39" s="1324">
        <v>-966</v>
      </c>
      <c r="AV39" s="1324">
        <v>3</v>
      </c>
      <c r="AW39" s="1324">
        <v>0</v>
      </c>
      <c r="AX39" s="1324"/>
      <c r="AY39" s="1324"/>
      <c r="AZ39" s="1324"/>
      <c r="BA39" s="1533" t="s">
        <v>700</v>
      </c>
      <c r="BB39" s="1533" t="s">
        <v>808</v>
      </c>
      <c r="BC39" s="1534" t="s">
        <v>116</v>
      </c>
    </row>
    <row r="40" spans="1:56" ht="14.1" customHeight="1" x14ac:dyDescent="0.2">
      <c r="A40" s="1511"/>
      <c r="B40" s="1512" t="s">
        <v>157</v>
      </c>
      <c r="C40" s="1512" t="s">
        <v>167</v>
      </c>
      <c r="D40" s="1512" t="s">
        <v>145</v>
      </c>
      <c r="E40" s="1513"/>
      <c r="F40" s="1514">
        <v>966</v>
      </c>
      <c r="G40" s="1515"/>
      <c r="H40" s="1516"/>
      <c r="I40" s="1514"/>
      <c r="J40" s="1515"/>
      <c r="K40" s="1516"/>
      <c r="L40" s="1517" t="s">
        <v>116</v>
      </c>
      <c r="M40" s="1517" t="s">
        <v>1393</v>
      </c>
      <c r="N40" s="1689" t="s">
        <v>116</v>
      </c>
      <c r="O40" s="2770"/>
      <c r="P40" s="415" t="b">
        <f t="shared" si="3"/>
        <v>0</v>
      </c>
      <c r="R40" s="245" t="b">
        <f t="shared" si="1"/>
        <v>1</v>
      </c>
      <c r="AO40" s="238" t="str">
        <f t="shared" si="2"/>
        <v>39</v>
      </c>
      <c r="AP40" s="945" t="b">
        <v>0</v>
      </c>
      <c r="AQ40" s="1323" t="s">
        <v>157</v>
      </c>
      <c r="AR40" s="1324" t="s">
        <v>167</v>
      </c>
      <c r="AS40" s="1324" t="s">
        <v>145</v>
      </c>
      <c r="AT40" s="1324"/>
      <c r="AU40" s="1324">
        <v>966</v>
      </c>
      <c r="AV40" s="1324"/>
      <c r="AW40" s="1324"/>
      <c r="AX40" s="1324"/>
      <c r="AY40" s="1324"/>
      <c r="AZ40" s="1324"/>
      <c r="BA40" s="1533" t="s">
        <v>116</v>
      </c>
      <c r="BB40" s="1533" t="s">
        <v>116</v>
      </c>
      <c r="BC40" s="1534" t="s">
        <v>116</v>
      </c>
    </row>
    <row r="41" spans="1:56" ht="14.1" customHeight="1" x14ac:dyDescent="0.2">
      <c r="A41" s="1511"/>
      <c r="B41" s="1512" t="s">
        <v>146</v>
      </c>
      <c r="C41" s="1512" t="s">
        <v>165</v>
      </c>
      <c r="D41" s="1512" t="s">
        <v>145</v>
      </c>
      <c r="E41" s="1513"/>
      <c r="F41" s="1514">
        <v>96</v>
      </c>
      <c r="G41" s="1515">
        <v>3</v>
      </c>
      <c r="H41" s="1516">
        <v>0</v>
      </c>
      <c r="I41" s="1514"/>
      <c r="J41" s="1515"/>
      <c r="K41" s="1516"/>
      <c r="L41" s="1517" t="s">
        <v>700</v>
      </c>
      <c r="M41" s="1517" t="s">
        <v>116</v>
      </c>
      <c r="N41" s="1689" t="s">
        <v>116</v>
      </c>
      <c r="O41" s="2770"/>
      <c r="P41" s="415" t="b">
        <f t="shared" si="3"/>
        <v>0</v>
      </c>
      <c r="R41" s="245" t="b">
        <f t="shared" si="1"/>
        <v>0</v>
      </c>
      <c r="AO41" s="238" t="str">
        <f t="shared" si="2"/>
        <v>39</v>
      </c>
      <c r="AP41" s="945" t="b">
        <v>0</v>
      </c>
      <c r="AQ41" s="1323" t="s">
        <v>146</v>
      </c>
      <c r="AR41" s="1324" t="s">
        <v>165</v>
      </c>
      <c r="AS41" s="1324" t="s">
        <v>145</v>
      </c>
      <c r="AT41" s="1324"/>
      <c r="AU41" s="1324">
        <v>96</v>
      </c>
      <c r="AV41" s="1324">
        <v>3</v>
      </c>
      <c r="AW41" s="1324">
        <v>0</v>
      </c>
      <c r="AX41" s="1324"/>
      <c r="AY41" s="1324"/>
      <c r="AZ41" s="1324"/>
      <c r="BA41" s="1533" t="s">
        <v>700</v>
      </c>
      <c r="BB41" s="1533" t="s">
        <v>116</v>
      </c>
      <c r="BC41" s="1534" t="s">
        <v>116</v>
      </c>
    </row>
    <row r="42" spans="1:56" ht="14.1" customHeight="1" x14ac:dyDescent="0.2">
      <c r="A42" s="1511" t="s">
        <v>1672</v>
      </c>
      <c r="B42" s="1512" t="s">
        <v>146</v>
      </c>
      <c r="C42" s="1512" t="s">
        <v>167</v>
      </c>
      <c r="D42" s="1512" t="s">
        <v>145</v>
      </c>
      <c r="E42" s="1513"/>
      <c r="F42" s="1514">
        <v>4000</v>
      </c>
      <c r="G42" s="1515">
        <v>3</v>
      </c>
      <c r="H42" s="1516">
        <v>0</v>
      </c>
      <c r="I42" s="1514"/>
      <c r="J42" s="1515"/>
      <c r="K42" s="1516"/>
      <c r="L42" s="1517" t="s">
        <v>702</v>
      </c>
      <c r="M42" s="1517" t="s">
        <v>1393</v>
      </c>
      <c r="N42" s="1689" t="s">
        <v>1673</v>
      </c>
      <c r="O42" s="2770"/>
      <c r="P42" s="415" t="b">
        <f t="shared" si="3"/>
        <v>0</v>
      </c>
      <c r="R42" s="245" t="b">
        <f t="shared" si="1"/>
        <v>0</v>
      </c>
      <c r="AO42" s="238" t="str">
        <f t="shared" si="2"/>
        <v>40</v>
      </c>
      <c r="AP42" s="945" t="b">
        <v>0</v>
      </c>
      <c r="AQ42" s="1323" t="s">
        <v>146</v>
      </c>
      <c r="AR42" s="1324" t="s">
        <v>167</v>
      </c>
      <c r="AS42" s="1324" t="s">
        <v>145</v>
      </c>
      <c r="AT42" s="1324"/>
      <c r="AU42" s="1324">
        <v>4000</v>
      </c>
      <c r="AV42" s="1324">
        <v>3</v>
      </c>
      <c r="AW42" s="1324">
        <v>0</v>
      </c>
      <c r="AX42" s="1324"/>
      <c r="AY42" s="1324"/>
      <c r="AZ42" s="1324"/>
      <c r="BA42" s="1533" t="s">
        <v>702</v>
      </c>
      <c r="BB42" s="1533" t="s">
        <v>116</v>
      </c>
      <c r="BC42" s="1534" t="s">
        <v>1673</v>
      </c>
      <c r="BD42" s="245">
        <v>2</v>
      </c>
    </row>
    <row r="43" spans="1:56" ht="14.1" customHeight="1" x14ac:dyDescent="0.2">
      <c r="A43" s="1511"/>
      <c r="B43" s="1512" t="s">
        <v>146</v>
      </c>
      <c r="C43" s="1512" t="s">
        <v>167</v>
      </c>
      <c r="D43" s="1512" t="s">
        <v>145</v>
      </c>
      <c r="E43" s="1513"/>
      <c r="F43" s="1514">
        <v>-4000</v>
      </c>
      <c r="G43" s="1515">
        <v>3</v>
      </c>
      <c r="H43" s="1516">
        <v>0</v>
      </c>
      <c r="I43" s="1514"/>
      <c r="J43" s="1515"/>
      <c r="K43" s="1516"/>
      <c r="L43" s="1517" t="s">
        <v>702</v>
      </c>
      <c r="M43" s="1517" t="s">
        <v>808</v>
      </c>
      <c r="N43" s="1689" t="s">
        <v>116</v>
      </c>
      <c r="O43" s="2770"/>
      <c r="P43" s="415" t="b">
        <f t="shared" si="3"/>
        <v>0</v>
      </c>
      <c r="R43" s="245" t="b">
        <f t="shared" si="1"/>
        <v>0</v>
      </c>
      <c r="AO43" s="238" t="str">
        <f t="shared" si="2"/>
        <v>40</v>
      </c>
      <c r="AP43" s="945" t="b">
        <v>0</v>
      </c>
      <c r="AQ43" s="1323" t="s">
        <v>146</v>
      </c>
      <c r="AR43" s="1324" t="s">
        <v>167</v>
      </c>
      <c r="AS43" s="1324" t="s">
        <v>145</v>
      </c>
      <c r="AT43" s="1324"/>
      <c r="AU43" s="1324">
        <v>-4000</v>
      </c>
      <c r="AV43" s="1324">
        <v>3</v>
      </c>
      <c r="AW43" s="1324">
        <v>0</v>
      </c>
      <c r="AX43" s="1324"/>
      <c r="AY43" s="1324"/>
      <c r="AZ43" s="1324"/>
      <c r="BA43" s="1533" t="s">
        <v>702</v>
      </c>
      <c r="BB43" s="1533" t="s">
        <v>808</v>
      </c>
      <c r="BC43" s="1534" t="s">
        <v>116</v>
      </c>
    </row>
    <row r="44" spans="1:56" ht="14.1" customHeight="1" x14ac:dyDescent="0.2">
      <c r="A44" s="1511" t="s">
        <v>1674</v>
      </c>
      <c r="B44" s="1512" t="s">
        <v>155</v>
      </c>
      <c r="C44" s="1512" t="s">
        <v>165</v>
      </c>
      <c r="D44" s="1512" t="s">
        <v>145</v>
      </c>
      <c r="E44" s="1513"/>
      <c r="F44" s="1514">
        <v>250</v>
      </c>
      <c r="G44" s="1515"/>
      <c r="H44" s="1516"/>
      <c r="I44" s="1514"/>
      <c r="J44" s="1515"/>
      <c r="K44" s="1516"/>
      <c r="L44" s="1517" t="s">
        <v>116</v>
      </c>
      <c r="M44" s="1517" t="s">
        <v>116</v>
      </c>
      <c r="N44" s="1689" t="s">
        <v>1675</v>
      </c>
      <c r="O44" s="2770"/>
      <c r="P44" s="415" t="b">
        <f t="shared" si="3"/>
        <v>0</v>
      </c>
      <c r="R44" s="245" t="b">
        <f t="shared" si="1"/>
        <v>1</v>
      </c>
      <c r="AO44" s="238" t="str">
        <f t="shared" si="2"/>
        <v>41</v>
      </c>
      <c r="AP44" s="945" t="b">
        <v>0</v>
      </c>
      <c r="AQ44" s="1323" t="s">
        <v>155</v>
      </c>
      <c r="AR44" s="1324" t="s">
        <v>165</v>
      </c>
      <c r="AS44" s="1324" t="s">
        <v>145</v>
      </c>
      <c r="AT44" s="1324"/>
      <c r="AU44" s="1324">
        <v>250</v>
      </c>
      <c r="AV44" s="1324"/>
      <c r="AW44" s="1324"/>
      <c r="AX44" s="1324"/>
      <c r="AY44" s="1324"/>
      <c r="AZ44" s="1324"/>
      <c r="BA44" s="1533" t="s">
        <v>116</v>
      </c>
      <c r="BB44" s="1533" t="s">
        <v>116</v>
      </c>
      <c r="BC44" s="1534" t="s">
        <v>1675</v>
      </c>
      <c r="BD44" s="245">
        <v>7</v>
      </c>
    </row>
    <row r="45" spans="1:56" ht="14.1" customHeight="1" x14ac:dyDescent="0.2">
      <c r="A45" s="1511"/>
      <c r="B45" s="1512" t="s">
        <v>155</v>
      </c>
      <c r="C45" s="1512" t="s">
        <v>165</v>
      </c>
      <c r="D45" s="1512" t="s">
        <v>159</v>
      </c>
      <c r="E45" s="1513"/>
      <c r="F45" s="1514">
        <v>250</v>
      </c>
      <c r="G45" s="1515"/>
      <c r="H45" s="1516"/>
      <c r="I45" s="1514"/>
      <c r="J45" s="1515"/>
      <c r="K45" s="1516"/>
      <c r="L45" s="1517" t="s">
        <v>116</v>
      </c>
      <c r="M45" s="1517" t="s">
        <v>116</v>
      </c>
      <c r="N45" s="1689" t="s">
        <v>116</v>
      </c>
      <c r="O45" s="2770"/>
      <c r="P45" s="415" t="b">
        <f t="shared" si="3"/>
        <v>0</v>
      </c>
      <c r="R45" s="245" t="b">
        <f t="shared" si="1"/>
        <v>1</v>
      </c>
      <c r="AO45" s="238" t="str">
        <f t="shared" si="2"/>
        <v>41</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1511"/>
      <c r="B46" s="1512" t="s">
        <v>154</v>
      </c>
      <c r="C46" s="1512" t="s">
        <v>165</v>
      </c>
      <c r="D46" s="1512" t="s">
        <v>145</v>
      </c>
      <c r="E46" s="1513"/>
      <c r="F46" s="1514">
        <v>500</v>
      </c>
      <c r="G46" s="1515"/>
      <c r="H46" s="1516"/>
      <c r="I46" s="1514"/>
      <c r="J46" s="1515"/>
      <c r="K46" s="1516"/>
      <c r="L46" s="1517" t="s">
        <v>116</v>
      </c>
      <c r="M46" s="1517" t="s">
        <v>116</v>
      </c>
      <c r="N46" s="1689" t="s">
        <v>116</v>
      </c>
      <c r="O46" s="2770"/>
      <c r="P46" s="415" t="b">
        <f t="shared" si="3"/>
        <v>0</v>
      </c>
      <c r="R46" s="245" t="b">
        <f t="shared" si="1"/>
        <v>1</v>
      </c>
      <c r="AO46" s="238" t="str">
        <f t="shared" si="2"/>
        <v>41</v>
      </c>
      <c r="AP46" s="945" t="b">
        <v>0</v>
      </c>
      <c r="AQ46" s="1323" t="s">
        <v>154</v>
      </c>
      <c r="AR46" s="1324" t="s">
        <v>165</v>
      </c>
      <c r="AS46" s="1324" t="s">
        <v>145</v>
      </c>
      <c r="AT46" s="1324"/>
      <c r="AU46" s="1324">
        <v>500</v>
      </c>
      <c r="AV46" s="1324"/>
      <c r="AW46" s="1324"/>
      <c r="AX46" s="1324"/>
      <c r="AY46" s="1324"/>
      <c r="AZ46" s="1324"/>
      <c r="BA46" s="1533" t="s">
        <v>116</v>
      </c>
      <c r="BB46" s="1533" t="s">
        <v>116</v>
      </c>
      <c r="BC46" s="1534" t="s">
        <v>116</v>
      </c>
    </row>
    <row r="47" spans="1:56" ht="14.1" customHeight="1" x14ac:dyDescent="0.2">
      <c r="A47" s="1511"/>
      <c r="B47" s="1512" t="s">
        <v>154</v>
      </c>
      <c r="C47" s="1512" t="s">
        <v>163</v>
      </c>
      <c r="D47" s="1512" t="s">
        <v>159</v>
      </c>
      <c r="E47" s="1513"/>
      <c r="F47" s="1514">
        <v>2000</v>
      </c>
      <c r="G47" s="1515"/>
      <c r="H47" s="1516"/>
      <c r="I47" s="1514"/>
      <c r="J47" s="1515"/>
      <c r="K47" s="1516"/>
      <c r="L47" s="1517" t="s">
        <v>116</v>
      </c>
      <c r="M47" s="1517" t="s">
        <v>1393</v>
      </c>
      <c r="N47" s="1689" t="s">
        <v>116</v>
      </c>
      <c r="O47" s="2770"/>
      <c r="P47" s="415" t="b">
        <f t="shared" si="3"/>
        <v>0</v>
      </c>
      <c r="R47" s="245" t="b">
        <f t="shared" si="1"/>
        <v>1</v>
      </c>
      <c r="AO47" s="238" t="str">
        <f t="shared" si="2"/>
        <v>41</v>
      </c>
      <c r="AP47" s="945" t="b">
        <v>0</v>
      </c>
      <c r="AQ47" s="1323" t="s">
        <v>154</v>
      </c>
      <c r="AR47" s="1324" t="s">
        <v>163</v>
      </c>
      <c r="AS47" s="1324" t="s">
        <v>159</v>
      </c>
      <c r="AT47" s="1324"/>
      <c r="AU47" s="1324">
        <v>2000</v>
      </c>
      <c r="AV47" s="1324"/>
      <c r="AW47" s="1324"/>
      <c r="AX47" s="1324"/>
      <c r="AY47" s="1324"/>
      <c r="AZ47" s="1324"/>
      <c r="BA47" s="1533" t="s">
        <v>116</v>
      </c>
      <c r="BB47" s="1533" t="s">
        <v>1393</v>
      </c>
      <c r="BC47" s="1534" t="s">
        <v>116</v>
      </c>
    </row>
    <row r="48" spans="1:56" ht="14.1" customHeight="1" x14ac:dyDescent="0.2">
      <c r="A48" s="1511"/>
      <c r="B48" s="1512" t="s">
        <v>157</v>
      </c>
      <c r="C48" s="1512" t="s">
        <v>167</v>
      </c>
      <c r="D48" s="1512" t="s">
        <v>145</v>
      </c>
      <c r="E48" s="1513"/>
      <c r="F48" s="1514">
        <v>11500</v>
      </c>
      <c r="G48" s="1515"/>
      <c r="H48" s="1516"/>
      <c r="I48" s="1514"/>
      <c r="J48" s="1515"/>
      <c r="K48" s="1516"/>
      <c r="L48" s="1517" t="s">
        <v>116</v>
      </c>
      <c r="M48" s="1517" t="s">
        <v>1393</v>
      </c>
      <c r="N48" s="1689" t="s">
        <v>116</v>
      </c>
      <c r="O48" s="2770"/>
      <c r="P48" s="415" t="b">
        <f t="shared" si="3"/>
        <v>0</v>
      </c>
      <c r="R48" s="245" t="b">
        <f t="shared" si="1"/>
        <v>1</v>
      </c>
      <c r="AO48" s="238" t="str">
        <f t="shared" si="2"/>
        <v>41</v>
      </c>
      <c r="AP48" s="945" t="b">
        <v>0</v>
      </c>
      <c r="AQ48" s="1323" t="s">
        <v>157</v>
      </c>
      <c r="AR48" s="1324" t="s">
        <v>167</v>
      </c>
      <c r="AS48" s="1324" t="s">
        <v>145</v>
      </c>
      <c r="AT48" s="1324"/>
      <c r="AU48" s="1324">
        <v>11500</v>
      </c>
      <c r="AV48" s="1324"/>
      <c r="AW48" s="1324"/>
      <c r="AX48" s="1324"/>
      <c r="AY48" s="1324"/>
      <c r="AZ48" s="1324"/>
      <c r="BA48" s="1533" t="s">
        <v>116</v>
      </c>
      <c r="BB48" s="1533" t="s">
        <v>116</v>
      </c>
      <c r="BC48" s="1534" t="s">
        <v>116</v>
      </c>
    </row>
    <row r="49" spans="1:55" ht="14.1" customHeight="1" x14ac:dyDescent="0.2">
      <c r="A49" s="1511"/>
      <c r="B49" s="1512" t="s">
        <v>157</v>
      </c>
      <c r="C49" s="1512" t="s">
        <v>142</v>
      </c>
      <c r="D49" s="1512" t="s">
        <v>145</v>
      </c>
      <c r="E49" s="1513"/>
      <c r="F49" s="1514">
        <v>11500</v>
      </c>
      <c r="G49" s="1515"/>
      <c r="H49" s="1516"/>
      <c r="I49" s="1514"/>
      <c r="J49" s="1515"/>
      <c r="K49" s="1516"/>
      <c r="L49" s="1517" t="s">
        <v>116</v>
      </c>
      <c r="M49" s="1517" t="s">
        <v>1625</v>
      </c>
      <c r="N49" s="1689" t="s">
        <v>116</v>
      </c>
      <c r="O49" s="2770"/>
      <c r="P49" s="415" t="b">
        <f t="shared" si="3"/>
        <v>0</v>
      </c>
      <c r="R49" s="245" t="b">
        <f t="shared" si="1"/>
        <v>1</v>
      </c>
      <c r="AO49" s="238" t="str">
        <f t="shared" si="2"/>
        <v>41</v>
      </c>
      <c r="AP49" s="945" t="b">
        <v>0</v>
      </c>
      <c r="AQ49" s="1323" t="s">
        <v>157</v>
      </c>
      <c r="AR49" s="1324" t="s">
        <v>142</v>
      </c>
      <c r="AS49" s="1324" t="s">
        <v>145</v>
      </c>
      <c r="AT49" s="1324"/>
      <c r="AU49" s="1324">
        <v>11500</v>
      </c>
      <c r="AV49" s="1324"/>
      <c r="AW49" s="1324"/>
      <c r="AX49" s="1324"/>
      <c r="AY49" s="1324"/>
      <c r="AZ49" s="1324"/>
      <c r="BA49" s="1533" t="s">
        <v>116</v>
      </c>
      <c r="BB49" s="1533" t="s">
        <v>1625</v>
      </c>
      <c r="BC49" s="1534" t="s">
        <v>116</v>
      </c>
    </row>
    <row r="50" spans="1:55" ht="14.1" customHeight="1" x14ac:dyDescent="0.2">
      <c r="A50" s="1511"/>
      <c r="B50" s="1512" t="s">
        <v>144</v>
      </c>
      <c r="C50" s="1512" t="s">
        <v>142</v>
      </c>
      <c r="D50" s="1512" t="s">
        <v>145</v>
      </c>
      <c r="E50" s="1513"/>
      <c r="F50" s="1514">
        <v>40</v>
      </c>
      <c r="G50" s="1515"/>
      <c r="H50" s="1516"/>
      <c r="I50" s="1514"/>
      <c r="J50" s="1515"/>
      <c r="K50" s="1516"/>
      <c r="L50" s="1517" t="s">
        <v>116</v>
      </c>
      <c r="M50" s="1517" t="s">
        <v>808</v>
      </c>
      <c r="N50" s="1689" t="s">
        <v>116</v>
      </c>
      <c r="O50" s="2770"/>
      <c r="P50" s="415" t="b">
        <f t="shared" si="3"/>
        <v>0</v>
      </c>
      <c r="R50" s="245" t="b">
        <f t="shared" si="1"/>
        <v>0</v>
      </c>
      <c r="AO50" s="238" t="str">
        <f t="shared" si="2"/>
        <v>41</v>
      </c>
      <c r="AP50" s="945" t="b">
        <v>0</v>
      </c>
      <c r="AQ50" s="1323" t="s">
        <v>144</v>
      </c>
      <c r="AR50" s="1324" t="s">
        <v>142</v>
      </c>
      <c r="AS50" s="1324" t="s">
        <v>145</v>
      </c>
      <c r="AT50" s="1324"/>
      <c r="AU50" s="1324">
        <v>40</v>
      </c>
      <c r="AV50" s="1324"/>
      <c r="AW50" s="1324"/>
      <c r="AX50" s="1324"/>
      <c r="AY50" s="1324"/>
      <c r="AZ50" s="1324"/>
      <c r="BA50" s="1533" t="s">
        <v>116</v>
      </c>
      <c r="BB50" s="1533" t="s">
        <v>808</v>
      </c>
      <c r="BC50" s="1534" t="s">
        <v>116</v>
      </c>
    </row>
    <row r="51" spans="1:55" ht="14.1" customHeight="1" x14ac:dyDescent="0.2">
      <c r="A51" s="1511"/>
      <c r="B51" s="1512"/>
      <c r="C51" s="1512"/>
      <c r="D51" s="1512"/>
      <c r="E51" s="1513"/>
      <c r="F51" s="1514"/>
      <c r="G51" s="1515"/>
      <c r="H51" s="1516"/>
      <c r="I51" s="1514"/>
      <c r="J51" s="1515"/>
      <c r="K51" s="1516"/>
      <c r="L51" s="1517"/>
      <c r="M51" s="1517"/>
      <c r="N51" s="1689" t="s">
        <v>116</v>
      </c>
      <c r="O51" s="2770"/>
      <c r="P51" s="415" t="b">
        <f t="shared" si="3"/>
        <v>0</v>
      </c>
      <c r="R51" s="245" t="b">
        <f t="shared" si="1"/>
        <v>0</v>
      </c>
      <c r="AO51" s="238" t="str">
        <f t="shared" si="2"/>
        <v>41</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c r="C52" s="1512"/>
      <c r="D52" s="1512"/>
      <c r="E52" s="1513"/>
      <c r="F52" s="1514"/>
      <c r="G52" s="1515"/>
      <c r="H52" s="1516"/>
      <c r="I52" s="1514"/>
      <c r="J52" s="1515"/>
      <c r="K52" s="1516"/>
      <c r="L52" s="1517"/>
      <c r="M52" s="1517"/>
      <c r="N52" s="1689" t="s">
        <v>116</v>
      </c>
      <c r="O52" s="2770"/>
      <c r="P52" s="415" t="b">
        <f t="shared" si="3"/>
        <v>0</v>
      </c>
      <c r="R52" s="245" t="b">
        <f t="shared" si="1"/>
        <v>0</v>
      </c>
      <c r="AO52" s="238" t="str">
        <f t="shared" si="2"/>
        <v>41</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c r="C53" s="1512"/>
      <c r="D53" s="1512"/>
      <c r="E53" s="1513"/>
      <c r="F53" s="1514"/>
      <c r="G53" s="1515"/>
      <c r="H53" s="1516"/>
      <c r="I53" s="1514"/>
      <c r="J53" s="1515"/>
      <c r="K53" s="1516"/>
      <c r="L53" s="1517"/>
      <c r="M53" s="1517"/>
      <c r="N53" s="1689" t="s">
        <v>116</v>
      </c>
      <c r="O53" s="2770"/>
      <c r="P53" s="415" t="b">
        <f t="shared" si="3"/>
        <v>0</v>
      </c>
      <c r="R53" s="245" t="b">
        <f t="shared" si="1"/>
        <v>0</v>
      </c>
      <c r="AO53" s="238" t="str">
        <f t="shared" si="2"/>
        <v>41</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c r="C54" s="1512"/>
      <c r="D54" s="1512"/>
      <c r="E54" s="1513"/>
      <c r="F54" s="1514"/>
      <c r="G54" s="1515"/>
      <c r="H54" s="1516"/>
      <c r="I54" s="1514"/>
      <c r="J54" s="1515"/>
      <c r="K54" s="1516"/>
      <c r="L54" s="1517"/>
      <c r="M54" s="1517"/>
      <c r="N54" s="1689" t="s">
        <v>116</v>
      </c>
      <c r="O54" s="2770"/>
      <c r="P54" s="415" t="b">
        <f t="shared" si="3"/>
        <v>0</v>
      </c>
      <c r="R54" s="245" t="b">
        <f t="shared" si="1"/>
        <v>0</v>
      </c>
      <c r="AO54" s="238" t="str">
        <f t="shared" si="2"/>
        <v>41</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c r="C55" s="1521"/>
      <c r="D55" s="1521"/>
      <c r="E55" s="1522"/>
      <c r="F55" s="1523"/>
      <c r="G55" s="1524"/>
      <c r="H55" s="1525"/>
      <c r="I55" s="1523"/>
      <c r="J55" s="1524"/>
      <c r="K55" s="1525"/>
      <c r="L55" s="1526"/>
      <c r="M55" s="1526"/>
      <c r="N55" s="1690"/>
      <c r="O55" s="2770"/>
      <c r="P55" s="415" t="b">
        <f t="shared" si="3"/>
        <v>0</v>
      </c>
      <c r="R55" s="245" t="b">
        <f t="shared" si="1"/>
        <v>0</v>
      </c>
      <c r="AO55" s="238" t="str">
        <f t="shared" si="2"/>
        <v>41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15</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1839</v>
      </c>
    </row>
    <row r="62" spans="1:55" ht="15.95" hidden="1" customHeight="1" x14ac:dyDescent="0.2"/>
    <row r="63" spans="1:55" hidden="1" x14ac:dyDescent="0.2"/>
    <row r="64" spans="1:55" hidden="1" x14ac:dyDescent="0.2"/>
    <row r="65" spans="1:1" x14ac:dyDescent="0.2">
      <c r="A65" s="633" t="s">
        <v>1020</v>
      </c>
    </row>
  </sheetData>
  <sheetProtection algorithmName="SHA-512" hashValue="lq8eAr/Mb+jr1D/D++0xhqT676Ri3LuKWWrzD3J4/6lVMQuizNBMGoSnFv2zTlJ1ENvoA5OSwFTwuCR7NqCghA==" saltValue="+MnCiC4lFK61m9aeQHwBMQ=="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37" priority="4" stopIfTrue="1">
      <formula>AND($B14="NU",F14&lt;0)</formula>
    </cfRule>
  </conditionalFormatting>
  <conditionalFormatting sqref="B14:B55">
    <cfRule type="expression" dxfId="836" priority="5" stopIfTrue="1">
      <formula>OR(AND($B14="NU",F14&lt;0),AND($B14="NU",I14&lt;0))</formula>
    </cfRule>
  </conditionalFormatting>
  <conditionalFormatting sqref="G14:H55 J14:L55">
    <cfRule type="expression" dxfId="835" priority="6" stopIfTrue="1">
      <formula>$R14</formula>
    </cfRule>
  </conditionalFormatting>
  <conditionalFormatting sqref="I2:K4">
    <cfRule type="cellIs" dxfId="834" priority="7" stopIfTrue="1" operator="equal">
      <formula>""</formula>
    </cfRule>
  </conditionalFormatting>
  <conditionalFormatting sqref="I14:I55">
    <cfRule type="expression" dxfId="833" priority="8" stopIfTrue="1">
      <formula>OR($R14,$B14="CZ",AND($B14="NU",I14&lt;0))</formula>
    </cfRule>
  </conditionalFormatting>
  <conditionalFormatting sqref="A14:A55">
    <cfRule type="expression" dxfId="832" priority="3">
      <formula>NOT($P14)</formula>
    </cfRule>
  </conditionalFormatting>
  <conditionalFormatting sqref="B14:D55">
    <cfRule type="expression" dxfId="83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30" priority="9">
      <formula>AND(NOT($P14),$T$1)</formula>
    </cfRule>
    <cfRule type="expression" dxfId="829" priority="10">
      <formula>AND($AP14,$S$1="M")</formula>
    </cfRule>
  </conditionalFormatting>
  <conditionalFormatting sqref="L14:L55">
    <cfRule type="expression" dxfId="82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B1163D0-906A-4A2E-9B91-2A611E6254A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AB99B75-1CFA-4154-A9D7-4532015B3D6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BC7B44B-5FE5-4DE7-B775-169F6979355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036602D-C25D-4110-B5EE-8C48783A4F05}">
      <formula1>IF($CA$14,$CA$16:$CA$21,$CB$16:$CB$19)</formula1>
    </dataValidation>
    <dataValidation type="list" allowBlank="1" showErrorMessage="1" errorTitle="Invalid Type" error="You MUST select a Type from the dropdown list provided._x000a__x000a_Also, make sure your Cap Lock is turned on." sqref="B14:B55" xr:uid="{DB80A068-BBE6-487C-AA2E-E53CFE06007B}">
      <formula1>$BF$15:$BU$15</formula1>
    </dataValidation>
    <dataValidation allowBlank="1" showInputMessage="1" errorTitle="Invalid Load Case" error="You MUST use a Load Case from the list provided." sqref="M14:M55" xr:uid="{A250BE98-2897-4DF3-BDD6-B740AB54BA3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2D492-7403-41CE-BF31-D5D630126DD1}">
  <sheetPr codeName="Sheet3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t="s">
        <v>1952</v>
      </c>
      <c r="B14" s="1505" t="s">
        <v>155</v>
      </c>
      <c r="C14" s="1505" t="s">
        <v>165</v>
      </c>
      <c r="D14" s="1505" t="s">
        <v>145</v>
      </c>
      <c r="E14" s="1688"/>
      <c r="F14" s="1506">
        <v>250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SG1</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155</v>
      </c>
      <c r="C15" s="1512" t="s">
        <v>165</v>
      </c>
      <c r="D15" s="1512" t="s">
        <v>159</v>
      </c>
      <c r="E15" s="1513"/>
      <c r="F15" s="1514">
        <v>250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SG1</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154</v>
      </c>
      <c r="C16" s="1512" t="s">
        <v>165</v>
      </c>
      <c r="D16" s="1512" t="s">
        <v>145</v>
      </c>
      <c r="E16" s="1513"/>
      <c r="F16" s="1514">
        <v>1500</v>
      </c>
      <c r="G16" s="1515"/>
      <c r="H16" s="1516"/>
      <c r="I16" s="1514"/>
      <c r="J16" s="1515"/>
      <c r="K16" s="1516"/>
      <c r="L16" s="1517" t="s">
        <v>116</v>
      </c>
      <c r="M16" s="1518" t="s">
        <v>1393</v>
      </c>
      <c r="N16" s="1689"/>
      <c r="O16" s="1645"/>
      <c r="P16" s="245" t="b">
        <f t="shared" si="0"/>
        <v>0</v>
      </c>
      <c r="R16" s="245" t="b">
        <f t="shared" si="1"/>
        <v>1</v>
      </c>
      <c r="AO16" s="238" t="str">
        <f t="shared" si="2"/>
        <v>SG1</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154</v>
      </c>
      <c r="C17" s="1512" t="s">
        <v>165</v>
      </c>
      <c r="D17" s="1512" t="s">
        <v>145</v>
      </c>
      <c r="E17" s="1513"/>
      <c r="F17" s="1514">
        <v>720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SG1</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151</v>
      </c>
      <c r="C18" s="1512" t="s">
        <v>165</v>
      </c>
      <c r="D18" s="1512" t="s">
        <v>145</v>
      </c>
      <c r="E18" s="1513"/>
      <c r="F18" s="1514">
        <v>12</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0</v>
      </c>
      <c r="AO18" s="238" t="str">
        <f t="shared" si="2"/>
        <v>SG1</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6500</v>
      </c>
      <c r="G19" s="1515">
        <v>3</v>
      </c>
      <c r="H19" s="1516">
        <v>10</v>
      </c>
      <c r="I19" s="1514"/>
      <c r="J19" s="1515"/>
      <c r="K19" s="1516"/>
      <c r="L19" s="1517" t="s">
        <v>703</v>
      </c>
      <c r="M19" s="1518" t="s">
        <v>1393</v>
      </c>
      <c r="N19" s="1689" t="s">
        <v>116</v>
      </c>
      <c r="O19" s="1645"/>
      <c r="P19" s="245" t="b">
        <f t="shared" si="3"/>
        <v>0</v>
      </c>
      <c r="R19" s="245" t="b">
        <f t="shared" si="1"/>
        <v>0</v>
      </c>
      <c r="AO19" s="238" t="str">
        <f t="shared" si="2"/>
        <v>SG1</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6500</v>
      </c>
      <c r="G20" s="1515">
        <v>11</v>
      </c>
      <c r="H20" s="1516">
        <v>10</v>
      </c>
      <c r="I20" s="1514"/>
      <c r="J20" s="1515"/>
      <c r="K20" s="1516"/>
      <c r="L20" s="1517" t="s">
        <v>703</v>
      </c>
      <c r="M20" s="1518" t="s">
        <v>1393</v>
      </c>
      <c r="N20" s="1519"/>
      <c r="O20" s="1646"/>
      <c r="P20" s="245" t="b">
        <f t="shared" si="3"/>
        <v>0</v>
      </c>
      <c r="R20" s="245" t="b">
        <f t="shared" si="1"/>
        <v>0</v>
      </c>
      <c r="AO20" s="238" t="str">
        <f t="shared" si="2"/>
        <v>SG1</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6500</v>
      </c>
      <c r="G21" s="1515">
        <v>19</v>
      </c>
      <c r="H21" s="1516">
        <v>10</v>
      </c>
      <c r="I21" s="1514"/>
      <c r="J21" s="1515"/>
      <c r="K21" s="1516"/>
      <c r="L21" s="1517" t="s">
        <v>703</v>
      </c>
      <c r="M21" s="1518" t="s">
        <v>1393</v>
      </c>
      <c r="N21" s="1519"/>
      <c r="O21" s="1646"/>
      <c r="P21" s="245" t="b">
        <f t="shared" si="3"/>
        <v>0</v>
      </c>
      <c r="R21" s="245" t="b">
        <f t="shared" si="1"/>
        <v>0</v>
      </c>
      <c r="AO21" s="238" t="str">
        <f t="shared" si="2"/>
        <v>SG1</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6500</v>
      </c>
      <c r="G22" s="1515">
        <v>27</v>
      </c>
      <c r="H22" s="1516">
        <v>10</v>
      </c>
      <c r="I22" s="1514"/>
      <c r="J22" s="1515"/>
      <c r="K22" s="1516"/>
      <c r="L22" s="1517" t="s">
        <v>703</v>
      </c>
      <c r="M22" s="1518" t="s">
        <v>1393</v>
      </c>
      <c r="N22" s="1519"/>
      <c r="O22" s="1646"/>
      <c r="P22" s="245" t="b">
        <f t="shared" si="3"/>
        <v>0</v>
      </c>
      <c r="R22" s="245" t="b">
        <f t="shared" si="1"/>
        <v>0</v>
      </c>
      <c r="AO22" s="238" t="str">
        <f t="shared" si="2"/>
        <v>SG1</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6500</v>
      </c>
      <c r="G23" s="1515">
        <v>35</v>
      </c>
      <c r="H23" s="1516">
        <v>10</v>
      </c>
      <c r="I23" s="1514"/>
      <c r="J23" s="1515"/>
      <c r="K23" s="1516"/>
      <c r="L23" s="1517" t="s">
        <v>703</v>
      </c>
      <c r="M23" s="1518" t="s">
        <v>1393</v>
      </c>
      <c r="N23" s="1519"/>
      <c r="O23" s="1646"/>
      <c r="P23" s="245" t="b">
        <f t="shared" si="3"/>
        <v>0</v>
      </c>
      <c r="R23" s="245" t="b">
        <f t="shared" si="1"/>
        <v>0</v>
      </c>
      <c r="AO23" s="238" t="str">
        <f t="shared" si="2"/>
        <v>SG1</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6500</v>
      </c>
      <c r="G24" s="1515">
        <v>43</v>
      </c>
      <c r="H24" s="1516">
        <v>10</v>
      </c>
      <c r="I24" s="1514"/>
      <c r="J24" s="1515"/>
      <c r="K24" s="1516"/>
      <c r="L24" s="1517" t="s">
        <v>703</v>
      </c>
      <c r="M24" s="1518" t="s">
        <v>1393</v>
      </c>
      <c r="N24" s="1519"/>
      <c r="O24" s="1646"/>
      <c r="P24" s="245" t="b">
        <f t="shared" si="3"/>
        <v>0</v>
      </c>
      <c r="R24" s="245" t="b">
        <f t="shared" si="1"/>
        <v>0</v>
      </c>
      <c r="AO24" s="238" t="str">
        <f t="shared" si="2"/>
        <v>SG1</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494</v>
      </c>
      <c r="G25" s="1515">
        <v>3</v>
      </c>
      <c r="H25" s="1516">
        <v>10</v>
      </c>
      <c r="I25" s="1514"/>
      <c r="J25" s="1515"/>
      <c r="K25" s="1516"/>
      <c r="L25" s="1517" t="s">
        <v>703</v>
      </c>
      <c r="M25" s="1518" t="s">
        <v>1393</v>
      </c>
      <c r="N25" s="1519"/>
      <c r="O25" s="1646"/>
      <c r="P25" s="245" t="b">
        <f t="shared" si="3"/>
        <v>0</v>
      </c>
      <c r="R25" s="245" t="b">
        <f t="shared" si="1"/>
        <v>0</v>
      </c>
      <c r="AO25" s="238" t="str">
        <f t="shared" si="2"/>
        <v>SG1</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494</v>
      </c>
      <c r="G26" s="1515">
        <v>11</v>
      </c>
      <c r="H26" s="1516">
        <v>10</v>
      </c>
      <c r="I26" s="1514"/>
      <c r="J26" s="1515"/>
      <c r="K26" s="1516"/>
      <c r="L26" s="1517" t="s">
        <v>703</v>
      </c>
      <c r="M26" s="1518" t="s">
        <v>1393</v>
      </c>
      <c r="N26" s="1519"/>
      <c r="O26" s="1646"/>
      <c r="P26" s="245" t="b">
        <f t="shared" si="3"/>
        <v>0</v>
      </c>
      <c r="R26" s="245" t="b">
        <f t="shared" si="1"/>
        <v>0</v>
      </c>
      <c r="AO26" s="238" t="str">
        <f t="shared" si="2"/>
        <v>SG1</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494</v>
      </c>
      <c r="G27" s="1515">
        <v>19</v>
      </c>
      <c r="H27" s="1516">
        <v>10</v>
      </c>
      <c r="I27" s="1514"/>
      <c r="J27" s="1515"/>
      <c r="K27" s="1516"/>
      <c r="L27" s="1517" t="s">
        <v>703</v>
      </c>
      <c r="M27" s="1518" t="s">
        <v>1393</v>
      </c>
      <c r="N27" s="1519"/>
      <c r="O27" s="1646"/>
      <c r="P27" s="245" t="b">
        <f t="shared" si="3"/>
        <v>0</v>
      </c>
      <c r="R27" s="245" t="b">
        <f t="shared" si="1"/>
        <v>0</v>
      </c>
      <c r="AO27" s="238" t="str">
        <f t="shared" si="2"/>
        <v>SG1</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494</v>
      </c>
      <c r="G28" s="1515">
        <v>27</v>
      </c>
      <c r="H28" s="1516">
        <v>10</v>
      </c>
      <c r="I28" s="1514"/>
      <c r="J28" s="1515"/>
      <c r="K28" s="1516"/>
      <c r="L28" s="1517" t="s">
        <v>703</v>
      </c>
      <c r="M28" s="1518" t="s">
        <v>1393</v>
      </c>
      <c r="N28" s="1689"/>
      <c r="O28" s="1645"/>
      <c r="P28" s="245" t="b">
        <f t="shared" si="3"/>
        <v>0</v>
      </c>
      <c r="R28" s="245" t="b">
        <f t="shared" si="1"/>
        <v>0</v>
      </c>
      <c r="AO28" s="238" t="str">
        <f t="shared" si="2"/>
        <v>SG1</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494</v>
      </c>
      <c r="G29" s="1515">
        <v>35</v>
      </c>
      <c r="H29" s="1516">
        <v>10</v>
      </c>
      <c r="I29" s="1514"/>
      <c r="J29" s="1515"/>
      <c r="K29" s="1516"/>
      <c r="L29" s="1517" t="s">
        <v>703</v>
      </c>
      <c r="M29" s="1518" t="s">
        <v>1393</v>
      </c>
      <c r="N29" s="1689"/>
      <c r="O29" s="1645"/>
      <c r="P29" s="245" t="b">
        <f t="shared" si="3"/>
        <v>0</v>
      </c>
      <c r="R29" s="245" t="b">
        <f t="shared" si="1"/>
        <v>0</v>
      </c>
      <c r="AO29" s="238" t="str">
        <f t="shared" si="2"/>
        <v>SG1</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494</v>
      </c>
      <c r="G30" s="1515">
        <v>43</v>
      </c>
      <c r="H30" s="1516">
        <v>10</v>
      </c>
      <c r="I30" s="1514"/>
      <c r="J30" s="1515"/>
      <c r="K30" s="1516"/>
      <c r="L30" s="1517" t="s">
        <v>703</v>
      </c>
      <c r="M30" s="1518" t="s">
        <v>1393</v>
      </c>
      <c r="N30" s="1689" t="s">
        <v>116</v>
      </c>
      <c r="O30" s="1645"/>
      <c r="P30" s="245" t="b">
        <f t="shared" si="3"/>
        <v>0</v>
      </c>
      <c r="R30" s="245" t="b">
        <f t="shared" si="1"/>
        <v>0</v>
      </c>
      <c r="AO30" s="238" t="str">
        <f t="shared" si="2"/>
        <v>SG1</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t="s">
        <v>1953</v>
      </c>
      <c r="B31" s="1512" t="s">
        <v>155</v>
      </c>
      <c r="C31" s="1512" t="s">
        <v>165</v>
      </c>
      <c r="D31" s="1512" t="s">
        <v>145</v>
      </c>
      <c r="E31" s="1513"/>
      <c r="F31" s="1514">
        <v>250</v>
      </c>
      <c r="G31" s="1515"/>
      <c r="H31" s="1516"/>
      <c r="I31" s="1514"/>
      <c r="J31" s="1515"/>
      <c r="K31" s="1516"/>
      <c r="L31" s="1517" t="s">
        <v>116</v>
      </c>
      <c r="M31" s="1517" t="s">
        <v>1393</v>
      </c>
      <c r="N31" s="1689" t="s">
        <v>116</v>
      </c>
      <c r="O31" s="1645"/>
      <c r="P31" s="245" t="b">
        <f t="shared" si="3"/>
        <v>0</v>
      </c>
      <c r="R31" s="245" t="b">
        <f t="shared" si="1"/>
        <v>1</v>
      </c>
      <c r="AO31" s="238" t="str">
        <f t="shared" si="2"/>
        <v>SG2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155</v>
      </c>
      <c r="C32" s="1512" t="s">
        <v>165</v>
      </c>
      <c r="D32" s="1512" t="s">
        <v>159</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SG2</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154</v>
      </c>
      <c r="C33" s="1512" t="s">
        <v>165</v>
      </c>
      <c r="D33" s="1512" t="s">
        <v>145</v>
      </c>
      <c r="E33" s="1513"/>
      <c r="F33" s="1514">
        <v>1500</v>
      </c>
      <c r="G33" s="1515"/>
      <c r="H33" s="1516"/>
      <c r="I33" s="1514"/>
      <c r="J33" s="1515"/>
      <c r="K33" s="1516"/>
      <c r="L33" s="1517" t="s">
        <v>116</v>
      </c>
      <c r="M33" s="1517" t="s">
        <v>1393</v>
      </c>
      <c r="N33" s="1689" t="s">
        <v>116</v>
      </c>
      <c r="O33" s="1645"/>
      <c r="P33" s="245" t="b">
        <f t="shared" si="3"/>
        <v>0</v>
      </c>
      <c r="R33" s="245" t="b">
        <f t="shared" si="1"/>
        <v>1</v>
      </c>
      <c r="AO33" s="238" t="str">
        <f t="shared" si="2"/>
        <v>SG2</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6500</v>
      </c>
      <c r="G34" s="1515">
        <v>7</v>
      </c>
      <c r="H34" s="1516">
        <v>2</v>
      </c>
      <c r="I34" s="1514"/>
      <c r="J34" s="1515"/>
      <c r="K34" s="1516"/>
      <c r="L34" s="1517" t="s">
        <v>703</v>
      </c>
      <c r="M34" s="1517" t="s">
        <v>1393</v>
      </c>
      <c r="N34" s="1689" t="s">
        <v>116</v>
      </c>
      <c r="O34" s="1645"/>
      <c r="P34" s="245" t="b">
        <f t="shared" si="3"/>
        <v>0</v>
      </c>
      <c r="R34" s="245" t="b">
        <f t="shared" si="1"/>
        <v>0</v>
      </c>
      <c r="AO34" s="238" t="str">
        <f t="shared" si="2"/>
        <v>SG2</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6500</v>
      </c>
      <c r="G35" s="1515">
        <v>15</v>
      </c>
      <c r="H35" s="1516">
        <v>2</v>
      </c>
      <c r="I35" s="1514"/>
      <c r="J35" s="1515"/>
      <c r="K35" s="1516"/>
      <c r="L35" s="1517" t="s">
        <v>703</v>
      </c>
      <c r="M35" s="1517" t="s">
        <v>1393</v>
      </c>
      <c r="N35" s="1689" t="s">
        <v>116</v>
      </c>
      <c r="O35" s="1645"/>
      <c r="P35" s="245" t="b">
        <f t="shared" si="3"/>
        <v>0</v>
      </c>
      <c r="R35" s="245" t="b">
        <f t="shared" si="1"/>
        <v>0</v>
      </c>
      <c r="AO35" s="238" t="str">
        <f t="shared" si="2"/>
        <v>SG2</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6500</v>
      </c>
      <c r="G36" s="1515">
        <v>23</v>
      </c>
      <c r="H36" s="1516">
        <v>2</v>
      </c>
      <c r="I36" s="1514"/>
      <c r="J36" s="1515"/>
      <c r="K36" s="1516"/>
      <c r="L36" s="1517" t="s">
        <v>703</v>
      </c>
      <c r="M36" s="1517" t="s">
        <v>1393</v>
      </c>
      <c r="N36" s="1689" t="s">
        <v>116</v>
      </c>
      <c r="O36" s="1645"/>
      <c r="P36" s="245" t="b">
        <f t="shared" si="3"/>
        <v>0</v>
      </c>
      <c r="R36" s="245" t="b">
        <f t="shared" si="1"/>
        <v>0</v>
      </c>
      <c r="AO36" s="238" t="str">
        <f t="shared" si="2"/>
        <v>SG2</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6500</v>
      </c>
      <c r="G37" s="1515">
        <v>31</v>
      </c>
      <c r="H37" s="1516">
        <v>2</v>
      </c>
      <c r="I37" s="1514"/>
      <c r="J37" s="1515"/>
      <c r="K37" s="1516"/>
      <c r="L37" s="1517" t="s">
        <v>703</v>
      </c>
      <c r="M37" s="1517" t="s">
        <v>1393</v>
      </c>
      <c r="N37" s="1689" t="s">
        <v>116</v>
      </c>
      <c r="O37" s="1645"/>
      <c r="P37" s="245" t="b">
        <f t="shared" si="3"/>
        <v>0</v>
      </c>
      <c r="R37" s="245" t="b">
        <f t="shared" si="1"/>
        <v>0</v>
      </c>
      <c r="AO37" s="238" t="str">
        <f t="shared" si="2"/>
        <v>SG2</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6500</v>
      </c>
      <c r="G38" s="1515">
        <v>39</v>
      </c>
      <c r="H38" s="1516">
        <v>2</v>
      </c>
      <c r="I38" s="1514"/>
      <c r="J38" s="1515"/>
      <c r="K38" s="1516"/>
      <c r="L38" s="1517" t="s">
        <v>703</v>
      </c>
      <c r="M38" s="1517" t="s">
        <v>1393</v>
      </c>
      <c r="N38" s="1689" t="s">
        <v>116</v>
      </c>
      <c r="O38" s="1645"/>
      <c r="P38" s="245" t="b">
        <f t="shared" si="3"/>
        <v>0</v>
      </c>
      <c r="R38" s="245" t="b">
        <f t="shared" si="1"/>
        <v>0</v>
      </c>
      <c r="AO38" s="238" t="str">
        <f t="shared" si="2"/>
        <v>SG2</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6500</v>
      </c>
      <c r="G39" s="1515">
        <v>47</v>
      </c>
      <c r="H39" s="1516">
        <v>2</v>
      </c>
      <c r="I39" s="1514"/>
      <c r="J39" s="1515"/>
      <c r="K39" s="1516"/>
      <c r="L39" s="1517" t="s">
        <v>703</v>
      </c>
      <c r="M39" s="1517" t="s">
        <v>1393</v>
      </c>
      <c r="N39" s="1689" t="s">
        <v>116</v>
      </c>
      <c r="O39" s="1645"/>
      <c r="P39" s="245" t="b">
        <f t="shared" si="3"/>
        <v>0</v>
      </c>
      <c r="R39" s="245" t="b">
        <f t="shared" si="1"/>
        <v>0</v>
      </c>
      <c r="AO39" s="238" t="str">
        <f t="shared" si="2"/>
        <v>SG2</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494</v>
      </c>
      <c r="G40" s="1515">
        <v>7</v>
      </c>
      <c r="H40" s="1516">
        <v>2</v>
      </c>
      <c r="I40" s="1514"/>
      <c r="J40" s="1515"/>
      <c r="K40" s="1516"/>
      <c r="L40" s="1517" t="s">
        <v>703</v>
      </c>
      <c r="M40" s="1517" t="s">
        <v>1393</v>
      </c>
      <c r="N40" s="1689" t="s">
        <v>116</v>
      </c>
      <c r="O40" s="1645"/>
      <c r="P40" s="245" t="b">
        <f t="shared" si="3"/>
        <v>0</v>
      </c>
      <c r="R40" s="245" t="b">
        <f t="shared" si="1"/>
        <v>0</v>
      </c>
      <c r="AO40" s="238" t="str">
        <f t="shared" si="2"/>
        <v>SG2</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494</v>
      </c>
      <c r="G41" s="1515">
        <v>15</v>
      </c>
      <c r="H41" s="1516">
        <v>2</v>
      </c>
      <c r="I41" s="1514"/>
      <c r="J41" s="1515"/>
      <c r="K41" s="1516"/>
      <c r="L41" s="1517" t="s">
        <v>703</v>
      </c>
      <c r="M41" s="1517" t="s">
        <v>1393</v>
      </c>
      <c r="N41" s="1689" t="s">
        <v>116</v>
      </c>
      <c r="O41" s="1645"/>
      <c r="P41" s="245" t="b">
        <f t="shared" si="3"/>
        <v>0</v>
      </c>
      <c r="R41" s="245" t="b">
        <f t="shared" si="1"/>
        <v>0</v>
      </c>
      <c r="AO41" s="238" t="str">
        <f t="shared" si="2"/>
        <v>SG2</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494</v>
      </c>
      <c r="G42" s="1515">
        <v>23</v>
      </c>
      <c r="H42" s="1516">
        <v>2</v>
      </c>
      <c r="I42" s="1514"/>
      <c r="J42" s="1515"/>
      <c r="K42" s="1516"/>
      <c r="L42" s="1517" t="s">
        <v>703</v>
      </c>
      <c r="M42" s="1517" t="s">
        <v>1393</v>
      </c>
      <c r="N42" s="1689" t="s">
        <v>116</v>
      </c>
      <c r="O42" s="1645"/>
      <c r="P42" s="245" t="b">
        <f t="shared" si="3"/>
        <v>0</v>
      </c>
      <c r="R42" s="245" t="b">
        <f t="shared" si="1"/>
        <v>0</v>
      </c>
      <c r="AO42" s="238" t="str">
        <f t="shared" si="2"/>
        <v>SG2</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494</v>
      </c>
      <c r="G43" s="1515">
        <v>31</v>
      </c>
      <c r="H43" s="1516">
        <v>2</v>
      </c>
      <c r="I43" s="1514"/>
      <c r="J43" s="1515"/>
      <c r="K43" s="1516"/>
      <c r="L43" s="1517" t="s">
        <v>703</v>
      </c>
      <c r="M43" s="1517" t="s">
        <v>1393</v>
      </c>
      <c r="N43" s="1689" t="s">
        <v>116</v>
      </c>
      <c r="O43" s="1645"/>
      <c r="P43" s="245" t="b">
        <f t="shared" si="3"/>
        <v>0</v>
      </c>
      <c r="R43" s="245" t="b">
        <f t="shared" si="1"/>
        <v>0</v>
      </c>
      <c r="AO43" s="238" t="str">
        <f t="shared" si="2"/>
        <v>SG2</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494</v>
      </c>
      <c r="G44" s="1515">
        <v>39</v>
      </c>
      <c r="H44" s="1516">
        <v>2</v>
      </c>
      <c r="I44" s="1514"/>
      <c r="J44" s="1515"/>
      <c r="K44" s="1516"/>
      <c r="L44" s="1517" t="s">
        <v>703</v>
      </c>
      <c r="M44" s="1517" t="s">
        <v>1393</v>
      </c>
      <c r="N44" s="1689" t="s">
        <v>116</v>
      </c>
      <c r="O44" s="1645"/>
      <c r="P44" s="245" t="b">
        <f t="shared" si="3"/>
        <v>0</v>
      </c>
      <c r="R44" s="245" t="b">
        <f t="shared" si="1"/>
        <v>0</v>
      </c>
      <c r="AO44" s="238" t="str">
        <f t="shared" si="2"/>
        <v>SG2</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494</v>
      </c>
      <c r="G45" s="1515">
        <v>47</v>
      </c>
      <c r="H45" s="1516">
        <v>2</v>
      </c>
      <c r="I45" s="1514"/>
      <c r="J45" s="1515"/>
      <c r="K45" s="1516"/>
      <c r="L45" s="1517" t="s">
        <v>703</v>
      </c>
      <c r="M45" s="1517" t="s">
        <v>1393</v>
      </c>
      <c r="N45" s="1689" t="s">
        <v>116</v>
      </c>
      <c r="O45" s="1645"/>
      <c r="P45" s="245" t="b">
        <f t="shared" si="3"/>
        <v>0</v>
      </c>
      <c r="R45" s="245" t="b">
        <f t="shared" si="1"/>
        <v>0</v>
      </c>
      <c r="AO45" s="238" t="str">
        <f t="shared" si="2"/>
        <v>SG2</v>
      </c>
      <c r="AP45" s="945" t="b">
        <v>0</v>
      </c>
      <c r="AQ45" s="1323"/>
      <c r="AR45" s="1324"/>
      <c r="AS45" s="1324"/>
      <c r="AT45" s="1324"/>
      <c r="AU45" s="1324"/>
      <c r="AV45" s="1324"/>
      <c r="AW45" s="1324"/>
      <c r="AX45" s="1324"/>
      <c r="AY45" s="1324"/>
      <c r="AZ45" s="1324"/>
      <c r="BA45" s="1533"/>
      <c r="BB45" s="1533"/>
      <c r="BC45" s="1534"/>
    </row>
    <row r="46" spans="1:55" ht="14.1" customHeight="1" x14ac:dyDescent="0.2">
      <c r="A46" s="1511" t="s">
        <v>1954</v>
      </c>
      <c r="B46" s="1512" t="s">
        <v>155</v>
      </c>
      <c r="C46" s="1512" t="s">
        <v>165</v>
      </c>
      <c r="D46" s="1512" t="s">
        <v>145</v>
      </c>
      <c r="E46" s="1513"/>
      <c r="F46" s="1514">
        <v>250</v>
      </c>
      <c r="G46" s="1515"/>
      <c r="H46" s="1516"/>
      <c r="I46" s="1514"/>
      <c r="J46" s="1515"/>
      <c r="K46" s="1516"/>
      <c r="L46" s="1517" t="s">
        <v>116</v>
      </c>
      <c r="M46" s="1517" t="s">
        <v>1393</v>
      </c>
      <c r="N46" s="1689" t="s">
        <v>116</v>
      </c>
      <c r="O46" s="1645"/>
      <c r="P46" s="245" t="b">
        <f t="shared" si="3"/>
        <v>0</v>
      </c>
      <c r="R46" s="245" t="b">
        <f t="shared" si="1"/>
        <v>1</v>
      </c>
      <c r="AO46" s="238" t="str">
        <f t="shared" si="2"/>
        <v>SG3</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155</v>
      </c>
      <c r="C47" s="1512" t="s">
        <v>165</v>
      </c>
      <c r="D47" s="1512" t="s">
        <v>159</v>
      </c>
      <c r="E47" s="1513"/>
      <c r="F47" s="1514">
        <v>250</v>
      </c>
      <c r="G47" s="1515"/>
      <c r="H47" s="1516"/>
      <c r="I47" s="1514"/>
      <c r="J47" s="1515"/>
      <c r="K47" s="1516"/>
      <c r="L47" s="1517" t="s">
        <v>116</v>
      </c>
      <c r="M47" s="1517" t="s">
        <v>1393</v>
      </c>
      <c r="N47" s="1689" t="s">
        <v>116</v>
      </c>
      <c r="O47" s="1645"/>
      <c r="P47" s="245" t="b">
        <f t="shared" si="3"/>
        <v>0</v>
      </c>
      <c r="R47" s="245" t="b">
        <f t="shared" si="1"/>
        <v>1</v>
      </c>
      <c r="AO47" s="238" t="str">
        <f t="shared" si="2"/>
        <v>SG3</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154</v>
      </c>
      <c r="C48" s="1512" t="s">
        <v>165</v>
      </c>
      <c r="D48" s="1512" t="s">
        <v>145</v>
      </c>
      <c r="E48" s="1513"/>
      <c r="F48" s="1514">
        <v>1500</v>
      </c>
      <c r="G48" s="1515"/>
      <c r="H48" s="1516"/>
      <c r="I48" s="1514"/>
      <c r="J48" s="1515"/>
      <c r="K48" s="1516"/>
      <c r="L48" s="1517" t="s">
        <v>116</v>
      </c>
      <c r="M48" s="1517" t="s">
        <v>1393</v>
      </c>
      <c r="N48" s="1689" t="s">
        <v>116</v>
      </c>
      <c r="O48" s="1645"/>
      <c r="P48" s="245" t="b">
        <f t="shared" si="3"/>
        <v>0</v>
      </c>
      <c r="R48" s="245" t="b">
        <f t="shared" si="1"/>
        <v>1</v>
      </c>
      <c r="AO48" s="238" t="str">
        <f t="shared" si="2"/>
        <v>SG3</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6500</v>
      </c>
      <c r="G49" s="1515">
        <v>3</v>
      </c>
      <c r="H49" s="1516">
        <v>10</v>
      </c>
      <c r="I49" s="1514"/>
      <c r="J49" s="1515"/>
      <c r="K49" s="1516"/>
      <c r="L49" s="1517" t="s">
        <v>703</v>
      </c>
      <c r="M49" s="1517" t="s">
        <v>1393</v>
      </c>
      <c r="N49" s="1689" t="s">
        <v>116</v>
      </c>
      <c r="O49" s="1645"/>
      <c r="P49" s="245" t="b">
        <f t="shared" si="3"/>
        <v>0</v>
      </c>
      <c r="R49" s="245" t="b">
        <f t="shared" si="1"/>
        <v>0</v>
      </c>
      <c r="AO49" s="238" t="str">
        <f t="shared" si="2"/>
        <v>SG3</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6500</v>
      </c>
      <c r="G50" s="1515">
        <v>11</v>
      </c>
      <c r="H50" s="1516">
        <v>10</v>
      </c>
      <c r="I50" s="1514"/>
      <c r="J50" s="1515"/>
      <c r="K50" s="1516"/>
      <c r="L50" s="1517" t="s">
        <v>703</v>
      </c>
      <c r="M50" s="1517" t="s">
        <v>1393</v>
      </c>
      <c r="N50" s="1689" t="s">
        <v>116</v>
      </c>
      <c r="O50" s="1645"/>
      <c r="P50" s="245" t="b">
        <f t="shared" si="3"/>
        <v>0</v>
      </c>
      <c r="R50" s="245" t="b">
        <f t="shared" si="1"/>
        <v>0</v>
      </c>
      <c r="AO50" s="238" t="str">
        <f t="shared" si="2"/>
        <v>SG3</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6500</v>
      </c>
      <c r="G51" s="1515">
        <v>19</v>
      </c>
      <c r="H51" s="1516">
        <v>10</v>
      </c>
      <c r="I51" s="1514"/>
      <c r="J51" s="1515"/>
      <c r="K51" s="1516"/>
      <c r="L51" s="1517" t="s">
        <v>703</v>
      </c>
      <c r="M51" s="1517" t="s">
        <v>1393</v>
      </c>
      <c r="N51" s="1689" t="s">
        <v>116</v>
      </c>
      <c r="O51" s="1645"/>
      <c r="P51" s="245" t="b">
        <f t="shared" si="3"/>
        <v>0</v>
      </c>
      <c r="R51" s="245" t="b">
        <f t="shared" si="1"/>
        <v>0</v>
      </c>
      <c r="AO51" s="238" t="str">
        <f t="shared" si="2"/>
        <v>SG3</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6500</v>
      </c>
      <c r="G52" s="1515">
        <v>27</v>
      </c>
      <c r="H52" s="1516">
        <v>10</v>
      </c>
      <c r="I52" s="1514"/>
      <c r="J52" s="1515"/>
      <c r="K52" s="1516"/>
      <c r="L52" s="1517" t="s">
        <v>703</v>
      </c>
      <c r="M52" s="1517" t="s">
        <v>1393</v>
      </c>
      <c r="N52" s="1689" t="s">
        <v>116</v>
      </c>
      <c r="O52" s="1645"/>
      <c r="P52" s="245" t="b">
        <f t="shared" si="3"/>
        <v>0</v>
      </c>
      <c r="R52" s="245" t="b">
        <f t="shared" si="1"/>
        <v>0</v>
      </c>
      <c r="AO52" s="238" t="str">
        <f t="shared" si="2"/>
        <v>SG3</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6500</v>
      </c>
      <c r="G53" s="1515">
        <v>35</v>
      </c>
      <c r="H53" s="1516">
        <v>10</v>
      </c>
      <c r="I53" s="1514"/>
      <c r="J53" s="1515"/>
      <c r="K53" s="1516"/>
      <c r="L53" s="1517" t="s">
        <v>703</v>
      </c>
      <c r="M53" s="1517" t="s">
        <v>1393</v>
      </c>
      <c r="N53" s="1689" t="s">
        <v>116</v>
      </c>
      <c r="O53" s="1645"/>
      <c r="P53" s="245" t="b">
        <f t="shared" si="3"/>
        <v>0</v>
      </c>
      <c r="R53" s="245" t="b">
        <f t="shared" si="1"/>
        <v>0</v>
      </c>
      <c r="AO53" s="238" t="str">
        <f t="shared" si="2"/>
        <v>SG3</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6500</v>
      </c>
      <c r="G54" s="1515">
        <v>43</v>
      </c>
      <c r="H54" s="1516">
        <v>10</v>
      </c>
      <c r="I54" s="1514"/>
      <c r="J54" s="1515"/>
      <c r="K54" s="1516"/>
      <c r="L54" s="1517" t="s">
        <v>703</v>
      </c>
      <c r="M54" s="1517" t="s">
        <v>1393</v>
      </c>
      <c r="N54" s="1689" t="s">
        <v>116</v>
      </c>
      <c r="O54" s="1645"/>
      <c r="P54" s="245" t="b">
        <f t="shared" si="3"/>
        <v>0</v>
      </c>
      <c r="R54" s="245" t="b">
        <f t="shared" si="1"/>
        <v>0</v>
      </c>
      <c r="AO54" s="238" t="str">
        <f t="shared" si="2"/>
        <v>SG3</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494</v>
      </c>
      <c r="G55" s="1524">
        <v>3</v>
      </c>
      <c r="H55" s="1525">
        <v>10</v>
      </c>
      <c r="I55" s="1523"/>
      <c r="J55" s="1524"/>
      <c r="K55" s="1525"/>
      <c r="L55" s="1526" t="s">
        <v>703</v>
      </c>
      <c r="M55" s="1526" t="s">
        <v>1393</v>
      </c>
      <c r="N55" s="1690"/>
      <c r="O55" s="1645"/>
      <c r="P55" s="245" t="b">
        <f t="shared" si="3"/>
        <v>0</v>
      </c>
      <c r="R55" s="245" t="b">
        <f t="shared" si="1"/>
        <v>0</v>
      </c>
      <c r="AO55" s="238" t="str">
        <f t="shared" si="2"/>
        <v>SG3</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39" priority="4" stopIfTrue="1">
      <formula>AND($B14="NU",F14&lt;0)</formula>
    </cfRule>
  </conditionalFormatting>
  <conditionalFormatting sqref="B14:B55">
    <cfRule type="expression" dxfId="338" priority="5" stopIfTrue="1">
      <formula>OR(AND($B14="NU",F14&lt;0),AND($B14="NU",I14&lt;0))</formula>
    </cfRule>
  </conditionalFormatting>
  <conditionalFormatting sqref="G14:H55 J14:L55">
    <cfRule type="expression" dxfId="337" priority="6" stopIfTrue="1">
      <formula>$R14</formula>
    </cfRule>
  </conditionalFormatting>
  <conditionalFormatting sqref="I2:K4">
    <cfRule type="cellIs" dxfId="336" priority="7" stopIfTrue="1" operator="equal">
      <formula>""</formula>
    </cfRule>
  </conditionalFormatting>
  <conditionalFormatting sqref="I14:I55">
    <cfRule type="expression" dxfId="335" priority="8" stopIfTrue="1">
      <formula>OR($R14,$B14="CZ",AND($B14="NU",I14&lt;0))</formula>
    </cfRule>
  </conditionalFormatting>
  <conditionalFormatting sqref="A14:A55">
    <cfRule type="expression" dxfId="334" priority="3">
      <formula>NOT($P14)</formula>
    </cfRule>
  </conditionalFormatting>
  <conditionalFormatting sqref="B14:D55">
    <cfRule type="expression" dxfId="3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32" priority="9">
      <formula>AND(NOT($P14),$T$1)</formula>
    </cfRule>
    <cfRule type="expression" dxfId="331" priority="10">
      <formula>AND($AP14,$S$1="M")</formula>
    </cfRule>
  </conditionalFormatting>
  <conditionalFormatting sqref="L14:L55">
    <cfRule type="expression" dxfId="3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4139E97-C07B-4E39-BC08-40E783ED497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97187A3B-316D-4ED4-9DCB-F8B411BA821F}">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F3A777B7-5827-46CB-9E24-5DACAA046437}">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546F5F61-E78D-4668-B61F-B80A05B0F634}">
      <formula1>IF($CA$14,$CA$16:$CA$21,$CB$16:$CB$19)</formula1>
    </dataValidation>
    <dataValidation type="list" allowBlank="1" showErrorMessage="1" errorTitle="Invalid Type" error="You MUST select a Type from the dropdown list provided._x000a__x000a_Also, make sure your Cap Lock is turned on." sqref="B14:B55" xr:uid="{D99A3CC1-D096-498C-B169-F42F91E3DB38}">
      <formula1>$BF$15:$BU$15</formula1>
    </dataValidation>
    <dataValidation allowBlank="1" showInputMessage="1" errorTitle="Invalid Load Case" error="You MUST use a Load Case from the list provided." sqref="M14:M55" xr:uid="{E64BA52D-6CB3-45BE-BBF2-3015BD815979}"/>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DC010-0540-4B36-8768-C7DB0AF0516A}">
  <sheetPr codeName="Sheet4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494</v>
      </c>
      <c r="G14" s="1507">
        <v>11</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494</v>
      </c>
      <c r="G15" s="1515">
        <v>19</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494</v>
      </c>
      <c r="G16" s="1515">
        <v>27</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494</v>
      </c>
      <c r="G17" s="1515">
        <v>35</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494</v>
      </c>
      <c r="G18" s="1515">
        <v>43</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t="s">
        <v>1955</v>
      </c>
      <c r="B19" s="1512" t="s">
        <v>155</v>
      </c>
      <c r="C19" s="1512" t="s">
        <v>165</v>
      </c>
      <c r="D19" s="1512" t="s">
        <v>145</v>
      </c>
      <c r="E19" s="1513"/>
      <c r="F19" s="1514">
        <v>250</v>
      </c>
      <c r="G19" s="1515"/>
      <c r="H19" s="1516"/>
      <c r="I19" s="1514"/>
      <c r="J19" s="1515"/>
      <c r="K19" s="1516"/>
      <c r="L19" s="1517" t="s">
        <v>116</v>
      </c>
      <c r="M19" s="1518" t="s">
        <v>1393</v>
      </c>
      <c r="N19" s="1689" t="s">
        <v>116</v>
      </c>
      <c r="O19" s="1645"/>
      <c r="P19" s="245" t="b">
        <f t="shared" si="3"/>
        <v>0</v>
      </c>
      <c r="R19" s="245" t="b">
        <f t="shared" si="1"/>
        <v>1</v>
      </c>
      <c r="AO19" s="238" t="str">
        <f t="shared" si="2"/>
        <v>SG4</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155</v>
      </c>
      <c r="C20" s="1512" t="s">
        <v>165</v>
      </c>
      <c r="D20" s="1512" t="s">
        <v>159</v>
      </c>
      <c r="E20" s="1513"/>
      <c r="F20" s="1514">
        <v>250</v>
      </c>
      <c r="G20" s="1515"/>
      <c r="H20" s="1516"/>
      <c r="I20" s="1514"/>
      <c r="J20" s="1515"/>
      <c r="K20" s="1516"/>
      <c r="L20" s="1517" t="s">
        <v>116</v>
      </c>
      <c r="M20" s="1518" t="s">
        <v>1393</v>
      </c>
      <c r="N20" s="1519"/>
      <c r="O20" s="1646"/>
      <c r="P20" s="245" t="b">
        <f t="shared" si="3"/>
        <v>0</v>
      </c>
      <c r="R20" s="245" t="b">
        <f t="shared" si="1"/>
        <v>1</v>
      </c>
      <c r="AO20" s="238" t="str">
        <f t="shared" si="2"/>
        <v>SG4</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154</v>
      </c>
      <c r="C21" s="1512" t="s">
        <v>165</v>
      </c>
      <c r="D21" s="1512" t="s">
        <v>145</v>
      </c>
      <c r="E21" s="1513"/>
      <c r="F21" s="1514">
        <v>1500</v>
      </c>
      <c r="G21" s="1515"/>
      <c r="H21" s="1516"/>
      <c r="I21" s="1514"/>
      <c r="J21" s="1515"/>
      <c r="K21" s="1516"/>
      <c r="L21" s="1517" t="s">
        <v>116</v>
      </c>
      <c r="M21" s="1518" t="s">
        <v>1393</v>
      </c>
      <c r="N21" s="1519"/>
      <c r="O21" s="1646"/>
      <c r="P21" s="245" t="b">
        <f t="shared" si="3"/>
        <v>0</v>
      </c>
      <c r="R21" s="245" t="b">
        <f t="shared" si="1"/>
        <v>1</v>
      </c>
      <c r="AO21" s="238" t="str">
        <f t="shared" si="2"/>
        <v>SG4</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2220</v>
      </c>
      <c r="G22" s="1515"/>
      <c r="H22" s="1516"/>
      <c r="I22" s="1514"/>
      <c r="J22" s="1515"/>
      <c r="K22" s="1516"/>
      <c r="L22" s="1517" t="s">
        <v>116</v>
      </c>
      <c r="M22" s="1518" t="s">
        <v>1393</v>
      </c>
      <c r="N22" s="1519"/>
      <c r="O22" s="1646"/>
      <c r="P22" s="245" t="b">
        <f t="shared" si="3"/>
        <v>0</v>
      </c>
      <c r="R22" s="245" t="b">
        <f t="shared" si="1"/>
        <v>1</v>
      </c>
      <c r="AO22" s="238" t="str">
        <f t="shared" si="2"/>
        <v>SG4</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6500</v>
      </c>
      <c r="G23" s="1515">
        <v>3</v>
      </c>
      <c r="H23" s="1516">
        <v>10</v>
      </c>
      <c r="I23" s="1514"/>
      <c r="J23" s="1515"/>
      <c r="K23" s="1516"/>
      <c r="L23" s="1517" t="s">
        <v>703</v>
      </c>
      <c r="M23" s="1518" t="s">
        <v>1393</v>
      </c>
      <c r="N23" s="1519"/>
      <c r="O23" s="1646"/>
      <c r="P23" s="245" t="b">
        <f t="shared" si="3"/>
        <v>0</v>
      </c>
      <c r="R23" s="245" t="b">
        <f t="shared" si="1"/>
        <v>0</v>
      </c>
      <c r="AO23" s="238" t="str">
        <f t="shared" si="2"/>
        <v>SG4</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6500</v>
      </c>
      <c r="G24" s="1515">
        <v>11</v>
      </c>
      <c r="H24" s="1516">
        <v>10</v>
      </c>
      <c r="I24" s="1514"/>
      <c r="J24" s="1515"/>
      <c r="K24" s="1516"/>
      <c r="L24" s="1517" t="s">
        <v>703</v>
      </c>
      <c r="M24" s="1518" t="s">
        <v>1393</v>
      </c>
      <c r="N24" s="1519"/>
      <c r="O24" s="1646"/>
      <c r="P24" s="245" t="b">
        <f t="shared" si="3"/>
        <v>0</v>
      </c>
      <c r="R24" s="245" t="b">
        <f t="shared" si="1"/>
        <v>0</v>
      </c>
      <c r="AO24" s="238" t="str">
        <f t="shared" si="2"/>
        <v>SG4</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6500</v>
      </c>
      <c r="G25" s="1515">
        <v>19</v>
      </c>
      <c r="H25" s="1516">
        <v>10</v>
      </c>
      <c r="I25" s="1514"/>
      <c r="J25" s="1515"/>
      <c r="K25" s="1516"/>
      <c r="L25" s="1517" t="s">
        <v>703</v>
      </c>
      <c r="M25" s="1518" t="s">
        <v>1393</v>
      </c>
      <c r="N25" s="1519"/>
      <c r="O25" s="1646"/>
      <c r="P25" s="245" t="b">
        <f t="shared" si="3"/>
        <v>0</v>
      </c>
      <c r="R25" s="245" t="b">
        <f t="shared" si="1"/>
        <v>0</v>
      </c>
      <c r="AO25" s="238" t="str">
        <f t="shared" si="2"/>
        <v>SG4</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6500</v>
      </c>
      <c r="G26" s="1515">
        <v>27</v>
      </c>
      <c r="H26" s="1516">
        <v>10</v>
      </c>
      <c r="I26" s="1514"/>
      <c r="J26" s="1515"/>
      <c r="K26" s="1516"/>
      <c r="L26" s="1517" t="s">
        <v>703</v>
      </c>
      <c r="M26" s="1518" t="s">
        <v>1393</v>
      </c>
      <c r="N26" s="1519"/>
      <c r="O26" s="1646"/>
      <c r="P26" s="245" t="b">
        <f t="shared" si="3"/>
        <v>0</v>
      </c>
      <c r="R26" s="245" t="b">
        <f t="shared" si="1"/>
        <v>0</v>
      </c>
      <c r="AO26" s="238" t="str">
        <f t="shared" si="2"/>
        <v>SG4</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6500</v>
      </c>
      <c r="G27" s="1515">
        <v>35</v>
      </c>
      <c r="H27" s="1516">
        <v>10</v>
      </c>
      <c r="I27" s="1514"/>
      <c r="J27" s="1515"/>
      <c r="K27" s="1516"/>
      <c r="L27" s="1517" t="s">
        <v>703</v>
      </c>
      <c r="M27" s="1518" t="s">
        <v>1393</v>
      </c>
      <c r="N27" s="1519"/>
      <c r="O27" s="1646"/>
      <c r="P27" s="245" t="b">
        <f t="shared" si="3"/>
        <v>0</v>
      </c>
      <c r="R27" s="245" t="b">
        <f t="shared" si="1"/>
        <v>0</v>
      </c>
      <c r="AO27" s="238" t="str">
        <f t="shared" si="2"/>
        <v>SG4</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6500</v>
      </c>
      <c r="G28" s="1515">
        <v>43</v>
      </c>
      <c r="H28" s="1516">
        <v>10</v>
      </c>
      <c r="I28" s="1514"/>
      <c r="J28" s="1515"/>
      <c r="K28" s="1516"/>
      <c r="L28" s="1517" t="s">
        <v>703</v>
      </c>
      <c r="M28" s="1518" t="s">
        <v>1393</v>
      </c>
      <c r="N28" s="1689"/>
      <c r="O28" s="1645"/>
      <c r="P28" s="245" t="b">
        <f t="shared" si="3"/>
        <v>0</v>
      </c>
      <c r="R28" s="245" t="b">
        <f t="shared" si="1"/>
        <v>0</v>
      </c>
      <c r="AO28" s="238" t="str">
        <f t="shared" si="2"/>
        <v>SG4</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494</v>
      </c>
      <c r="G29" s="1515">
        <v>3</v>
      </c>
      <c r="H29" s="1516">
        <v>10</v>
      </c>
      <c r="I29" s="1514"/>
      <c r="J29" s="1515"/>
      <c r="K29" s="1516"/>
      <c r="L29" s="1517" t="s">
        <v>703</v>
      </c>
      <c r="M29" s="1518" t="s">
        <v>1393</v>
      </c>
      <c r="N29" s="1689"/>
      <c r="O29" s="1645"/>
      <c r="P29" s="245" t="b">
        <f t="shared" si="3"/>
        <v>0</v>
      </c>
      <c r="R29" s="245" t="b">
        <f t="shared" si="1"/>
        <v>0</v>
      </c>
      <c r="AO29" s="238" t="str">
        <f t="shared" si="2"/>
        <v>SG4</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494</v>
      </c>
      <c r="G30" s="1515">
        <v>11</v>
      </c>
      <c r="H30" s="1516">
        <v>10</v>
      </c>
      <c r="I30" s="1514"/>
      <c r="J30" s="1515"/>
      <c r="K30" s="1516"/>
      <c r="L30" s="1517" t="s">
        <v>703</v>
      </c>
      <c r="M30" s="1518" t="s">
        <v>1393</v>
      </c>
      <c r="N30" s="1689" t="s">
        <v>116</v>
      </c>
      <c r="O30" s="1645"/>
      <c r="P30" s="245" t="b">
        <f t="shared" si="3"/>
        <v>0</v>
      </c>
      <c r="R30" s="245" t="b">
        <f t="shared" si="1"/>
        <v>0</v>
      </c>
      <c r="AO30" s="238" t="str">
        <f t="shared" si="2"/>
        <v>SG4</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494</v>
      </c>
      <c r="G31" s="1515">
        <v>19</v>
      </c>
      <c r="H31" s="1516">
        <v>10</v>
      </c>
      <c r="I31" s="1514"/>
      <c r="J31" s="1515"/>
      <c r="K31" s="1516"/>
      <c r="L31" s="1517" t="s">
        <v>703</v>
      </c>
      <c r="M31" s="1517" t="s">
        <v>1393</v>
      </c>
      <c r="N31" s="1689" t="s">
        <v>116</v>
      </c>
      <c r="O31" s="1645"/>
      <c r="P31" s="245" t="b">
        <f t="shared" si="3"/>
        <v>0</v>
      </c>
      <c r="R31" s="245" t="b">
        <f t="shared" si="1"/>
        <v>0</v>
      </c>
      <c r="AO31" s="238" t="str">
        <f t="shared" si="2"/>
        <v>SG4</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494</v>
      </c>
      <c r="G32" s="1515">
        <v>27</v>
      </c>
      <c r="H32" s="1516">
        <v>10</v>
      </c>
      <c r="I32" s="1514"/>
      <c r="J32" s="1515"/>
      <c r="K32" s="1516"/>
      <c r="L32" s="1517" t="s">
        <v>703</v>
      </c>
      <c r="M32" s="1517" t="s">
        <v>1393</v>
      </c>
      <c r="N32" s="1689" t="s">
        <v>116</v>
      </c>
      <c r="O32" s="1645"/>
      <c r="P32" s="245" t="b">
        <f t="shared" si="3"/>
        <v>0</v>
      </c>
      <c r="R32" s="245" t="b">
        <f t="shared" si="1"/>
        <v>0</v>
      </c>
      <c r="AO32" s="238" t="str">
        <f t="shared" si="2"/>
        <v>SG4</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494</v>
      </c>
      <c r="G33" s="1515">
        <v>35</v>
      </c>
      <c r="H33" s="1516">
        <v>10</v>
      </c>
      <c r="I33" s="1514"/>
      <c r="J33" s="1515"/>
      <c r="K33" s="1516"/>
      <c r="L33" s="1517" t="s">
        <v>703</v>
      </c>
      <c r="M33" s="1517" t="s">
        <v>1393</v>
      </c>
      <c r="N33" s="1689" t="s">
        <v>116</v>
      </c>
      <c r="O33" s="1645"/>
      <c r="P33" s="245" t="b">
        <f t="shared" si="3"/>
        <v>0</v>
      </c>
      <c r="R33" s="245" t="b">
        <f t="shared" si="1"/>
        <v>0</v>
      </c>
      <c r="AO33" s="238" t="str">
        <f t="shared" si="2"/>
        <v>SG4</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494</v>
      </c>
      <c r="G34" s="1515">
        <v>43</v>
      </c>
      <c r="H34" s="1516">
        <v>10</v>
      </c>
      <c r="I34" s="1514"/>
      <c r="J34" s="1515"/>
      <c r="K34" s="1516"/>
      <c r="L34" s="1517" t="s">
        <v>703</v>
      </c>
      <c r="M34" s="1517" t="s">
        <v>1393</v>
      </c>
      <c r="N34" s="1689" t="s">
        <v>116</v>
      </c>
      <c r="O34" s="1645"/>
      <c r="P34" s="245" t="b">
        <f t="shared" si="3"/>
        <v>0</v>
      </c>
      <c r="R34" s="245" t="b">
        <f t="shared" si="1"/>
        <v>0</v>
      </c>
      <c r="AO34" s="238" t="str">
        <f t="shared" si="2"/>
        <v>SG4</v>
      </c>
      <c r="AP34" s="945" t="b">
        <v>0</v>
      </c>
      <c r="AQ34" s="1323"/>
      <c r="AR34" s="1324"/>
      <c r="AS34" s="1324"/>
      <c r="AT34" s="1324"/>
      <c r="AU34" s="1324"/>
      <c r="AV34" s="1324"/>
      <c r="AW34" s="1324"/>
      <c r="AX34" s="1324"/>
      <c r="AY34" s="1324"/>
      <c r="AZ34" s="1324"/>
      <c r="BA34" s="1533"/>
      <c r="BB34" s="1533"/>
      <c r="BC34" s="1534"/>
    </row>
    <row r="35" spans="1:55" ht="14.1" customHeight="1" x14ac:dyDescent="0.2">
      <c r="A35" s="1511" t="s">
        <v>1956</v>
      </c>
      <c r="B35" s="1512" t="s">
        <v>155</v>
      </c>
      <c r="C35" s="1512" t="s">
        <v>165</v>
      </c>
      <c r="D35" s="1512" t="s">
        <v>145</v>
      </c>
      <c r="E35" s="1513"/>
      <c r="F35" s="1514">
        <v>250</v>
      </c>
      <c r="G35" s="1515"/>
      <c r="H35" s="1516"/>
      <c r="I35" s="1514"/>
      <c r="J35" s="1515"/>
      <c r="K35" s="1516"/>
      <c r="L35" s="1517" t="s">
        <v>116</v>
      </c>
      <c r="M35" s="1517" t="s">
        <v>1393</v>
      </c>
      <c r="N35" s="1689" t="s">
        <v>116</v>
      </c>
      <c r="O35" s="1645"/>
      <c r="P35" s="245" t="b">
        <f t="shared" si="3"/>
        <v>0</v>
      </c>
      <c r="R35" s="245" t="b">
        <f t="shared" si="1"/>
        <v>1</v>
      </c>
      <c r="AO35" s="238" t="str">
        <f t="shared" si="2"/>
        <v>SG5</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155</v>
      </c>
      <c r="C36" s="1512" t="s">
        <v>165</v>
      </c>
      <c r="D36" s="1512" t="s">
        <v>159</v>
      </c>
      <c r="E36" s="1513"/>
      <c r="F36" s="1514">
        <v>250</v>
      </c>
      <c r="G36" s="1515"/>
      <c r="H36" s="1516"/>
      <c r="I36" s="1514"/>
      <c r="J36" s="1515"/>
      <c r="K36" s="1516"/>
      <c r="L36" s="1517" t="s">
        <v>116</v>
      </c>
      <c r="M36" s="1517" t="s">
        <v>1393</v>
      </c>
      <c r="N36" s="1689" t="s">
        <v>116</v>
      </c>
      <c r="O36" s="1645"/>
      <c r="P36" s="245" t="b">
        <f t="shared" si="3"/>
        <v>0</v>
      </c>
      <c r="R36" s="245" t="b">
        <f t="shared" si="1"/>
        <v>1</v>
      </c>
      <c r="AO36" s="238" t="str">
        <f t="shared" si="2"/>
        <v>SG5</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154</v>
      </c>
      <c r="C37" s="1512" t="s">
        <v>165</v>
      </c>
      <c r="D37" s="1512" t="s">
        <v>145</v>
      </c>
      <c r="E37" s="1513"/>
      <c r="F37" s="1514">
        <v>1500</v>
      </c>
      <c r="G37" s="1515"/>
      <c r="H37" s="1516"/>
      <c r="I37" s="1514"/>
      <c r="J37" s="1515"/>
      <c r="K37" s="1516"/>
      <c r="L37" s="1517" t="s">
        <v>116</v>
      </c>
      <c r="M37" s="1517" t="s">
        <v>1393</v>
      </c>
      <c r="N37" s="1689" t="s">
        <v>116</v>
      </c>
      <c r="O37" s="1645"/>
      <c r="P37" s="245" t="b">
        <f t="shared" si="3"/>
        <v>0</v>
      </c>
      <c r="R37" s="245" t="b">
        <f t="shared" si="1"/>
        <v>1</v>
      </c>
      <c r="AO37" s="238" t="str">
        <f t="shared" si="2"/>
        <v>SG5</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154</v>
      </c>
      <c r="C38" s="1512" t="s">
        <v>165</v>
      </c>
      <c r="D38" s="1512" t="s">
        <v>145</v>
      </c>
      <c r="E38" s="1513"/>
      <c r="F38" s="1514">
        <v>720</v>
      </c>
      <c r="G38" s="1515"/>
      <c r="H38" s="1516"/>
      <c r="I38" s="1514"/>
      <c r="J38" s="1515"/>
      <c r="K38" s="1516"/>
      <c r="L38" s="1517" t="s">
        <v>116</v>
      </c>
      <c r="M38" s="1517" t="s">
        <v>1393</v>
      </c>
      <c r="N38" s="1689" t="s">
        <v>116</v>
      </c>
      <c r="O38" s="1645"/>
      <c r="P38" s="245" t="b">
        <f t="shared" si="3"/>
        <v>0</v>
      </c>
      <c r="R38" s="245" t="b">
        <f t="shared" si="1"/>
        <v>1</v>
      </c>
      <c r="AO38" s="238" t="str">
        <f t="shared" si="2"/>
        <v>SG5</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6500</v>
      </c>
      <c r="G39" s="1515">
        <v>7</v>
      </c>
      <c r="H39" s="1516">
        <v>10</v>
      </c>
      <c r="I39" s="1514"/>
      <c r="J39" s="1515"/>
      <c r="K39" s="1516"/>
      <c r="L39" s="1517" t="s">
        <v>703</v>
      </c>
      <c r="M39" s="1517" t="s">
        <v>1393</v>
      </c>
      <c r="N39" s="1689" t="s">
        <v>116</v>
      </c>
      <c r="O39" s="1645"/>
      <c r="P39" s="245" t="b">
        <f t="shared" si="3"/>
        <v>0</v>
      </c>
      <c r="R39" s="245" t="b">
        <f t="shared" si="1"/>
        <v>0</v>
      </c>
      <c r="AO39" s="238" t="str">
        <f t="shared" si="2"/>
        <v>SG5</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6500</v>
      </c>
      <c r="G40" s="1515">
        <v>15</v>
      </c>
      <c r="H40" s="1516">
        <v>10</v>
      </c>
      <c r="I40" s="1514"/>
      <c r="J40" s="1515"/>
      <c r="K40" s="1516"/>
      <c r="L40" s="1517" t="s">
        <v>703</v>
      </c>
      <c r="M40" s="1517" t="s">
        <v>1393</v>
      </c>
      <c r="N40" s="1689" t="s">
        <v>116</v>
      </c>
      <c r="O40" s="1645"/>
      <c r="P40" s="245" t="b">
        <f t="shared" si="3"/>
        <v>0</v>
      </c>
      <c r="R40" s="245" t="b">
        <f t="shared" si="1"/>
        <v>0</v>
      </c>
      <c r="AO40" s="238" t="str">
        <f t="shared" si="2"/>
        <v>SG5</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6500</v>
      </c>
      <c r="G41" s="1515">
        <v>23</v>
      </c>
      <c r="H41" s="1516">
        <v>10</v>
      </c>
      <c r="I41" s="1514"/>
      <c r="J41" s="1515"/>
      <c r="K41" s="1516"/>
      <c r="L41" s="1517" t="s">
        <v>703</v>
      </c>
      <c r="M41" s="1517" t="s">
        <v>1393</v>
      </c>
      <c r="N41" s="1689" t="s">
        <v>116</v>
      </c>
      <c r="O41" s="1645"/>
      <c r="P41" s="245" t="b">
        <f t="shared" si="3"/>
        <v>0</v>
      </c>
      <c r="R41" s="245" t="b">
        <f t="shared" si="1"/>
        <v>0</v>
      </c>
      <c r="AO41" s="238" t="str">
        <f t="shared" si="2"/>
        <v>SG5</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6500</v>
      </c>
      <c r="G42" s="1515">
        <v>31</v>
      </c>
      <c r="H42" s="1516">
        <v>10</v>
      </c>
      <c r="I42" s="1514"/>
      <c r="J42" s="1515"/>
      <c r="K42" s="1516"/>
      <c r="L42" s="1517" t="s">
        <v>703</v>
      </c>
      <c r="M42" s="1517" t="s">
        <v>1393</v>
      </c>
      <c r="N42" s="1689" t="s">
        <v>116</v>
      </c>
      <c r="O42" s="1645"/>
      <c r="P42" s="245" t="b">
        <f t="shared" si="3"/>
        <v>0</v>
      </c>
      <c r="R42" s="245" t="b">
        <f t="shared" si="1"/>
        <v>0</v>
      </c>
      <c r="AO42" s="238" t="str">
        <f t="shared" si="2"/>
        <v>SG5</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6500</v>
      </c>
      <c r="G43" s="1515">
        <v>39</v>
      </c>
      <c r="H43" s="1516">
        <v>10</v>
      </c>
      <c r="I43" s="1514"/>
      <c r="J43" s="1515"/>
      <c r="K43" s="1516"/>
      <c r="L43" s="1517" t="s">
        <v>703</v>
      </c>
      <c r="M43" s="1517" t="s">
        <v>1393</v>
      </c>
      <c r="N43" s="1689" t="s">
        <v>116</v>
      </c>
      <c r="O43" s="1645"/>
      <c r="P43" s="245" t="b">
        <f t="shared" si="3"/>
        <v>0</v>
      </c>
      <c r="R43" s="245" t="b">
        <f t="shared" si="1"/>
        <v>0</v>
      </c>
      <c r="AO43" s="238" t="str">
        <f t="shared" si="2"/>
        <v>SG5</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6500</v>
      </c>
      <c r="G44" s="1515">
        <v>47</v>
      </c>
      <c r="H44" s="1516">
        <v>10</v>
      </c>
      <c r="I44" s="1514"/>
      <c r="J44" s="1515"/>
      <c r="K44" s="1516"/>
      <c r="L44" s="1517" t="s">
        <v>703</v>
      </c>
      <c r="M44" s="1517" t="s">
        <v>1393</v>
      </c>
      <c r="N44" s="1689" t="s">
        <v>116</v>
      </c>
      <c r="O44" s="1645"/>
      <c r="P44" s="245" t="b">
        <f t="shared" si="3"/>
        <v>0</v>
      </c>
      <c r="R44" s="245" t="b">
        <f t="shared" si="1"/>
        <v>0</v>
      </c>
      <c r="AO44" s="238" t="str">
        <f t="shared" si="2"/>
        <v>SG5</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494</v>
      </c>
      <c r="G45" s="1515">
        <v>7</v>
      </c>
      <c r="H45" s="1516">
        <v>10</v>
      </c>
      <c r="I45" s="1514"/>
      <c r="J45" s="1515"/>
      <c r="K45" s="1516"/>
      <c r="L45" s="1517" t="s">
        <v>703</v>
      </c>
      <c r="M45" s="1517" t="s">
        <v>1393</v>
      </c>
      <c r="N45" s="1689" t="s">
        <v>116</v>
      </c>
      <c r="O45" s="1645"/>
      <c r="P45" s="245" t="b">
        <f t="shared" si="3"/>
        <v>0</v>
      </c>
      <c r="R45" s="245" t="b">
        <f t="shared" si="1"/>
        <v>0</v>
      </c>
      <c r="AO45" s="238" t="str">
        <f t="shared" si="2"/>
        <v>SG5</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494</v>
      </c>
      <c r="G46" s="1515">
        <v>15</v>
      </c>
      <c r="H46" s="1516">
        <v>10</v>
      </c>
      <c r="I46" s="1514"/>
      <c r="J46" s="1515"/>
      <c r="K46" s="1516"/>
      <c r="L46" s="1517" t="s">
        <v>703</v>
      </c>
      <c r="M46" s="1517" t="s">
        <v>1393</v>
      </c>
      <c r="N46" s="1689" t="s">
        <v>116</v>
      </c>
      <c r="O46" s="1645"/>
      <c r="P46" s="245" t="b">
        <f t="shared" si="3"/>
        <v>0</v>
      </c>
      <c r="R46" s="245" t="b">
        <f t="shared" si="1"/>
        <v>0</v>
      </c>
      <c r="AO46" s="238" t="str">
        <f t="shared" si="2"/>
        <v>SG5</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494</v>
      </c>
      <c r="G47" s="1515">
        <v>23</v>
      </c>
      <c r="H47" s="1516">
        <v>10</v>
      </c>
      <c r="I47" s="1514"/>
      <c r="J47" s="1515"/>
      <c r="K47" s="1516"/>
      <c r="L47" s="1517" t="s">
        <v>703</v>
      </c>
      <c r="M47" s="1517" t="s">
        <v>1393</v>
      </c>
      <c r="N47" s="1689" t="s">
        <v>116</v>
      </c>
      <c r="O47" s="1645"/>
      <c r="P47" s="245" t="b">
        <f t="shared" si="3"/>
        <v>0</v>
      </c>
      <c r="R47" s="245" t="b">
        <f t="shared" si="1"/>
        <v>0</v>
      </c>
      <c r="AO47" s="238" t="str">
        <f t="shared" si="2"/>
        <v>SG5</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494</v>
      </c>
      <c r="G48" s="1515">
        <v>31</v>
      </c>
      <c r="H48" s="1516">
        <v>10</v>
      </c>
      <c r="I48" s="1514"/>
      <c r="J48" s="1515"/>
      <c r="K48" s="1516"/>
      <c r="L48" s="1517" t="s">
        <v>703</v>
      </c>
      <c r="M48" s="1517" t="s">
        <v>1393</v>
      </c>
      <c r="N48" s="1689" t="s">
        <v>116</v>
      </c>
      <c r="O48" s="1645"/>
      <c r="P48" s="245" t="b">
        <f t="shared" si="3"/>
        <v>0</v>
      </c>
      <c r="R48" s="245" t="b">
        <f t="shared" si="1"/>
        <v>0</v>
      </c>
      <c r="AO48" s="238" t="str">
        <f t="shared" si="2"/>
        <v>SG5</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494</v>
      </c>
      <c r="G49" s="1515">
        <v>39</v>
      </c>
      <c r="H49" s="1516">
        <v>10</v>
      </c>
      <c r="I49" s="1514"/>
      <c r="J49" s="1515"/>
      <c r="K49" s="1516"/>
      <c r="L49" s="1517" t="s">
        <v>703</v>
      </c>
      <c r="M49" s="1517" t="s">
        <v>1393</v>
      </c>
      <c r="N49" s="1689" t="s">
        <v>116</v>
      </c>
      <c r="O49" s="1645"/>
      <c r="P49" s="245" t="b">
        <f t="shared" si="3"/>
        <v>0</v>
      </c>
      <c r="R49" s="245" t="b">
        <f t="shared" si="1"/>
        <v>0</v>
      </c>
      <c r="AO49" s="238" t="str">
        <f t="shared" si="2"/>
        <v>SG5</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494</v>
      </c>
      <c r="G50" s="1515">
        <v>47</v>
      </c>
      <c r="H50" s="1516">
        <v>10</v>
      </c>
      <c r="I50" s="1514"/>
      <c r="J50" s="1515"/>
      <c r="K50" s="1516"/>
      <c r="L50" s="1517" t="s">
        <v>703</v>
      </c>
      <c r="M50" s="1517" t="s">
        <v>1393</v>
      </c>
      <c r="N50" s="1689" t="s">
        <v>116</v>
      </c>
      <c r="O50" s="1645"/>
      <c r="P50" s="245" t="b">
        <f t="shared" si="3"/>
        <v>0</v>
      </c>
      <c r="R50" s="245" t="b">
        <f t="shared" si="1"/>
        <v>0</v>
      </c>
      <c r="AO50" s="238" t="str">
        <f t="shared" si="2"/>
        <v>SG5</v>
      </c>
      <c r="AP50" s="945" t="b">
        <v>0</v>
      </c>
      <c r="AQ50" s="1323"/>
      <c r="AR50" s="1324"/>
      <c r="AS50" s="1324"/>
      <c r="AT50" s="1324"/>
      <c r="AU50" s="1324"/>
      <c r="AV50" s="1324"/>
      <c r="AW50" s="1324"/>
      <c r="AX50" s="1324"/>
      <c r="AY50" s="1324"/>
      <c r="AZ50" s="1324"/>
      <c r="BA50" s="1533"/>
      <c r="BB50" s="1533"/>
      <c r="BC50" s="1534"/>
    </row>
    <row r="51" spans="1:55" ht="14.1" customHeight="1" x14ac:dyDescent="0.2">
      <c r="A51" s="1511" t="s">
        <v>1957</v>
      </c>
      <c r="B51" s="1512" t="s">
        <v>155</v>
      </c>
      <c r="C51" s="1512" t="s">
        <v>165</v>
      </c>
      <c r="D51" s="1512" t="s">
        <v>145</v>
      </c>
      <c r="E51" s="1513"/>
      <c r="F51" s="1514">
        <v>250</v>
      </c>
      <c r="G51" s="1515"/>
      <c r="H51" s="1516"/>
      <c r="I51" s="1514"/>
      <c r="J51" s="1515"/>
      <c r="K51" s="1516"/>
      <c r="L51" s="1517" t="s">
        <v>116</v>
      </c>
      <c r="M51" s="1517" t="s">
        <v>1393</v>
      </c>
      <c r="N51" s="1689" t="s">
        <v>116</v>
      </c>
      <c r="O51" s="1645"/>
      <c r="P51" s="245" t="b">
        <f t="shared" si="3"/>
        <v>0</v>
      </c>
      <c r="R51" s="245" t="b">
        <f t="shared" si="1"/>
        <v>1</v>
      </c>
      <c r="AO51" s="238" t="str">
        <f t="shared" si="2"/>
        <v>SG6</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155</v>
      </c>
      <c r="C52" s="1512" t="s">
        <v>165</v>
      </c>
      <c r="D52" s="1512" t="s">
        <v>159</v>
      </c>
      <c r="E52" s="1513"/>
      <c r="F52" s="1514">
        <v>250</v>
      </c>
      <c r="G52" s="1515"/>
      <c r="H52" s="1516"/>
      <c r="I52" s="1514"/>
      <c r="J52" s="1515"/>
      <c r="K52" s="1516"/>
      <c r="L52" s="1517" t="s">
        <v>116</v>
      </c>
      <c r="M52" s="1517" t="s">
        <v>1393</v>
      </c>
      <c r="N52" s="1689" t="s">
        <v>116</v>
      </c>
      <c r="O52" s="1645"/>
      <c r="P52" s="245" t="b">
        <f t="shared" si="3"/>
        <v>0</v>
      </c>
      <c r="R52" s="245" t="b">
        <f t="shared" si="1"/>
        <v>1</v>
      </c>
      <c r="AO52" s="238" t="str">
        <f t="shared" si="2"/>
        <v>SG6</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154</v>
      </c>
      <c r="C53" s="1512" t="s">
        <v>165</v>
      </c>
      <c r="D53" s="1512" t="s">
        <v>145</v>
      </c>
      <c r="E53" s="1513"/>
      <c r="F53" s="1514">
        <v>1500</v>
      </c>
      <c r="G53" s="1515"/>
      <c r="H53" s="1516"/>
      <c r="I53" s="1514"/>
      <c r="J53" s="1515"/>
      <c r="K53" s="1516"/>
      <c r="L53" s="1517" t="s">
        <v>116</v>
      </c>
      <c r="M53" s="1517" t="s">
        <v>1393</v>
      </c>
      <c r="N53" s="1689" t="s">
        <v>116</v>
      </c>
      <c r="O53" s="1645"/>
      <c r="P53" s="245" t="b">
        <f t="shared" si="3"/>
        <v>0</v>
      </c>
      <c r="R53" s="245" t="b">
        <f t="shared" si="1"/>
        <v>1</v>
      </c>
      <c r="AO53" s="238" t="str">
        <f t="shared" si="2"/>
        <v>SG6</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6500</v>
      </c>
      <c r="G54" s="1515">
        <v>3</v>
      </c>
      <c r="H54" s="1516">
        <v>10</v>
      </c>
      <c r="I54" s="1514"/>
      <c r="J54" s="1515"/>
      <c r="K54" s="1516"/>
      <c r="L54" s="1517" t="s">
        <v>703</v>
      </c>
      <c r="M54" s="1517" t="s">
        <v>1393</v>
      </c>
      <c r="N54" s="1689" t="s">
        <v>116</v>
      </c>
      <c r="O54" s="1645"/>
      <c r="P54" s="245" t="b">
        <f t="shared" si="3"/>
        <v>0</v>
      </c>
      <c r="R54" s="245" t="b">
        <f t="shared" si="1"/>
        <v>0</v>
      </c>
      <c r="AO54" s="238" t="str">
        <f t="shared" si="2"/>
        <v>SG6</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6500</v>
      </c>
      <c r="G55" s="1524">
        <v>11</v>
      </c>
      <c r="H55" s="1525">
        <v>10</v>
      </c>
      <c r="I55" s="1523"/>
      <c r="J55" s="1524"/>
      <c r="K55" s="1525"/>
      <c r="L55" s="1526" t="s">
        <v>703</v>
      </c>
      <c r="M55" s="1526" t="s">
        <v>1393</v>
      </c>
      <c r="N55" s="1690"/>
      <c r="O55" s="1645"/>
      <c r="P55" s="245" t="b">
        <f t="shared" si="3"/>
        <v>0</v>
      </c>
      <c r="R55" s="245" t="b">
        <f t="shared" si="1"/>
        <v>0</v>
      </c>
      <c r="AO55" s="238" t="str">
        <f t="shared" si="2"/>
        <v>SG6</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29" priority="4" stopIfTrue="1">
      <formula>AND($B14="NU",F14&lt;0)</formula>
    </cfRule>
  </conditionalFormatting>
  <conditionalFormatting sqref="B14:B55">
    <cfRule type="expression" dxfId="328" priority="5" stopIfTrue="1">
      <formula>OR(AND($B14="NU",F14&lt;0),AND($B14="NU",I14&lt;0))</formula>
    </cfRule>
  </conditionalFormatting>
  <conditionalFormatting sqref="G14:H55 J14:L55">
    <cfRule type="expression" dxfId="327" priority="6" stopIfTrue="1">
      <formula>$R14</formula>
    </cfRule>
  </conditionalFormatting>
  <conditionalFormatting sqref="I2:K4">
    <cfRule type="cellIs" dxfId="326" priority="7" stopIfTrue="1" operator="equal">
      <formula>""</formula>
    </cfRule>
  </conditionalFormatting>
  <conditionalFormatting sqref="I14:I55">
    <cfRule type="expression" dxfId="325" priority="8" stopIfTrue="1">
      <formula>OR($R14,$B14="CZ",AND($B14="NU",I14&lt;0))</formula>
    </cfRule>
  </conditionalFormatting>
  <conditionalFormatting sqref="A14:A55">
    <cfRule type="expression" dxfId="324" priority="3">
      <formula>NOT($P14)</formula>
    </cfRule>
  </conditionalFormatting>
  <conditionalFormatting sqref="B14:D55">
    <cfRule type="expression" dxfId="3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22" priority="9">
      <formula>AND(NOT($P14),$T$1)</formula>
    </cfRule>
    <cfRule type="expression" dxfId="321" priority="10">
      <formula>AND($AP14,$S$1="M")</formula>
    </cfRule>
  </conditionalFormatting>
  <conditionalFormatting sqref="L14:L55">
    <cfRule type="expression" dxfId="3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3D4C419-844D-4FB4-8C4A-07F24C831BC0}">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703BF477-6068-444A-8E43-D57EA95005F0}">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2DAB5E8-6887-4E97-BCA1-D9A7C09F2A84}">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BE8AE79-9D90-4D4C-891C-8A4EEA8C4226}">
      <formula1>IF($CA$14,$CA$16:$CA$21,$CB$16:$CB$19)</formula1>
    </dataValidation>
    <dataValidation type="list" allowBlank="1" showErrorMessage="1" errorTitle="Invalid Type" error="You MUST select a Type from the dropdown list provided._x000a__x000a_Also, make sure your Cap Lock is turned on." sqref="B14:B55" xr:uid="{6A49D14A-094D-4840-B818-C17A85D235CD}">
      <formula1>$BF$15:$BU$15</formula1>
    </dataValidation>
    <dataValidation allowBlank="1" showInputMessage="1" errorTitle="Invalid Load Case" error="You MUST use a Load Case from the list provided." sqref="M14:M55" xr:uid="{A5FD7076-1A47-4A40-BA3E-CF56D2179C2E}"/>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3C416-CD69-4E1A-83A9-DBD958EDABD5}">
  <sheetPr codeName="Sheet4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6500</v>
      </c>
      <c r="G14" s="1507">
        <v>19</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6500</v>
      </c>
      <c r="G15" s="1515">
        <v>27</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6500</v>
      </c>
      <c r="G16" s="1515">
        <v>35</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6500</v>
      </c>
      <c r="G17" s="1515">
        <v>43</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494</v>
      </c>
      <c r="G18" s="1515">
        <v>3</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494</v>
      </c>
      <c r="G19" s="1515">
        <v>11</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494</v>
      </c>
      <c r="G20" s="1515">
        <v>19</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494</v>
      </c>
      <c r="G21" s="1515">
        <v>27</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494</v>
      </c>
      <c r="G22" s="1515">
        <v>35</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494</v>
      </c>
      <c r="G23" s="1515">
        <v>43</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t="s">
        <v>1958</v>
      </c>
      <c r="B24" s="1512" t="s">
        <v>155</v>
      </c>
      <c r="C24" s="1512" t="s">
        <v>165</v>
      </c>
      <c r="D24" s="1512" t="s">
        <v>145</v>
      </c>
      <c r="E24" s="1513"/>
      <c r="F24" s="1514">
        <v>250</v>
      </c>
      <c r="G24" s="1515"/>
      <c r="H24" s="1516"/>
      <c r="I24" s="1514"/>
      <c r="J24" s="1515"/>
      <c r="K24" s="1516"/>
      <c r="L24" s="1517" t="s">
        <v>116</v>
      </c>
      <c r="M24" s="1518" t="s">
        <v>1393</v>
      </c>
      <c r="N24" s="1519"/>
      <c r="O24" s="1646"/>
      <c r="P24" s="245" t="b">
        <f t="shared" si="3"/>
        <v>0</v>
      </c>
      <c r="R24" s="245" t="b">
        <f t="shared" si="1"/>
        <v>1</v>
      </c>
      <c r="AO24" s="238" t="str">
        <f t="shared" si="2"/>
        <v>SG7</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155</v>
      </c>
      <c r="C25" s="1512" t="s">
        <v>165</v>
      </c>
      <c r="D25" s="1512" t="s">
        <v>159</v>
      </c>
      <c r="E25" s="1513"/>
      <c r="F25" s="1514">
        <v>250</v>
      </c>
      <c r="G25" s="1515"/>
      <c r="H25" s="1516"/>
      <c r="I25" s="1514"/>
      <c r="J25" s="1515"/>
      <c r="K25" s="1516"/>
      <c r="L25" s="1517" t="s">
        <v>116</v>
      </c>
      <c r="M25" s="1518" t="s">
        <v>1393</v>
      </c>
      <c r="N25" s="1519"/>
      <c r="O25" s="1646"/>
      <c r="P25" s="245" t="b">
        <f t="shared" si="3"/>
        <v>0</v>
      </c>
      <c r="R25" s="245" t="b">
        <f t="shared" si="1"/>
        <v>1</v>
      </c>
      <c r="AO25" s="238" t="str">
        <f t="shared" si="2"/>
        <v>SG7</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154</v>
      </c>
      <c r="C26" s="1512" t="s">
        <v>165</v>
      </c>
      <c r="D26" s="1512" t="s">
        <v>145</v>
      </c>
      <c r="E26" s="1513"/>
      <c r="F26" s="1514">
        <v>1500</v>
      </c>
      <c r="G26" s="1515"/>
      <c r="H26" s="1516"/>
      <c r="I26" s="1514"/>
      <c r="J26" s="1515"/>
      <c r="K26" s="1516"/>
      <c r="L26" s="1517" t="s">
        <v>116</v>
      </c>
      <c r="M26" s="1518" t="s">
        <v>1393</v>
      </c>
      <c r="N26" s="1519"/>
      <c r="O26" s="1646"/>
      <c r="P26" s="245" t="b">
        <f t="shared" si="3"/>
        <v>0</v>
      </c>
      <c r="R26" s="245" t="b">
        <f t="shared" si="1"/>
        <v>1</v>
      </c>
      <c r="AO26" s="238" t="str">
        <f t="shared" si="2"/>
        <v>SG7</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6500</v>
      </c>
      <c r="G27" s="1515">
        <v>7</v>
      </c>
      <c r="H27" s="1516">
        <v>10</v>
      </c>
      <c r="I27" s="1514"/>
      <c r="J27" s="1515"/>
      <c r="K27" s="1516"/>
      <c r="L27" s="1517" t="s">
        <v>703</v>
      </c>
      <c r="M27" s="1518" t="s">
        <v>1393</v>
      </c>
      <c r="N27" s="1519"/>
      <c r="O27" s="1646"/>
      <c r="P27" s="245" t="b">
        <f t="shared" si="3"/>
        <v>0</v>
      </c>
      <c r="R27" s="245" t="b">
        <f t="shared" si="1"/>
        <v>0</v>
      </c>
      <c r="AO27" s="238" t="str">
        <f t="shared" si="2"/>
        <v>SG7</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6500</v>
      </c>
      <c r="G28" s="1515">
        <v>15</v>
      </c>
      <c r="H28" s="1516">
        <v>10</v>
      </c>
      <c r="I28" s="1514"/>
      <c r="J28" s="1515"/>
      <c r="K28" s="1516"/>
      <c r="L28" s="1517" t="s">
        <v>703</v>
      </c>
      <c r="M28" s="1518" t="s">
        <v>1393</v>
      </c>
      <c r="N28" s="1689"/>
      <c r="O28" s="1645"/>
      <c r="P28" s="245" t="b">
        <f t="shared" si="3"/>
        <v>0</v>
      </c>
      <c r="R28" s="245" t="b">
        <f t="shared" si="1"/>
        <v>0</v>
      </c>
      <c r="AO28" s="238" t="str">
        <f t="shared" si="2"/>
        <v>SG7</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6500</v>
      </c>
      <c r="G29" s="1515">
        <v>23</v>
      </c>
      <c r="H29" s="1516">
        <v>10</v>
      </c>
      <c r="I29" s="1514"/>
      <c r="J29" s="1515"/>
      <c r="K29" s="1516"/>
      <c r="L29" s="1517" t="s">
        <v>703</v>
      </c>
      <c r="M29" s="1518" t="s">
        <v>1393</v>
      </c>
      <c r="N29" s="1689"/>
      <c r="O29" s="1645"/>
      <c r="P29" s="245" t="b">
        <f t="shared" si="3"/>
        <v>0</v>
      </c>
      <c r="R29" s="245" t="b">
        <f t="shared" si="1"/>
        <v>0</v>
      </c>
      <c r="AO29" s="238" t="str">
        <f t="shared" si="2"/>
        <v>SG7</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6500</v>
      </c>
      <c r="G30" s="1515">
        <v>31</v>
      </c>
      <c r="H30" s="1516">
        <v>10</v>
      </c>
      <c r="I30" s="1514"/>
      <c r="J30" s="1515"/>
      <c r="K30" s="1516"/>
      <c r="L30" s="1517" t="s">
        <v>703</v>
      </c>
      <c r="M30" s="1518" t="s">
        <v>1393</v>
      </c>
      <c r="N30" s="1689" t="s">
        <v>116</v>
      </c>
      <c r="O30" s="1645"/>
      <c r="P30" s="245" t="b">
        <f t="shared" si="3"/>
        <v>0</v>
      </c>
      <c r="R30" s="245" t="b">
        <f t="shared" si="1"/>
        <v>0</v>
      </c>
      <c r="AO30" s="238" t="str">
        <f t="shared" si="2"/>
        <v>SG7</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6500</v>
      </c>
      <c r="G31" s="1515">
        <v>39</v>
      </c>
      <c r="H31" s="1516">
        <v>10</v>
      </c>
      <c r="I31" s="1514"/>
      <c r="J31" s="1515"/>
      <c r="K31" s="1516"/>
      <c r="L31" s="1517" t="s">
        <v>703</v>
      </c>
      <c r="M31" s="1517" t="s">
        <v>1393</v>
      </c>
      <c r="N31" s="1689" t="s">
        <v>116</v>
      </c>
      <c r="O31" s="1645"/>
      <c r="P31" s="245" t="b">
        <f t="shared" si="3"/>
        <v>0</v>
      </c>
      <c r="R31" s="245" t="b">
        <f t="shared" si="1"/>
        <v>0</v>
      </c>
      <c r="AO31" s="238" t="str">
        <f t="shared" si="2"/>
        <v>SG7</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6500</v>
      </c>
      <c r="G32" s="1515">
        <v>47</v>
      </c>
      <c r="H32" s="1516">
        <v>10</v>
      </c>
      <c r="I32" s="1514"/>
      <c r="J32" s="1515"/>
      <c r="K32" s="1516"/>
      <c r="L32" s="1517" t="s">
        <v>703</v>
      </c>
      <c r="M32" s="1517" t="s">
        <v>1393</v>
      </c>
      <c r="N32" s="1689" t="s">
        <v>116</v>
      </c>
      <c r="O32" s="1645"/>
      <c r="P32" s="245" t="b">
        <f t="shared" si="3"/>
        <v>0</v>
      </c>
      <c r="R32" s="245" t="b">
        <f t="shared" si="1"/>
        <v>0</v>
      </c>
      <c r="AO32" s="238" t="str">
        <f t="shared" si="2"/>
        <v>SG7</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494</v>
      </c>
      <c r="G33" s="1515">
        <v>7</v>
      </c>
      <c r="H33" s="1516">
        <v>10</v>
      </c>
      <c r="I33" s="1514"/>
      <c r="J33" s="1515"/>
      <c r="K33" s="1516"/>
      <c r="L33" s="1517" t="s">
        <v>703</v>
      </c>
      <c r="M33" s="1517" t="s">
        <v>1393</v>
      </c>
      <c r="N33" s="1689" t="s">
        <v>116</v>
      </c>
      <c r="O33" s="1645"/>
      <c r="P33" s="245" t="b">
        <f t="shared" si="3"/>
        <v>0</v>
      </c>
      <c r="R33" s="245" t="b">
        <f t="shared" si="1"/>
        <v>0</v>
      </c>
      <c r="AO33" s="238" t="str">
        <f t="shared" si="2"/>
        <v>SG7</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494</v>
      </c>
      <c r="G34" s="1515">
        <v>15</v>
      </c>
      <c r="H34" s="1516">
        <v>10</v>
      </c>
      <c r="I34" s="1514"/>
      <c r="J34" s="1515"/>
      <c r="K34" s="1516"/>
      <c r="L34" s="1517" t="s">
        <v>703</v>
      </c>
      <c r="M34" s="1517" t="s">
        <v>1393</v>
      </c>
      <c r="N34" s="1689" t="s">
        <v>116</v>
      </c>
      <c r="O34" s="1645"/>
      <c r="P34" s="245" t="b">
        <f t="shared" si="3"/>
        <v>0</v>
      </c>
      <c r="R34" s="245" t="b">
        <f t="shared" si="1"/>
        <v>0</v>
      </c>
      <c r="AO34" s="238" t="str">
        <f t="shared" si="2"/>
        <v>SG7</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494</v>
      </c>
      <c r="G35" s="1515">
        <v>23</v>
      </c>
      <c r="H35" s="1516">
        <v>10</v>
      </c>
      <c r="I35" s="1514"/>
      <c r="J35" s="1515"/>
      <c r="K35" s="1516"/>
      <c r="L35" s="1517" t="s">
        <v>703</v>
      </c>
      <c r="M35" s="1517" t="s">
        <v>1393</v>
      </c>
      <c r="N35" s="1689" t="s">
        <v>116</v>
      </c>
      <c r="O35" s="1645"/>
      <c r="P35" s="245" t="b">
        <f t="shared" si="3"/>
        <v>0</v>
      </c>
      <c r="R35" s="245" t="b">
        <f t="shared" si="1"/>
        <v>0</v>
      </c>
      <c r="AO35" s="238" t="str">
        <f t="shared" si="2"/>
        <v>SG7</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494</v>
      </c>
      <c r="G36" s="1515">
        <v>31</v>
      </c>
      <c r="H36" s="1516">
        <v>10</v>
      </c>
      <c r="I36" s="1514"/>
      <c r="J36" s="1515"/>
      <c r="K36" s="1516"/>
      <c r="L36" s="1517" t="s">
        <v>703</v>
      </c>
      <c r="M36" s="1517" t="s">
        <v>1393</v>
      </c>
      <c r="N36" s="1689" t="s">
        <v>116</v>
      </c>
      <c r="O36" s="1645"/>
      <c r="P36" s="245" t="b">
        <f t="shared" si="3"/>
        <v>0</v>
      </c>
      <c r="R36" s="245" t="b">
        <f t="shared" si="1"/>
        <v>0</v>
      </c>
      <c r="AO36" s="238" t="str">
        <f t="shared" si="2"/>
        <v>SG7</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494</v>
      </c>
      <c r="G37" s="1515">
        <v>39</v>
      </c>
      <c r="H37" s="1516">
        <v>10</v>
      </c>
      <c r="I37" s="1514"/>
      <c r="J37" s="1515"/>
      <c r="K37" s="1516"/>
      <c r="L37" s="1517" t="s">
        <v>703</v>
      </c>
      <c r="M37" s="1517" t="s">
        <v>1393</v>
      </c>
      <c r="N37" s="1689" t="s">
        <v>116</v>
      </c>
      <c r="O37" s="1645"/>
      <c r="P37" s="245" t="b">
        <f t="shared" si="3"/>
        <v>0</v>
      </c>
      <c r="R37" s="245" t="b">
        <f t="shared" si="1"/>
        <v>0</v>
      </c>
      <c r="AO37" s="238" t="str">
        <f t="shared" si="2"/>
        <v>SG7</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494</v>
      </c>
      <c r="G38" s="1515">
        <v>47</v>
      </c>
      <c r="H38" s="1516">
        <v>10</v>
      </c>
      <c r="I38" s="1514"/>
      <c r="J38" s="1515"/>
      <c r="K38" s="1516"/>
      <c r="L38" s="1517" t="s">
        <v>703</v>
      </c>
      <c r="M38" s="1517" t="s">
        <v>1393</v>
      </c>
      <c r="N38" s="1689" t="s">
        <v>116</v>
      </c>
      <c r="O38" s="1645"/>
      <c r="P38" s="245" t="b">
        <f t="shared" si="3"/>
        <v>0</v>
      </c>
      <c r="R38" s="245" t="b">
        <f t="shared" si="1"/>
        <v>0</v>
      </c>
      <c r="AO38" s="238" t="str">
        <f t="shared" si="2"/>
        <v>SG7</v>
      </c>
      <c r="AP38" s="945" t="b">
        <v>0</v>
      </c>
      <c r="AQ38" s="1323"/>
      <c r="AR38" s="1324"/>
      <c r="AS38" s="1324"/>
      <c r="AT38" s="1324"/>
      <c r="AU38" s="1324"/>
      <c r="AV38" s="1324"/>
      <c r="AW38" s="1324"/>
      <c r="AX38" s="1324"/>
      <c r="AY38" s="1324"/>
      <c r="AZ38" s="1324"/>
      <c r="BA38" s="1533"/>
      <c r="BB38" s="1533"/>
      <c r="BC38" s="1534"/>
    </row>
    <row r="39" spans="1:55" ht="14.1" customHeight="1" x14ac:dyDescent="0.2">
      <c r="A39" s="1511" t="s">
        <v>1959</v>
      </c>
      <c r="B39" s="1512" t="s">
        <v>155</v>
      </c>
      <c r="C39" s="1512" t="s">
        <v>165</v>
      </c>
      <c r="D39" s="1512" t="s">
        <v>145</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SG8</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155</v>
      </c>
      <c r="C40" s="1512" t="s">
        <v>165</v>
      </c>
      <c r="D40" s="1512" t="s">
        <v>159</v>
      </c>
      <c r="E40" s="1513"/>
      <c r="F40" s="1514">
        <v>250</v>
      </c>
      <c r="G40" s="1515"/>
      <c r="H40" s="1516"/>
      <c r="I40" s="1514"/>
      <c r="J40" s="1515"/>
      <c r="K40" s="1516"/>
      <c r="L40" s="1517" t="s">
        <v>116</v>
      </c>
      <c r="M40" s="1517" t="s">
        <v>1393</v>
      </c>
      <c r="N40" s="1689" t="s">
        <v>116</v>
      </c>
      <c r="O40" s="1645"/>
      <c r="P40" s="245" t="b">
        <f t="shared" si="3"/>
        <v>0</v>
      </c>
      <c r="R40" s="245" t="b">
        <f t="shared" si="1"/>
        <v>1</v>
      </c>
      <c r="AO40" s="238" t="str">
        <f t="shared" si="2"/>
        <v>SG8</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1500</v>
      </c>
      <c r="G41" s="1515"/>
      <c r="H41" s="1516"/>
      <c r="I41" s="1514"/>
      <c r="J41" s="1515"/>
      <c r="K41" s="1516"/>
      <c r="L41" s="1517" t="s">
        <v>116</v>
      </c>
      <c r="M41" s="1517" t="s">
        <v>1393</v>
      </c>
      <c r="N41" s="1689" t="s">
        <v>116</v>
      </c>
      <c r="O41" s="1645"/>
      <c r="P41" s="245" t="b">
        <f t="shared" si="3"/>
        <v>0</v>
      </c>
      <c r="R41" s="245" t="b">
        <f t="shared" si="1"/>
        <v>1</v>
      </c>
      <c r="AO41" s="238" t="str">
        <f t="shared" si="2"/>
        <v>SG8</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154</v>
      </c>
      <c r="C42" s="1512" t="s">
        <v>165</v>
      </c>
      <c r="D42" s="1512" t="s">
        <v>145</v>
      </c>
      <c r="E42" s="1513"/>
      <c r="F42" s="1514">
        <v>2220</v>
      </c>
      <c r="G42" s="1515"/>
      <c r="H42" s="1516"/>
      <c r="I42" s="1514"/>
      <c r="J42" s="1515"/>
      <c r="K42" s="1516"/>
      <c r="L42" s="1517" t="s">
        <v>116</v>
      </c>
      <c r="M42" s="1517" t="s">
        <v>1393</v>
      </c>
      <c r="N42" s="1689" t="s">
        <v>116</v>
      </c>
      <c r="O42" s="1645"/>
      <c r="P42" s="245" t="b">
        <f t="shared" si="3"/>
        <v>0</v>
      </c>
      <c r="R42" s="245" t="b">
        <f t="shared" si="1"/>
        <v>1</v>
      </c>
      <c r="AO42" s="238" t="str">
        <f t="shared" si="2"/>
        <v>SG8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6500</v>
      </c>
      <c r="G43" s="1515">
        <v>7</v>
      </c>
      <c r="H43" s="1516">
        <v>10</v>
      </c>
      <c r="I43" s="1514"/>
      <c r="J43" s="1515"/>
      <c r="K43" s="1516"/>
      <c r="L43" s="1517" t="s">
        <v>703</v>
      </c>
      <c r="M43" s="1517" t="s">
        <v>1393</v>
      </c>
      <c r="N43" s="1689" t="s">
        <v>116</v>
      </c>
      <c r="O43" s="1645"/>
      <c r="P43" s="245" t="b">
        <f t="shared" si="3"/>
        <v>0</v>
      </c>
      <c r="R43" s="245" t="b">
        <f t="shared" si="1"/>
        <v>0</v>
      </c>
      <c r="AO43" s="238" t="str">
        <f t="shared" si="2"/>
        <v>SG8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6500</v>
      </c>
      <c r="G44" s="1515">
        <v>15</v>
      </c>
      <c r="H44" s="1516">
        <v>10</v>
      </c>
      <c r="I44" s="1514"/>
      <c r="J44" s="1515"/>
      <c r="K44" s="1516"/>
      <c r="L44" s="1517" t="s">
        <v>703</v>
      </c>
      <c r="M44" s="1517" t="s">
        <v>1393</v>
      </c>
      <c r="N44" s="1689" t="s">
        <v>116</v>
      </c>
      <c r="O44" s="1645"/>
      <c r="P44" s="245" t="b">
        <f t="shared" si="3"/>
        <v>0</v>
      </c>
      <c r="R44" s="245" t="b">
        <f t="shared" si="1"/>
        <v>0</v>
      </c>
      <c r="AO44" s="238" t="str">
        <f t="shared" si="2"/>
        <v>SG8</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6500</v>
      </c>
      <c r="G45" s="1515">
        <v>23</v>
      </c>
      <c r="H45" s="1516">
        <v>10</v>
      </c>
      <c r="I45" s="1514"/>
      <c r="J45" s="1515"/>
      <c r="K45" s="1516"/>
      <c r="L45" s="1517" t="s">
        <v>703</v>
      </c>
      <c r="M45" s="1517" t="s">
        <v>1393</v>
      </c>
      <c r="N45" s="1689" t="s">
        <v>116</v>
      </c>
      <c r="O45" s="1645"/>
      <c r="P45" s="245" t="b">
        <f t="shared" si="3"/>
        <v>0</v>
      </c>
      <c r="R45" s="245" t="b">
        <f t="shared" si="1"/>
        <v>0</v>
      </c>
      <c r="AO45" s="238" t="str">
        <f t="shared" si="2"/>
        <v>SG8</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6500</v>
      </c>
      <c r="G46" s="1515">
        <v>31</v>
      </c>
      <c r="H46" s="1516">
        <v>10</v>
      </c>
      <c r="I46" s="1514"/>
      <c r="J46" s="1515"/>
      <c r="K46" s="1516"/>
      <c r="L46" s="1517" t="s">
        <v>703</v>
      </c>
      <c r="M46" s="1517" t="s">
        <v>1393</v>
      </c>
      <c r="N46" s="1689" t="s">
        <v>116</v>
      </c>
      <c r="O46" s="1645"/>
      <c r="P46" s="245" t="b">
        <f t="shared" si="3"/>
        <v>0</v>
      </c>
      <c r="R46" s="245" t="b">
        <f t="shared" si="1"/>
        <v>0</v>
      </c>
      <c r="AO46" s="238" t="str">
        <f t="shared" si="2"/>
        <v>SG8</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6500</v>
      </c>
      <c r="G47" s="1515">
        <v>39</v>
      </c>
      <c r="H47" s="1516">
        <v>10</v>
      </c>
      <c r="I47" s="1514"/>
      <c r="J47" s="1515"/>
      <c r="K47" s="1516"/>
      <c r="L47" s="1517" t="s">
        <v>703</v>
      </c>
      <c r="M47" s="1517" t="s">
        <v>1393</v>
      </c>
      <c r="N47" s="1689" t="s">
        <v>116</v>
      </c>
      <c r="O47" s="1645"/>
      <c r="P47" s="245" t="b">
        <f t="shared" si="3"/>
        <v>0</v>
      </c>
      <c r="R47" s="245" t="b">
        <f t="shared" si="1"/>
        <v>0</v>
      </c>
      <c r="AO47" s="238" t="str">
        <f t="shared" si="2"/>
        <v>SG8</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6500</v>
      </c>
      <c r="G48" s="1515">
        <v>47</v>
      </c>
      <c r="H48" s="1516">
        <v>10</v>
      </c>
      <c r="I48" s="1514"/>
      <c r="J48" s="1515"/>
      <c r="K48" s="1516"/>
      <c r="L48" s="1517" t="s">
        <v>703</v>
      </c>
      <c r="M48" s="1517" t="s">
        <v>1393</v>
      </c>
      <c r="N48" s="1689" t="s">
        <v>116</v>
      </c>
      <c r="O48" s="1645"/>
      <c r="P48" s="245" t="b">
        <f t="shared" si="3"/>
        <v>0</v>
      </c>
      <c r="R48" s="245" t="b">
        <f t="shared" si="1"/>
        <v>0</v>
      </c>
      <c r="AO48" s="238" t="str">
        <f t="shared" si="2"/>
        <v>SG8</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494</v>
      </c>
      <c r="G49" s="1515">
        <v>7</v>
      </c>
      <c r="H49" s="1516">
        <v>10</v>
      </c>
      <c r="I49" s="1514"/>
      <c r="J49" s="1515"/>
      <c r="K49" s="1516"/>
      <c r="L49" s="1517" t="s">
        <v>703</v>
      </c>
      <c r="M49" s="1517" t="s">
        <v>1393</v>
      </c>
      <c r="N49" s="1689" t="s">
        <v>116</v>
      </c>
      <c r="O49" s="1645"/>
      <c r="P49" s="245" t="b">
        <f t="shared" si="3"/>
        <v>0</v>
      </c>
      <c r="R49" s="245" t="b">
        <f t="shared" si="1"/>
        <v>0</v>
      </c>
      <c r="AO49" s="238" t="str">
        <f t="shared" si="2"/>
        <v>SG8</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494</v>
      </c>
      <c r="G50" s="1515">
        <v>15</v>
      </c>
      <c r="H50" s="1516">
        <v>10</v>
      </c>
      <c r="I50" s="1514"/>
      <c r="J50" s="1515"/>
      <c r="K50" s="1516"/>
      <c r="L50" s="1517" t="s">
        <v>703</v>
      </c>
      <c r="M50" s="1517" t="s">
        <v>1393</v>
      </c>
      <c r="N50" s="1689" t="s">
        <v>116</v>
      </c>
      <c r="O50" s="1645"/>
      <c r="P50" s="245" t="b">
        <f t="shared" si="3"/>
        <v>0</v>
      </c>
      <c r="R50" s="245" t="b">
        <f t="shared" si="1"/>
        <v>0</v>
      </c>
      <c r="AO50" s="238" t="str">
        <f t="shared" si="2"/>
        <v>SG8</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494</v>
      </c>
      <c r="G51" s="1515">
        <v>23</v>
      </c>
      <c r="H51" s="1516">
        <v>10</v>
      </c>
      <c r="I51" s="1514"/>
      <c r="J51" s="1515"/>
      <c r="K51" s="1516"/>
      <c r="L51" s="1517" t="s">
        <v>703</v>
      </c>
      <c r="M51" s="1517" t="s">
        <v>1393</v>
      </c>
      <c r="N51" s="1689" t="s">
        <v>116</v>
      </c>
      <c r="O51" s="1645"/>
      <c r="P51" s="245" t="b">
        <f t="shared" si="3"/>
        <v>0</v>
      </c>
      <c r="R51" s="245" t="b">
        <f t="shared" si="1"/>
        <v>0</v>
      </c>
      <c r="AO51" s="238" t="str">
        <f t="shared" si="2"/>
        <v>SG8</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494</v>
      </c>
      <c r="G52" s="1515">
        <v>31</v>
      </c>
      <c r="H52" s="1516">
        <v>10</v>
      </c>
      <c r="I52" s="1514"/>
      <c r="J52" s="1515"/>
      <c r="K52" s="1516"/>
      <c r="L52" s="1517" t="s">
        <v>703</v>
      </c>
      <c r="M52" s="1517" t="s">
        <v>1393</v>
      </c>
      <c r="N52" s="1689" t="s">
        <v>116</v>
      </c>
      <c r="O52" s="1645"/>
      <c r="P52" s="245" t="b">
        <f t="shared" si="3"/>
        <v>0</v>
      </c>
      <c r="R52" s="245" t="b">
        <f t="shared" si="1"/>
        <v>0</v>
      </c>
      <c r="AO52" s="238" t="str">
        <f t="shared" si="2"/>
        <v>SG8</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494</v>
      </c>
      <c r="G53" s="1515">
        <v>39</v>
      </c>
      <c r="H53" s="1516">
        <v>10</v>
      </c>
      <c r="I53" s="1514"/>
      <c r="J53" s="1515"/>
      <c r="K53" s="1516"/>
      <c r="L53" s="1517" t="s">
        <v>703</v>
      </c>
      <c r="M53" s="1517" t="s">
        <v>1393</v>
      </c>
      <c r="N53" s="1689" t="s">
        <v>116</v>
      </c>
      <c r="O53" s="1645"/>
      <c r="P53" s="245" t="b">
        <f t="shared" si="3"/>
        <v>0</v>
      </c>
      <c r="R53" s="245" t="b">
        <f t="shared" si="1"/>
        <v>0</v>
      </c>
      <c r="AO53" s="238" t="str">
        <f t="shared" si="2"/>
        <v>SG8</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494</v>
      </c>
      <c r="G54" s="1515">
        <v>47</v>
      </c>
      <c r="H54" s="1516">
        <v>10</v>
      </c>
      <c r="I54" s="1514"/>
      <c r="J54" s="1515"/>
      <c r="K54" s="1516"/>
      <c r="L54" s="1517" t="s">
        <v>703</v>
      </c>
      <c r="M54" s="1517" t="s">
        <v>1393</v>
      </c>
      <c r="N54" s="1689" t="s">
        <v>116</v>
      </c>
      <c r="O54" s="1645"/>
      <c r="P54" s="245" t="b">
        <f t="shared" si="3"/>
        <v>0</v>
      </c>
      <c r="R54" s="245" t="b">
        <f t="shared" si="1"/>
        <v>0</v>
      </c>
      <c r="AO54" s="238" t="str">
        <f t="shared" si="2"/>
        <v>SG8</v>
      </c>
      <c r="AP54" s="945" t="b">
        <v>0</v>
      </c>
      <c r="AQ54" s="1323"/>
      <c r="AR54" s="1324"/>
      <c r="AS54" s="1324"/>
      <c r="AT54" s="1324"/>
      <c r="AU54" s="1324"/>
      <c r="AV54" s="1324"/>
      <c r="AW54" s="1324"/>
      <c r="AX54" s="1324"/>
      <c r="AY54" s="1324"/>
      <c r="AZ54" s="1324"/>
      <c r="BA54" s="1533"/>
      <c r="BB54" s="1533"/>
      <c r="BC54" s="1534"/>
    </row>
    <row r="55" spans="1:55" ht="14.1" customHeight="1" x14ac:dyDescent="0.2">
      <c r="A55" s="1520" t="s">
        <v>1960</v>
      </c>
      <c r="B55" s="1521" t="s">
        <v>155</v>
      </c>
      <c r="C55" s="1521" t="s">
        <v>165</v>
      </c>
      <c r="D55" s="1521" t="s">
        <v>145</v>
      </c>
      <c r="E55" s="1522"/>
      <c r="F55" s="1523">
        <v>250</v>
      </c>
      <c r="G55" s="1524"/>
      <c r="H55" s="1525"/>
      <c r="I55" s="1523"/>
      <c r="J55" s="1524"/>
      <c r="K55" s="1525"/>
      <c r="L55" s="1526" t="s">
        <v>116</v>
      </c>
      <c r="M55" s="1526" t="s">
        <v>1393</v>
      </c>
      <c r="N55" s="1690"/>
      <c r="O55" s="1645"/>
      <c r="P55" s="245" t="b">
        <f t="shared" si="3"/>
        <v>0</v>
      </c>
      <c r="R55" s="245" t="b">
        <f t="shared" si="1"/>
        <v>1</v>
      </c>
      <c r="AO55" s="238" t="str">
        <f t="shared" si="2"/>
        <v>SG9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19" priority="4" stopIfTrue="1">
      <formula>AND($B14="NU",F14&lt;0)</formula>
    </cfRule>
  </conditionalFormatting>
  <conditionalFormatting sqref="B14:B55">
    <cfRule type="expression" dxfId="318" priority="5" stopIfTrue="1">
      <formula>OR(AND($B14="NU",F14&lt;0),AND($B14="NU",I14&lt;0))</formula>
    </cfRule>
  </conditionalFormatting>
  <conditionalFormatting sqref="G14:H55 J14:L55">
    <cfRule type="expression" dxfId="317" priority="6" stopIfTrue="1">
      <formula>$R14</formula>
    </cfRule>
  </conditionalFormatting>
  <conditionalFormatting sqref="I2:K4">
    <cfRule type="cellIs" dxfId="316" priority="7" stopIfTrue="1" operator="equal">
      <formula>""</formula>
    </cfRule>
  </conditionalFormatting>
  <conditionalFormatting sqref="I14:I55">
    <cfRule type="expression" dxfId="315" priority="8" stopIfTrue="1">
      <formula>OR($R14,$B14="CZ",AND($B14="NU",I14&lt;0))</formula>
    </cfRule>
  </conditionalFormatting>
  <conditionalFormatting sqref="A14:A55">
    <cfRule type="expression" dxfId="314" priority="3">
      <formula>NOT($P14)</formula>
    </cfRule>
  </conditionalFormatting>
  <conditionalFormatting sqref="B14:D55">
    <cfRule type="expression" dxfId="3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12" priority="9">
      <formula>AND(NOT($P14),$T$1)</formula>
    </cfRule>
    <cfRule type="expression" dxfId="311" priority="10">
      <formula>AND($AP14,$S$1="M")</formula>
    </cfRule>
  </conditionalFormatting>
  <conditionalFormatting sqref="L14:L55">
    <cfRule type="expression" dxfId="3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3A62C733-8F23-45C5-9661-4FD5C1BE7822}">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774B0AD5-7AF5-4CCC-AC8C-422027D8B86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0BBC972-B5D7-4BF2-92B4-3CBA3C4934A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EC9DD789-701C-4067-8B3F-3551D2A3A859}">
      <formula1>IF($CA$14,$CA$16:$CA$21,$CB$16:$CB$19)</formula1>
    </dataValidation>
    <dataValidation type="list" allowBlank="1" showErrorMessage="1" errorTitle="Invalid Type" error="You MUST select a Type from the dropdown list provided._x000a__x000a_Also, make sure your Cap Lock is turned on." sqref="B14:B55" xr:uid="{67EDC63B-C592-4E4A-8326-39598D349123}">
      <formula1>$BF$15:$BU$15</formula1>
    </dataValidation>
    <dataValidation allowBlank="1" showInputMessage="1" errorTitle="Invalid Load Case" error="You MUST use a Load Case from the list provided." sqref="M14:M55" xr:uid="{C15AC66C-72D8-49D4-870A-36D9350A60B9}"/>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02ADA-C789-4BE6-8216-2CA87B23CA3D}">
  <sheetPr codeName="Sheet4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155</v>
      </c>
      <c r="C14" s="1505" t="s">
        <v>165</v>
      </c>
      <c r="D14" s="1505" t="s">
        <v>159</v>
      </c>
      <c r="E14" s="1688"/>
      <c r="F14" s="1506">
        <v>250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154</v>
      </c>
      <c r="C15" s="1512" t="s">
        <v>165</v>
      </c>
      <c r="D15" s="1512" t="s">
        <v>145</v>
      </c>
      <c r="E15" s="1513"/>
      <c r="F15" s="1514">
        <v>1500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6500</v>
      </c>
      <c r="G16" s="1515">
        <v>7</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6500</v>
      </c>
      <c r="G17" s="1515">
        <v>15</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6500</v>
      </c>
      <c r="G18" s="1515">
        <v>23</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6500</v>
      </c>
      <c r="G19" s="1515">
        <v>31</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6500</v>
      </c>
      <c r="G20" s="1515">
        <v>39</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6500</v>
      </c>
      <c r="G21" s="1515">
        <v>47</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494</v>
      </c>
      <c r="G22" s="1515">
        <v>7</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494</v>
      </c>
      <c r="G23" s="1515">
        <v>15</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494</v>
      </c>
      <c r="G24" s="1515">
        <v>23</v>
      </c>
      <c r="H24" s="1516">
        <v>10</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494</v>
      </c>
      <c r="G25" s="1515">
        <v>31</v>
      </c>
      <c r="H25" s="1516">
        <v>10</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494</v>
      </c>
      <c r="G26" s="1515">
        <v>39</v>
      </c>
      <c r="H26" s="1516">
        <v>10</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494</v>
      </c>
      <c r="G27" s="1515">
        <v>47</v>
      </c>
      <c r="H27" s="1516">
        <v>10</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t="s">
        <v>1961</v>
      </c>
      <c r="B28" s="1512" t="s">
        <v>155</v>
      </c>
      <c r="C28" s="1512" t="s">
        <v>165</v>
      </c>
      <c r="D28" s="1512" t="s">
        <v>145</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SG10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155</v>
      </c>
      <c r="C29" s="1512" t="s">
        <v>165</v>
      </c>
      <c r="D29" s="1512" t="s">
        <v>159</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SG10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1500</v>
      </c>
      <c r="G30" s="1515"/>
      <c r="H30" s="1516"/>
      <c r="I30" s="1514"/>
      <c r="J30" s="1515"/>
      <c r="K30" s="1516"/>
      <c r="L30" s="1517" t="s">
        <v>116</v>
      </c>
      <c r="M30" s="1518" t="s">
        <v>1393</v>
      </c>
      <c r="N30" s="1689" t="s">
        <v>116</v>
      </c>
      <c r="O30" s="1645"/>
      <c r="P30" s="245" t="b">
        <f t="shared" si="3"/>
        <v>0</v>
      </c>
      <c r="R30" s="245" t="b">
        <f t="shared" si="1"/>
        <v>1</v>
      </c>
      <c r="AO30" s="238" t="str">
        <f t="shared" si="2"/>
        <v>SG10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154</v>
      </c>
      <c r="C31" s="1512" t="s">
        <v>165</v>
      </c>
      <c r="D31" s="1512" t="s">
        <v>145</v>
      </c>
      <c r="E31" s="1513"/>
      <c r="F31" s="1514">
        <v>720</v>
      </c>
      <c r="G31" s="1515"/>
      <c r="H31" s="1516"/>
      <c r="I31" s="1514"/>
      <c r="J31" s="1515"/>
      <c r="K31" s="1516"/>
      <c r="L31" s="1517" t="s">
        <v>116</v>
      </c>
      <c r="M31" s="1517" t="s">
        <v>1393</v>
      </c>
      <c r="N31" s="1689" t="s">
        <v>116</v>
      </c>
      <c r="O31" s="1645"/>
      <c r="P31" s="245" t="b">
        <f t="shared" si="3"/>
        <v>0</v>
      </c>
      <c r="R31" s="245" t="b">
        <f t="shared" si="1"/>
        <v>1</v>
      </c>
      <c r="AO31" s="238" t="str">
        <f t="shared" si="2"/>
        <v>SG10</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6500</v>
      </c>
      <c r="G32" s="1515">
        <v>3</v>
      </c>
      <c r="H32" s="1516">
        <v>10</v>
      </c>
      <c r="I32" s="1514"/>
      <c r="J32" s="1515"/>
      <c r="K32" s="1516"/>
      <c r="L32" s="1517" t="s">
        <v>703</v>
      </c>
      <c r="M32" s="1517" t="s">
        <v>1393</v>
      </c>
      <c r="N32" s="1689" t="s">
        <v>116</v>
      </c>
      <c r="O32" s="1645"/>
      <c r="P32" s="245" t="b">
        <f t="shared" si="3"/>
        <v>0</v>
      </c>
      <c r="R32" s="245" t="b">
        <f t="shared" si="1"/>
        <v>0</v>
      </c>
      <c r="AO32" s="238" t="str">
        <f t="shared" si="2"/>
        <v>SG10</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6500</v>
      </c>
      <c r="G33" s="1515">
        <v>11</v>
      </c>
      <c r="H33" s="1516">
        <v>10</v>
      </c>
      <c r="I33" s="1514"/>
      <c r="J33" s="1515"/>
      <c r="K33" s="1516"/>
      <c r="L33" s="1517" t="s">
        <v>703</v>
      </c>
      <c r="M33" s="1517" t="s">
        <v>1393</v>
      </c>
      <c r="N33" s="1689" t="s">
        <v>116</v>
      </c>
      <c r="O33" s="1645"/>
      <c r="P33" s="245" t="b">
        <f t="shared" si="3"/>
        <v>0</v>
      </c>
      <c r="R33" s="245" t="b">
        <f t="shared" si="1"/>
        <v>0</v>
      </c>
      <c r="AO33" s="238" t="str">
        <f t="shared" si="2"/>
        <v>SG10</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6500</v>
      </c>
      <c r="G34" s="1515">
        <v>19</v>
      </c>
      <c r="H34" s="1516">
        <v>10</v>
      </c>
      <c r="I34" s="1514"/>
      <c r="J34" s="1515"/>
      <c r="K34" s="1516"/>
      <c r="L34" s="1517" t="s">
        <v>703</v>
      </c>
      <c r="M34" s="1517" t="s">
        <v>1393</v>
      </c>
      <c r="N34" s="1689" t="s">
        <v>116</v>
      </c>
      <c r="O34" s="1645"/>
      <c r="P34" s="245" t="b">
        <f t="shared" si="3"/>
        <v>0</v>
      </c>
      <c r="R34" s="245" t="b">
        <f t="shared" si="1"/>
        <v>0</v>
      </c>
      <c r="AO34" s="238" t="str">
        <f t="shared" si="2"/>
        <v>SG10</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6500</v>
      </c>
      <c r="G35" s="1515">
        <v>27</v>
      </c>
      <c r="H35" s="1516">
        <v>10</v>
      </c>
      <c r="I35" s="1514"/>
      <c r="J35" s="1515"/>
      <c r="K35" s="1516"/>
      <c r="L35" s="1517" t="s">
        <v>703</v>
      </c>
      <c r="M35" s="1517" t="s">
        <v>1393</v>
      </c>
      <c r="N35" s="1689" t="s">
        <v>116</v>
      </c>
      <c r="O35" s="1645"/>
      <c r="P35" s="245" t="b">
        <f t="shared" si="3"/>
        <v>0</v>
      </c>
      <c r="R35" s="245" t="b">
        <f t="shared" si="1"/>
        <v>0</v>
      </c>
      <c r="AO35" s="238" t="str">
        <f t="shared" si="2"/>
        <v>SG10</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6500</v>
      </c>
      <c r="G36" s="1515">
        <v>35</v>
      </c>
      <c r="H36" s="1516">
        <v>10</v>
      </c>
      <c r="I36" s="1514"/>
      <c r="J36" s="1515"/>
      <c r="K36" s="1516"/>
      <c r="L36" s="1517" t="s">
        <v>703</v>
      </c>
      <c r="M36" s="1517" t="s">
        <v>1393</v>
      </c>
      <c r="N36" s="1689" t="s">
        <v>116</v>
      </c>
      <c r="O36" s="1645"/>
      <c r="P36" s="245" t="b">
        <f t="shared" si="3"/>
        <v>0</v>
      </c>
      <c r="R36" s="245" t="b">
        <f t="shared" si="1"/>
        <v>0</v>
      </c>
      <c r="AO36" s="238" t="str">
        <f t="shared" si="2"/>
        <v>SG10</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6500</v>
      </c>
      <c r="G37" s="1515">
        <v>43</v>
      </c>
      <c r="H37" s="1516">
        <v>10</v>
      </c>
      <c r="I37" s="1514"/>
      <c r="J37" s="1515"/>
      <c r="K37" s="1516"/>
      <c r="L37" s="1517" t="s">
        <v>703</v>
      </c>
      <c r="M37" s="1517" t="s">
        <v>1393</v>
      </c>
      <c r="N37" s="1689" t="s">
        <v>116</v>
      </c>
      <c r="O37" s="1645"/>
      <c r="P37" s="245" t="b">
        <f t="shared" si="3"/>
        <v>0</v>
      </c>
      <c r="R37" s="245" t="b">
        <f t="shared" si="1"/>
        <v>0</v>
      </c>
      <c r="AO37" s="238" t="str">
        <f t="shared" si="2"/>
        <v>SG10</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494</v>
      </c>
      <c r="G38" s="1515">
        <v>3</v>
      </c>
      <c r="H38" s="1516">
        <v>10</v>
      </c>
      <c r="I38" s="1514"/>
      <c r="J38" s="1515"/>
      <c r="K38" s="1516"/>
      <c r="L38" s="1517" t="s">
        <v>703</v>
      </c>
      <c r="M38" s="1517" t="s">
        <v>1393</v>
      </c>
      <c r="N38" s="1689" t="s">
        <v>116</v>
      </c>
      <c r="O38" s="1645"/>
      <c r="P38" s="245" t="b">
        <f t="shared" si="3"/>
        <v>0</v>
      </c>
      <c r="R38" s="245" t="b">
        <f t="shared" si="1"/>
        <v>0</v>
      </c>
      <c r="AO38" s="238" t="str">
        <f t="shared" si="2"/>
        <v>SG10</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494</v>
      </c>
      <c r="G39" s="1515">
        <v>11</v>
      </c>
      <c r="H39" s="1516">
        <v>10</v>
      </c>
      <c r="I39" s="1514"/>
      <c r="J39" s="1515"/>
      <c r="K39" s="1516"/>
      <c r="L39" s="1517" t="s">
        <v>703</v>
      </c>
      <c r="M39" s="1517" t="s">
        <v>1393</v>
      </c>
      <c r="N39" s="1689" t="s">
        <v>116</v>
      </c>
      <c r="O39" s="1645"/>
      <c r="P39" s="245" t="b">
        <f t="shared" si="3"/>
        <v>0</v>
      </c>
      <c r="R39" s="245" t="b">
        <f t="shared" si="1"/>
        <v>0</v>
      </c>
      <c r="AO39" s="238" t="str">
        <f t="shared" si="2"/>
        <v>SG10</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494</v>
      </c>
      <c r="G40" s="1515">
        <v>19</v>
      </c>
      <c r="H40" s="1516">
        <v>10</v>
      </c>
      <c r="I40" s="1514"/>
      <c r="J40" s="1515"/>
      <c r="K40" s="1516"/>
      <c r="L40" s="1517" t="s">
        <v>703</v>
      </c>
      <c r="M40" s="1517" t="s">
        <v>1393</v>
      </c>
      <c r="N40" s="1689" t="s">
        <v>116</v>
      </c>
      <c r="O40" s="1645"/>
      <c r="P40" s="245" t="b">
        <f t="shared" si="3"/>
        <v>0</v>
      </c>
      <c r="R40" s="245" t="b">
        <f t="shared" si="1"/>
        <v>0</v>
      </c>
      <c r="AO40" s="238" t="str">
        <f t="shared" si="2"/>
        <v>SG10</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494</v>
      </c>
      <c r="G41" s="1515">
        <v>27</v>
      </c>
      <c r="H41" s="1516">
        <v>10</v>
      </c>
      <c r="I41" s="1514"/>
      <c r="J41" s="1515"/>
      <c r="K41" s="1516"/>
      <c r="L41" s="1517" t="s">
        <v>703</v>
      </c>
      <c r="M41" s="1517" t="s">
        <v>1393</v>
      </c>
      <c r="N41" s="1689" t="s">
        <v>116</v>
      </c>
      <c r="O41" s="1645"/>
      <c r="P41" s="245" t="b">
        <f t="shared" si="3"/>
        <v>0</v>
      </c>
      <c r="R41" s="245" t="b">
        <f t="shared" si="1"/>
        <v>0</v>
      </c>
      <c r="AO41" s="238" t="str">
        <f t="shared" si="2"/>
        <v>SG10</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494</v>
      </c>
      <c r="G42" s="1515">
        <v>35</v>
      </c>
      <c r="H42" s="1516">
        <v>10</v>
      </c>
      <c r="I42" s="1514"/>
      <c r="J42" s="1515"/>
      <c r="K42" s="1516"/>
      <c r="L42" s="1517" t="s">
        <v>703</v>
      </c>
      <c r="M42" s="1517" t="s">
        <v>1393</v>
      </c>
      <c r="N42" s="1689" t="s">
        <v>116</v>
      </c>
      <c r="O42" s="1645"/>
      <c r="P42" s="245" t="b">
        <f t="shared" si="3"/>
        <v>0</v>
      </c>
      <c r="R42" s="245" t="b">
        <f t="shared" si="1"/>
        <v>0</v>
      </c>
      <c r="AO42" s="238" t="str">
        <f t="shared" si="2"/>
        <v>SG10</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494</v>
      </c>
      <c r="G43" s="1515">
        <v>43</v>
      </c>
      <c r="H43" s="1516">
        <v>10</v>
      </c>
      <c r="I43" s="1514"/>
      <c r="J43" s="1515"/>
      <c r="K43" s="1516"/>
      <c r="L43" s="1517" t="s">
        <v>703</v>
      </c>
      <c r="M43" s="1517" t="s">
        <v>1393</v>
      </c>
      <c r="N43" s="1689" t="s">
        <v>116</v>
      </c>
      <c r="O43" s="1645"/>
      <c r="P43" s="245" t="b">
        <f t="shared" si="3"/>
        <v>0</v>
      </c>
      <c r="R43" s="245" t="b">
        <f t="shared" si="1"/>
        <v>0</v>
      </c>
      <c r="AO43" s="238" t="str">
        <f t="shared" si="2"/>
        <v>SG10</v>
      </c>
      <c r="AP43" s="945" t="b">
        <v>0</v>
      </c>
      <c r="AQ43" s="1323"/>
      <c r="AR43" s="1324"/>
      <c r="AS43" s="1324"/>
      <c r="AT43" s="1324"/>
      <c r="AU43" s="1324"/>
      <c r="AV43" s="1324"/>
      <c r="AW43" s="1324"/>
      <c r="AX43" s="1324"/>
      <c r="AY43" s="1324"/>
      <c r="AZ43" s="1324"/>
      <c r="BA43" s="1533"/>
      <c r="BB43" s="1533"/>
      <c r="BC43" s="1534"/>
    </row>
    <row r="44" spans="1:55" ht="14.1" customHeight="1" x14ac:dyDescent="0.2">
      <c r="A44" s="1511" t="s">
        <v>1962</v>
      </c>
      <c r="B44" s="1512" t="s">
        <v>155</v>
      </c>
      <c r="C44" s="1512" t="s">
        <v>165</v>
      </c>
      <c r="D44" s="1512" t="s">
        <v>145</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SG11</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155</v>
      </c>
      <c r="C45" s="1512" t="s">
        <v>165</v>
      </c>
      <c r="D45" s="1512" t="s">
        <v>159</v>
      </c>
      <c r="E45" s="1513"/>
      <c r="F45" s="1514">
        <v>250</v>
      </c>
      <c r="G45" s="1515"/>
      <c r="H45" s="1516"/>
      <c r="I45" s="1514"/>
      <c r="J45" s="1515"/>
      <c r="K45" s="1516"/>
      <c r="L45" s="1517" t="s">
        <v>116</v>
      </c>
      <c r="M45" s="1517" t="s">
        <v>1393</v>
      </c>
      <c r="N45" s="1689" t="s">
        <v>116</v>
      </c>
      <c r="O45" s="1645"/>
      <c r="P45" s="245" t="b">
        <f t="shared" si="3"/>
        <v>0</v>
      </c>
      <c r="R45" s="245" t="b">
        <f t="shared" si="1"/>
        <v>1</v>
      </c>
      <c r="AO45" s="238" t="str">
        <f t="shared" si="2"/>
        <v>SG11</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1500</v>
      </c>
      <c r="G46" s="1515"/>
      <c r="H46" s="1516"/>
      <c r="I46" s="1514"/>
      <c r="J46" s="1515"/>
      <c r="K46" s="1516"/>
      <c r="L46" s="1517" t="s">
        <v>116</v>
      </c>
      <c r="M46" s="1517" t="s">
        <v>1393</v>
      </c>
      <c r="N46" s="1689" t="s">
        <v>116</v>
      </c>
      <c r="O46" s="1645"/>
      <c r="P46" s="245" t="b">
        <f t="shared" si="3"/>
        <v>0</v>
      </c>
      <c r="R46" s="245" t="b">
        <f t="shared" si="1"/>
        <v>1</v>
      </c>
      <c r="AO46" s="238" t="str">
        <f t="shared" si="2"/>
        <v>SG11</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6500</v>
      </c>
      <c r="G47" s="1515">
        <v>7</v>
      </c>
      <c r="H47" s="1516">
        <v>10</v>
      </c>
      <c r="I47" s="1514"/>
      <c r="J47" s="1515"/>
      <c r="K47" s="1516"/>
      <c r="L47" s="1517" t="s">
        <v>703</v>
      </c>
      <c r="M47" s="1517" t="s">
        <v>1393</v>
      </c>
      <c r="N47" s="1689" t="s">
        <v>116</v>
      </c>
      <c r="O47" s="1645"/>
      <c r="P47" s="245" t="b">
        <f t="shared" si="3"/>
        <v>0</v>
      </c>
      <c r="R47" s="245" t="b">
        <f t="shared" si="1"/>
        <v>0</v>
      </c>
      <c r="AO47" s="238" t="str">
        <f t="shared" si="2"/>
        <v>SG11</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6500</v>
      </c>
      <c r="G48" s="1515">
        <v>15</v>
      </c>
      <c r="H48" s="1516">
        <v>10</v>
      </c>
      <c r="I48" s="1514"/>
      <c r="J48" s="1515"/>
      <c r="K48" s="1516"/>
      <c r="L48" s="1517" t="s">
        <v>703</v>
      </c>
      <c r="M48" s="1517" t="s">
        <v>1393</v>
      </c>
      <c r="N48" s="1689" t="s">
        <v>116</v>
      </c>
      <c r="O48" s="1645"/>
      <c r="P48" s="245" t="b">
        <f t="shared" si="3"/>
        <v>0</v>
      </c>
      <c r="R48" s="245" t="b">
        <f t="shared" si="1"/>
        <v>0</v>
      </c>
      <c r="AO48" s="238" t="str">
        <f t="shared" si="2"/>
        <v>SG11</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6500</v>
      </c>
      <c r="G49" s="1515">
        <v>23</v>
      </c>
      <c r="H49" s="1516">
        <v>10</v>
      </c>
      <c r="I49" s="1514"/>
      <c r="J49" s="1515"/>
      <c r="K49" s="1516"/>
      <c r="L49" s="1517" t="s">
        <v>703</v>
      </c>
      <c r="M49" s="1517" t="s">
        <v>1393</v>
      </c>
      <c r="N49" s="1689" t="s">
        <v>116</v>
      </c>
      <c r="O49" s="1645"/>
      <c r="P49" s="245" t="b">
        <f t="shared" si="3"/>
        <v>0</v>
      </c>
      <c r="R49" s="245" t="b">
        <f t="shared" si="1"/>
        <v>0</v>
      </c>
      <c r="AO49" s="238" t="str">
        <f t="shared" si="2"/>
        <v>SG11</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6500</v>
      </c>
      <c r="G50" s="1515">
        <v>31</v>
      </c>
      <c r="H50" s="1516">
        <v>10</v>
      </c>
      <c r="I50" s="1514"/>
      <c r="J50" s="1515"/>
      <c r="K50" s="1516"/>
      <c r="L50" s="1517" t="s">
        <v>703</v>
      </c>
      <c r="M50" s="1517" t="s">
        <v>1393</v>
      </c>
      <c r="N50" s="1689" t="s">
        <v>116</v>
      </c>
      <c r="O50" s="1645"/>
      <c r="P50" s="245" t="b">
        <f t="shared" si="3"/>
        <v>0</v>
      </c>
      <c r="R50" s="245" t="b">
        <f t="shared" si="1"/>
        <v>0</v>
      </c>
      <c r="AO50" s="238" t="str">
        <f t="shared" si="2"/>
        <v>SG11</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6500</v>
      </c>
      <c r="G51" s="1515">
        <v>39</v>
      </c>
      <c r="H51" s="1516">
        <v>10</v>
      </c>
      <c r="I51" s="1514"/>
      <c r="J51" s="1515"/>
      <c r="K51" s="1516"/>
      <c r="L51" s="1517" t="s">
        <v>703</v>
      </c>
      <c r="M51" s="1517" t="s">
        <v>1393</v>
      </c>
      <c r="N51" s="1689" t="s">
        <v>116</v>
      </c>
      <c r="O51" s="1645"/>
      <c r="P51" s="245" t="b">
        <f t="shared" si="3"/>
        <v>0</v>
      </c>
      <c r="R51" s="245" t="b">
        <f t="shared" si="1"/>
        <v>0</v>
      </c>
      <c r="AO51" s="238" t="str">
        <f t="shared" si="2"/>
        <v>SG11</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6500</v>
      </c>
      <c r="G52" s="1515">
        <v>47</v>
      </c>
      <c r="H52" s="1516">
        <v>10</v>
      </c>
      <c r="I52" s="1514"/>
      <c r="J52" s="1515"/>
      <c r="K52" s="1516"/>
      <c r="L52" s="1517" t="s">
        <v>703</v>
      </c>
      <c r="M52" s="1517" t="s">
        <v>1393</v>
      </c>
      <c r="N52" s="1689" t="s">
        <v>116</v>
      </c>
      <c r="O52" s="1645"/>
      <c r="P52" s="245" t="b">
        <f t="shared" si="3"/>
        <v>0</v>
      </c>
      <c r="R52" s="245" t="b">
        <f t="shared" si="1"/>
        <v>0</v>
      </c>
      <c r="AO52" s="238" t="str">
        <f t="shared" si="2"/>
        <v>SG11</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494</v>
      </c>
      <c r="G53" s="1515">
        <v>7</v>
      </c>
      <c r="H53" s="1516">
        <v>10</v>
      </c>
      <c r="I53" s="1514"/>
      <c r="J53" s="1515"/>
      <c r="K53" s="1516"/>
      <c r="L53" s="1517" t="s">
        <v>703</v>
      </c>
      <c r="M53" s="1517" t="s">
        <v>1393</v>
      </c>
      <c r="N53" s="1689" t="s">
        <v>116</v>
      </c>
      <c r="O53" s="1645"/>
      <c r="P53" s="245" t="b">
        <f t="shared" si="3"/>
        <v>0</v>
      </c>
      <c r="R53" s="245" t="b">
        <f t="shared" si="1"/>
        <v>0</v>
      </c>
      <c r="AO53" s="238" t="str">
        <f t="shared" si="2"/>
        <v>SG11</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494</v>
      </c>
      <c r="G54" s="1515">
        <v>15</v>
      </c>
      <c r="H54" s="1516">
        <v>10</v>
      </c>
      <c r="I54" s="1514"/>
      <c r="J54" s="1515"/>
      <c r="K54" s="1516"/>
      <c r="L54" s="1517" t="s">
        <v>703</v>
      </c>
      <c r="M54" s="1517" t="s">
        <v>1393</v>
      </c>
      <c r="N54" s="1689" t="s">
        <v>116</v>
      </c>
      <c r="O54" s="1645"/>
      <c r="P54" s="245" t="b">
        <f t="shared" si="3"/>
        <v>0</v>
      </c>
      <c r="R54" s="245" t="b">
        <f t="shared" si="1"/>
        <v>0</v>
      </c>
      <c r="AO54" s="238" t="str">
        <f t="shared" si="2"/>
        <v>SG11</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494</v>
      </c>
      <c r="G55" s="1524">
        <v>23</v>
      </c>
      <c r="H55" s="1525">
        <v>10</v>
      </c>
      <c r="I55" s="1523"/>
      <c r="J55" s="1524"/>
      <c r="K55" s="1525"/>
      <c r="L55" s="1526" t="s">
        <v>703</v>
      </c>
      <c r="M55" s="1526" t="s">
        <v>1393</v>
      </c>
      <c r="N55" s="1690"/>
      <c r="O55" s="1645"/>
      <c r="P55" s="245" t="b">
        <f t="shared" si="3"/>
        <v>0</v>
      </c>
      <c r="R55" s="245" t="b">
        <f t="shared" si="1"/>
        <v>0</v>
      </c>
      <c r="AO55" s="238" t="str">
        <f t="shared" si="2"/>
        <v>SG11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09" priority="4" stopIfTrue="1">
      <formula>AND($B14="NU",F14&lt;0)</formula>
    </cfRule>
  </conditionalFormatting>
  <conditionalFormatting sqref="B14:B55">
    <cfRule type="expression" dxfId="308" priority="5" stopIfTrue="1">
      <formula>OR(AND($B14="NU",F14&lt;0),AND($B14="NU",I14&lt;0))</formula>
    </cfRule>
  </conditionalFormatting>
  <conditionalFormatting sqref="G14:H55 J14:L55">
    <cfRule type="expression" dxfId="307" priority="6" stopIfTrue="1">
      <formula>$R14</formula>
    </cfRule>
  </conditionalFormatting>
  <conditionalFormatting sqref="I2:K4">
    <cfRule type="cellIs" dxfId="306" priority="7" stopIfTrue="1" operator="equal">
      <formula>""</formula>
    </cfRule>
  </conditionalFormatting>
  <conditionalFormatting sqref="I14:I55">
    <cfRule type="expression" dxfId="305" priority="8" stopIfTrue="1">
      <formula>OR($R14,$B14="CZ",AND($B14="NU",I14&lt;0))</formula>
    </cfRule>
  </conditionalFormatting>
  <conditionalFormatting sqref="A14:A55">
    <cfRule type="expression" dxfId="304" priority="3">
      <formula>NOT($P14)</formula>
    </cfRule>
  </conditionalFormatting>
  <conditionalFormatting sqref="B14:D55">
    <cfRule type="expression" dxfId="30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02" priority="9">
      <formula>AND(NOT($P14),$T$1)</formula>
    </cfRule>
    <cfRule type="expression" dxfId="301" priority="10">
      <formula>AND($AP14,$S$1="M")</formula>
    </cfRule>
  </conditionalFormatting>
  <conditionalFormatting sqref="L14:L55">
    <cfRule type="expression" dxfId="30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4726CAE3-79E5-442E-BC08-4518F4C6EB2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026C7F6-63F4-4F55-B433-CD9D1189062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6582A05-98D1-49CF-878B-19D1A617235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BCF5A26-D009-4339-ABF7-A09E025B6942}">
      <formula1>IF($CA$14,$CA$16:$CA$21,$CB$16:$CB$19)</formula1>
    </dataValidation>
    <dataValidation type="list" allowBlank="1" showErrorMessage="1" errorTitle="Invalid Type" error="You MUST select a Type from the dropdown list provided._x000a__x000a_Also, make sure your Cap Lock is turned on." sqref="B14:B55" xr:uid="{F750C535-FF72-46C1-9A0C-FAE9D857B00F}">
      <formula1>$BF$15:$BU$15</formula1>
    </dataValidation>
    <dataValidation allowBlank="1" showInputMessage="1" errorTitle="Invalid Load Case" error="You MUST use a Load Case from the list provided." sqref="M14:M55" xr:uid="{566CBA5A-EE02-43BC-8733-C77FA2E5F583}"/>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9BD0F-9B0F-4FDD-81F0-8BD7F5DF0F89}">
  <sheetPr codeName="Sheet4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494</v>
      </c>
      <c r="G14" s="1507">
        <v>31</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494</v>
      </c>
      <c r="G15" s="1515">
        <v>39</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494</v>
      </c>
      <c r="G16" s="1515">
        <v>47</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1963</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SG12</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SG12</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SG12</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6500</v>
      </c>
      <c r="G20" s="1515">
        <v>3</v>
      </c>
      <c r="H20" s="1516">
        <v>10</v>
      </c>
      <c r="I20" s="1514"/>
      <c r="J20" s="1515"/>
      <c r="K20" s="1516"/>
      <c r="L20" s="1517" t="s">
        <v>703</v>
      </c>
      <c r="M20" s="1518" t="s">
        <v>1393</v>
      </c>
      <c r="N20" s="1519"/>
      <c r="O20" s="1646"/>
      <c r="P20" s="245" t="b">
        <f t="shared" si="3"/>
        <v>0</v>
      </c>
      <c r="R20" s="245" t="b">
        <f t="shared" si="1"/>
        <v>0</v>
      </c>
      <c r="AO20" s="238" t="str">
        <f t="shared" si="2"/>
        <v>SG12</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6500</v>
      </c>
      <c r="G21" s="1515">
        <v>11</v>
      </c>
      <c r="H21" s="1516">
        <v>10</v>
      </c>
      <c r="I21" s="1514"/>
      <c r="J21" s="1515"/>
      <c r="K21" s="1516"/>
      <c r="L21" s="1517" t="s">
        <v>703</v>
      </c>
      <c r="M21" s="1518" t="s">
        <v>1393</v>
      </c>
      <c r="N21" s="1519"/>
      <c r="O21" s="1646"/>
      <c r="P21" s="245" t="b">
        <f t="shared" si="3"/>
        <v>0</v>
      </c>
      <c r="R21" s="245" t="b">
        <f t="shared" si="1"/>
        <v>0</v>
      </c>
      <c r="AO21" s="238" t="str">
        <f t="shared" si="2"/>
        <v>SG12</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6500</v>
      </c>
      <c r="G22" s="1515">
        <v>19</v>
      </c>
      <c r="H22" s="1516">
        <v>10</v>
      </c>
      <c r="I22" s="1514"/>
      <c r="J22" s="1515"/>
      <c r="K22" s="1516"/>
      <c r="L22" s="1517" t="s">
        <v>703</v>
      </c>
      <c r="M22" s="1518" t="s">
        <v>1393</v>
      </c>
      <c r="N22" s="1519"/>
      <c r="O22" s="1646"/>
      <c r="P22" s="245" t="b">
        <f t="shared" si="3"/>
        <v>0</v>
      </c>
      <c r="R22" s="245" t="b">
        <f t="shared" si="1"/>
        <v>0</v>
      </c>
      <c r="AO22" s="238" t="str">
        <f t="shared" si="2"/>
        <v>SG12</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6500</v>
      </c>
      <c r="G23" s="1515">
        <v>27</v>
      </c>
      <c r="H23" s="1516">
        <v>10</v>
      </c>
      <c r="I23" s="1514"/>
      <c r="J23" s="1515"/>
      <c r="K23" s="1516"/>
      <c r="L23" s="1517" t="s">
        <v>703</v>
      </c>
      <c r="M23" s="1518" t="s">
        <v>1393</v>
      </c>
      <c r="N23" s="1519"/>
      <c r="O23" s="1646"/>
      <c r="P23" s="245" t="b">
        <f t="shared" si="3"/>
        <v>0</v>
      </c>
      <c r="R23" s="245" t="b">
        <f t="shared" si="1"/>
        <v>0</v>
      </c>
      <c r="AO23" s="238" t="str">
        <f t="shared" si="2"/>
        <v>SG12</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6500</v>
      </c>
      <c r="G24" s="1515">
        <v>35</v>
      </c>
      <c r="H24" s="1516">
        <v>10</v>
      </c>
      <c r="I24" s="1514"/>
      <c r="J24" s="1515"/>
      <c r="K24" s="1516"/>
      <c r="L24" s="1517" t="s">
        <v>703</v>
      </c>
      <c r="M24" s="1518" t="s">
        <v>1393</v>
      </c>
      <c r="N24" s="1519"/>
      <c r="O24" s="1646"/>
      <c r="P24" s="245" t="b">
        <f t="shared" si="3"/>
        <v>0</v>
      </c>
      <c r="R24" s="245" t="b">
        <f t="shared" si="1"/>
        <v>0</v>
      </c>
      <c r="AO24" s="238" t="str">
        <f t="shared" si="2"/>
        <v>SG12</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6500</v>
      </c>
      <c r="G25" s="1515">
        <v>43</v>
      </c>
      <c r="H25" s="1516">
        <v>10</v>
      </c>
      <c r="I25" s="1514"/>
      <c r="J25" s="1515"/>
      <c r="K25" s="1516"/>
      <c r="L25" s="1517" t="s">
        <v>703</v>
      </c>
      <c r="M25" s="1518" t="s">
        <v>1393</v>
      </c>
      <c r="N25" s="1519"/>
      <c r="O25" s="1646"/>
      <c r="P25" s="245" t="b">
        <f t="shared" si="3"/>
        <v>0</v>
      </c>
      <c r="R25" s="245" t="b">
        <f t="shared" si="1"/>
        <v>0</v>
      </c>
      <c r="AO25" s="238" t="str">
        <f t="shared" si="2"/>
        <v>SG12</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494</v>
      </c>
      <c r="G26" s="1515">
        <v>3</v>
      </c>
      <c r="H26" s="1516">
        <v>10</v>
      </c>
      <c r="I26" s="1514"/>
      <c r="J26" s="1515"/>
      <c r="K26" s="1516"/>
      <c r="L26" s="1517" t="s">
        <v>703</v>
      </c>
      <c r="M26" s="1518" t="s">
        <v>1393</v>
      </c>
      <c r="N26" s="1519"/>
      <c r="O26" s="1646"/>
      <c r="P26" s="245" t="b">
        <f t="shared" si="3"/>
        <v>0</v>
      </c>
      <c r="R26" s="245" t="b">
        <f t="shared" si="1"/>
        <v>0</v>
      </c>
      <c r="AO26" s="238" t="str">
        <f t="shared" si="2"/>
        <v>SG12</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494</v>
      </c>
      <c r="G27" s="1515">
        <v>11</v>
      </c>
      <c r="H27" s="1516">
        <v>10</v>
      </c>
      <c r="I27" s="1514"/>
      <c r="J27" s="1515"/>
      <c r="K27" s="1516"/>
      <c r="L27" s="1517" t="s">
        <v>703</v>
      </c>
      <c r="M27" s="1518" t="s">
        <v>1393</v>
      </c>
      <c r="N27" s="1519"/>
      <c r="O27" s="1646"/>
      <c r="P27" s="245" t="b">
        <f t="shared" si="3"/>
        <v>0</v>
      </c>
      <c r="R27" s="245" t="b">
        <f t="shared" si="1"/>
        <v>0</v>
      </c>
      <c r="AO27" s="238" t="str">
        <f t="shared" si="2"/>
        <v>SG12</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494</v>
      </c>
      <c r="G28" s="1515">
        <v>19</v>
      </c>
      <c r="H28" s="1516">
        <v>10</v>
      </c>
      <c r="I28" s="1514"/>
      <c r="J28" s="1515"/>
      <c r="K28" s="1516"/>
      <c r="L28" s="1517" t="s">
        <v>703</v>
      </c>
      <c r="M28" s="1518" t="s">
        <v>1393</v>
      </c>
      <c r="N28" s="1689"/>
      <c r="O28" s="1645"/>
      <c r="P28" s="245" t="b">
        <f t="shared" si="3"/>
        <v>0</v>
      </c>
      <c r="R28" s="245" t="b">
        <f t="shared" si="1"/>
        <v>0</v>
      </c>
      <c r="AO28" s="238" t="str">
        <f t="shared" si="2"/>
        <v>SG12</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494</v>
      </c>
      <c r="G29" s="1515">
        <v>27</v>
      </c>
      <c r="H29" s="1516">
        <v>10</v>
      </c>
      <c r="I29" s="1514"/>
      <c r="J29" s="1515"/>
      <c r="K29" s="1516"/>
      <c r="L29" s="1517" t="s">
        <v>703</v>
      </c>
      <c r="M29" s="1518" t="s">
        <v>1393</v>
      </c>
      <c r="N29" s="1689"/>
      <c r="O29" s="1645"/>
      <c r="P29" s="245" t="b">
        <f t="shared" si="3"/>
        <v>0</v>
      </c>
      <c r="R29" s="245" t="b">
        <f t="shared" si="1"/>
        <v>0</v>
      </c>
      <c r="AO29" s="238" t="str">
        <f t="shared" si="2"/>
        <v>SG12</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494</v>
      </c>
      <c r="G30" s="1515">
        <v>35</v>
      </c>
      <c r="H30" s="1516">
        <v>10</v>
      </c>
      <c r="I30" s="1514"/>
      <c r="J30" s="1515"/>
      <c r="K30" s="1516"/>
      <c r="L30" s="1517" t="s">
        <v>703</v>
      </c>
      <c r="M30" s="1518" t="s">
        <v>1393</v>
      </c>
      <c r="N30" s="1689" t="s">
        <v>116</v>
      </c>
      <c r="O30" s="1645"/>
      <c r="P30" s="245" t="b">
        <f t="shared" si="3"/>
        <v>0</v>
      </c>
      <c r="R30" s="245" t="b">
        <f t="shared" si="1"/>
        <v>0</v>
      </c>
      <c r="AO30" s="238" t="str">
        <f t="shared" si="2"/>
        <v>SG12</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494</v>
      </c>
      <c r="G31" s="1515">
        <v>43</v>
      </c>
      <c r="H31" s="1516">
        <v>10</v>
      </c>
      <c r="I31" s="1514"/>
      <c r="J31" s="1515"/>
      <c r="K31" s="1516"/>
      <c r="L31" s="1517" t="s">
        <v>703</v>
      </c>
      <c r="M31" s="1517" t="s">
        <v>1393</v>
      </c>
      <c r="N31" s="1689" t="s">
        <v>116</v>
      </c>
      <c r="O31" s="1645"/>
      <c r="P31" s="245" t="b">
        <f t="shared" si="3"/>
        <v>0</v>
      </c>
      <c r="R31" s="245" t="b">
        <f t="shared" si="1"/>
        <v>0</v>
      </c>
      <c r="AO31" s="238" t="str">
        <f t="shared" si="2"/>
        <v>SG12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t="s">
        <v>1964</v>
      </c>
      <c r="B32" s="1512" t="s">
        <v>155</v>
      </c>
      <c r="C32" s="1512" t="s">
        <v>165</v>
      </c>
      <c r="D32" s="1512" t="s">
        <v>145</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SG13</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155</v>
      </c>
      <c r="C33" s="1512" t="s">
        <v>165</v>
      </c>
      <c r="D33" s="1512" t="s">
        <v>159</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SG13</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154</v>
      </c>
      <c r="C34" s="1512" t="s">
        <v>165</v>
      </c>
      <c r="D34" s="1512" t="s">
        <v>145</v>
      </c>
      <c r="E34" s="1513"/>
      <c r="F34" s="1514">
        <v>1500</v>
      </c>
      <c r="G34" s="1515"/>
      <c r="H34" s="1516"/>
      <c r="I34" s="1514"/>
      <c r="J34" s="1515"/>
      <c r="K34" s="1516"/>
      <c r="L34" s="1517" t="s">
        <v>116</v>
      </c>
      <c r="M34" s="1517" t="s">
        <v>1393</v>
      </c>
      <c r="N34" s="1689" t="s">
        <v>116</v>
      </c>
      <c r="O34" s="1645"/>
      <c r="P34" s="245" t="b">
        <f t="shared" si="3"/>
        <v>0</v>
      </c>
      <c r="R34" s="245" t="b">
        <f t="shared" si="1"/>
        <v>1</v>
      </c>
      <c r="AO34" s="238" t="str">
        <f t="shared" si="2"/>
        <v>SG13</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154</v>
      </c>
      <c r="C35" s="1512" t="s">
        <v>165</v>
      </c>
      <c r="D35" s="1512" t="s">
        <v>145</v>
      </c>
      <c r="E35" s="1513"/>
      <c r="F35" s="1514">
        <v>2220</v>
      </c>
      <c r="G35" s="1515"/>
      <c r="H35" s="1516"/>
      <c r="I35" s="1514"/>
      <c r="J35" s="1515"/>
      <c r="K35" s="1516"/>
      <c r="L35" s="1517" t="s">
        <v>116</v>
      </c>
      <c r="M35" s="1517" t="s">
        <v>1393</v>
      </c>
      <c r="N35" s="1689" t="s">
        <v>116</v>
      </c>
      <c r="O35" s="1645"/>
      <c r="P35" s="245" t="b">
        <f t="shared" si="3"/>
        <v>0</v>
      </c>
      <c r="R35" s="245" t="b">
        <f t="shared" si="1"/>
        <v>1</v>
      </c>
      <c r="AO35" s="238" t="str">
        <f t="shared" si="2"/>
        <v>SG13</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6500</v>
      </c>
      <c r="G36" s="1515">
        <v>7</v>
      </c>
      <c r="H36" s="1516">
        <v>10</v>
      </c>
      <c r="I36" s="1514"/>
      <c r="J36" s="1515"/>
      <c r="K36" s="1516"/>
      <c r="L36" s="1517" t="s">
        <v>703</v>
      </c>
      <c r="M36" s="1517" t="s">
        <v>1393</v>
      </c>
      <c r="N36" s="1689" t="s">
        <v>116</v>
      </c>
      <c r="O36" s="1645"/>
      <c r="P36" s="245" t="b">
        <f t="shared" si="3"/>
        <v>0</v>
      </c>
      <c r="R36" s="245" t="b">
        <f t="shared" si="1"/>
        <v>0</v>
      </c>
      <c r="AO36" s="238" t="str">
        <f t="shared" si="2"/>
        <v>SG13</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6500</v>
      </c>
      <c r="G37" s="1515">
        <v>15</v>
      </c>
      <c r="H37" s="1516">
        <v>10</v>
      </c>
      <c r="I37" s="1514"/>
      <c r="J37" s="1515"/>
      <c r="K37" s="1516"/>
      <c r="L37" s="1517" t="s">
        <v>703</v>
      </c>
      <c r="M37" s="1517" t="s">
        <v>1393</v>
      </c>
      <c r="N37" s="1689" t="s">
        <v>116</v>
      </c>
      <c r="O37" s="1645"/>
      <c r="P37" s="245" t="b">
        <f t="shared" si="3"/>
        <v>0</v>
      </c>
      <c r="R37" s="245" t="b">
        <f t="shared" si="1"/>
        <v>0</v>
      </c>
      <c r="AO37" s="238" t="str">
        <f t="shared" si="2"/>
        <v>SG13</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6500</v>
      </c>
      <c r="G38" s="1515">
        <v>23</v>
      </c>
      <c r="H38" s="1516">
        <v>10</v>
      </c>
      <c r="I38" s="1514"/>
      <c r="J38" s="1515"/>
      <c r="K38" s="1516"/>
      <c r="L38" s="1517" t="s">
        <v>703</v>
      </c>
      <c r="M38" s="1517" t="s">
        <v>1393</v>
      </c>
      <c r="N38" s="1689" t="s">
        <v>116</v>
      </c>
      <c r="O38" s="1645"/>
      <c r="P38" s="245" t="b">
        <f t="shared" si="3"/>
        <v>0</v>
      </c>
      <c r="R38" s="245" t="b">
        <f t="shared" si="1"/>
        <v>0</v>
      </c>
      <c r="AO38" s="238" t="str">
        <f t="shared" si="2"/>
        <v>SG13</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6500</v>
      </c>
      <c r="G39" s="1515">
        <v>31</v>
      </c>
      <c r="H39" s="1516">
        <v>10</v>
      </c>
      <c r="I39" s="1514"/>
      <c r="J39" s="1515"/>
      <c r="K39" s="1516"/>
      <c r="L39" s="1517" t="s">
        <v>703</v>
      </c>
      <c r="M39" s="1517" t="s">
        <v>1393</v>
      </c>
      <c r="N39" s="1689" t="s">
        <v>116</v>
      </c>
      <c r="O39" s="1645"/>
      <c r="P39" s="245" t="b">
        <f t="shared" si="3"/>
        <v>0</v>
      </c>
      <c r="R39" s="245" t="b">
        <f t="shared" si="1"/>
        <v>0</v>
      </c>
      <c r="AO39" s="238" t="str">
        <f t="shared" si="2"/>
        <v>SG13</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6500</v>
      </c>
      <c r="G40" s="1515">
        <v>39</v>
      </c>
      <c r="H40" s="1516">
        <v>10</v>
      </c>
      <c r="I40" s="1514"/>
      <c r="J40" s="1515"/>
      <c r="K40" s="1516"/>
      <c r="L40" s="1517" t="s">
        <v>703</v>
      </c>
      <c r="M40" s="1517" t="s">
        <v>1393</v>
      </c>
      <c r="N40" s="1689" t="s">
        <v>116</v>
      </c>
      <c r="O40" s="1645"/>
      <c r="P40" s="245" t="b">
        <f t="shared" si="3"/>
        <v>0</v>
      </c>
      <c r="R40" s="245" t="b">
        <f t="shared" si="1"/>
        <v>0</v>
      </c>
      <c r="AO40" s="238" t="str">
        <f t="shared" si="2"/>
        <v>SG13</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6500</v>
      </c>
      <c r="G41" s="1515">
        <v>47</v>
      </c>
      <c r="H41" s="1516">
        <v>10</v>
      </c>
      <c r="I41" s="1514"/>
      <c r="J41" s="1515"/>
      <c r="K41" s="1516"/>
      <c r="L41" s="1517" t="s">
        <v>703</v>
      </c>
      <c r="M41" s="1517" t="s">
        <v>1393</v>
      </c>
      <c r="N41" s="1689" t="s">
        <v>116</v>
      </c>
      <c r="O41" s="1645"/>
      <c r="P41" s="245" t="b">
        <f t="shared" si="3"/>
        <v>0</v>
      </c>
      <c r="R41" s="245" t="b">
        <f t="shared" si="1"/>
        <v>0</v>
      </c>
      <c r="AO41" s="238" t="str">
        <f t="shared" si="2"/>
        <v>SG13</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494</v>
      </c>
      <c r="G42" s="1515">
        <v>7</v>
      </c>
      <c r="H42" s="1516">
        <v>10</v>
      </c>
      <c r="I42" s="1514"/>
      <c r="J42" s="1515"/>
      <c r="K42" s="1516"/>
      <c r="L42" s="1517" t="s">
        <v>703</v>
      </c>
      <c r="M42" s="1517" t="s">
        <v>1393</v>
      </c>
      <c r="N42" s="1689" t="s">
        <v>116</v>
      </c>
      <c r="O42" s="1645"/>
      <c r="P42" s="245" t="b">
        <f t="shared" si="3"/>
        <v>0</v>
      </c>
      <c r="R42" s="245" t="b">
        <f t="shared" si="1"/>
        <v>0</v>
      </c>
      <c r="AO42" s="238" t="str">
        <f t="shared" si="2"/>
        <v>SG13</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494</v>
      </c>
      <c r="G43" s="1515">
        <v>15</v>
      </c>
      <c r="H43" s="1516">
        <v>10</v>
      </c>
      <c r="I43" s="1514"/>
      <c r="J43" s="1515"/>
      <c r="K43" s="1516"/>
      <c r="L43" s="1517" t="s">
        <v>703</v>
      </c>
      <c r="M43" s="1517" t="s">
        <v>1393</v>
      </c>
      <c r="N43" s="1689" t="s">
        <v>116</v>
      </c>
      <c r="O43" s="1645"/>
      <c r="P43" s="245" t="b">
        <f t="shared" si="3"/>
        <v>0</v>
      </c>
      <c r="R43" s="245" t="b">
        <f t="shared" si="1"/>
        <v>0</v>
      </c>
      <c r="AO43" s="238" t="str">
        <f t="shared" si="2"/>
        <v>SG13</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494</v>
      </c>
      <c r="G44" s="1515">
        <v>23</v>
      </c>
      <c r="H44" s="1516">
        <v>10</v>
      </c>
      <c r="I44" s="1514"/>
      <c r="J44" s="1515"/>
      <c r="K44" s="1516"/>
      <c r="L44" s="1517" t="s">
        <v>703</v>
      </c>
      <c r="M44" s="1517" t="s">
        <v>1393</v>
      </c>
      <c r="N44" s="1689" t="s">
        <v>116</v>
      </c>
      <c r="O44" s="1645"/>
      <c r="P44" s="245" t="b">
        <f t="shared" si="3"/>
        <v>0</v>
      </c>
      <c r="R44" s="245" t="b">
        <f t="shared" si="1"/>
        <v>0</v>
      </c>
      <c r="AO44" s="238" t="str">
        <f t="shared" si="2"/>
        <v>SG13</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494</v>
      </c>
      <c r="G45" s="1515">
        <v>31</v>
      </c>
      <c r="H45" s="1516">
        <v>10</v>
      </c>
      <c r="I45" s="1514"/>
      <c r="J45" s="1515"/>
      <c r="K45" s="1516"/>
      <c r="L45" s="1517" t="s">
        <v>703</v>
      </c>
      <c r="M45" s="1517" t="s">
        <v>1393</v>
      </c>
      <c r="N45" s="1689" t="s">
        <v>116</v>
      </c>
      <c r="O45" s="1645"/>
      <c r="P45" s="245" t="b">
        <f t="shared" si="3"/>
        <v>0</v>
      </c>
      <c r="R45" s="245" t="b">
        <f t="shared" si="1"/>
        <v>0</v>
      </c>
      <c r="AO45" s="238" t="str">
        <f t="shared" si="2"/>
        <v>SG13</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494</v>
      </c>
      <c r="G46" s="1515">
        <v>39</v>
      </c>
      <c r="H46" s="1516">
        <v>10</v>
      </c>
      <c r="I46" s="1514"/>
      <c r="J46" s="1515"/>
      <c r="K46" s="1516"/>
      <c r="L46" s="1517" t="s">
        <v>703</v>
      </c>
      <c r="M46" s="1517" t="s">
        <v>1393</v>
      </c>
      <c r="N46" s="1689" t="s">
        <v>116</v>
      </c>
      <c r="O46" s="1645"/>
      <c r="P46" s="245" t="b">
        <f t="shared" si="3"/>
        <v>0</v>
      </c>
      <c r="R46" s="245" t="b">
        <f t="shared" si="1"/>
        <v>0</v>
      </c>
      <c r="AO46" s="238" t="str">
        <f t="shared" si="2"/>
        <v>SG13</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494</v>
      </c>
      <c r="G47" s="1515">
        <v>47</v>
      </c>
      <c r="H47" s="1516">
        <v>10</v>
      </c>
      <c r="I47" s="1514"/>
      <c r="J47" s="1515"/>
      <c r="K47" s="1516"/>
      <c r="L47" s="1517" t="s">
        <v>703</v>
      </c>
      <c r="M47" s="1517" t="s">
        <v>1393</v>
      </c>
      <c r="N47" s="1689" t="s">
        <v>116</v>
      </c>
      <c r="O47" s="1645"/>
      <c r="P47" s="245" t="b">
        <f t="shared" si="3"/>
        <v>0</v>
      </c>
      <c r="R47" s="245" t="b">
        <f t="shared" si="1"/>
        <v>0</v>
      </c>
      <c r="AO47" s="238" t="str">
        <f t="shared" si="2"/>
        <v>SG13</v>
      </c>
      <c r="AP47" s="945" t="b">
        <v>0</v>
      </c>
      <c r="AQ47" s="1323"/>
      <c r="AR47" s="1324"/>
      <c r="AS47" s="1324"/>
      <c r="AT47" s="1324"/>
      <c r="AU47" s="1324"/>
      <c r="AV47" s="1324"/>
      <c r="AW47" s="1324"/>
      <c r="AX47" s="1324"/>
      <c r="AY47" s="1324"/>
      <c r="AZ47" s="1324"/>
      <c r="BA47" s="1533"/>
      <c r="BB47" s="1533"/>
      <c r="BC47" s="1534"/>
    </row>
    <row r="48" spans="1:55" ht="14.1" customHeight="1" x14ac:dyDescent="0.2">
      <c r="A48" s="1511" t="s">
        <v>1965</v>
      </c>
      <c r="B48" s="1512" t="s">
        <v>155</v>
      </c>
      <c r="C48" s="1512" t="s">
        <v>165</v>
      </c>
      <c r="D48" s="1512" t="s">
        <v>145</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SG14</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155</v>
      </c>
      <c r="C49" s="1512" t="s">
        <v>165</v>
      </c>
      <c r="D49" s="1512" t="s">
        <v>159</v>
      </c>
      <c r="E49" s="1513"/>
      <c r="F49" s="1514">
        <v>250</v>
      </c>
      <c r="G49" s="1515"/>
      <c r="H49" s="1516"/>
      <c r="I49" s="1514"/>
      <c r="J49" s="1515"/>
      <c r="K49" s="1516"/>
      <c r="L49" s="1517" t="s">
        <v>116</v>
      </c>
      <c r="M49" s="1517" t="s">
        <v>1393</v>
      </c>
      <c r="N49" s="1689" t="s">
        <v>116</v>
      </c>
      <c r="O49" s="1645"/>
      <c r="P49" s="245" t="b">
        <f t="shared" si="3"/>
        <v>0</v>
      </c>
      <c r="R49" s="245" t="b">
        <f t="shared" si="1"/>
        <v>1</v>
      </c>
      <c r="AO49" s="238" t="str">
        <f t="shared" si="2"/>
        <v>SG14</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154</v>
      </c>
      <c r="C50" s="1512" t="s">
        <v>165</v>
      </c>
      <c r="D50" s="1512" t="s">
        <v>145</v>
      </c>
      <c r="E50" s="1513"/>
      <c r="F50" s="1514">
        <v>1500</v>
      </c>
      <c r="G50" s="1515"/>
      <c r="H50" s="1516"/>
      <c r="I50" s="1514"/>
      <c r="J50" s="1515"/>
      <c r="K50" s="1516"/>
      <c r="L50" s="1517" t="s">
        <v>116</v>
      </c>
      <c r="M50" s="1517" t="s">
        <v>1393</v>
      </c>
      <c r="N50" s="1689" t="s">
        <v>116</v>
      </c>
      <c r="O50" s="1645"/>
      <c r="P50" s="245" t="b">
        <f t="shared" si="3"/>
        <v>0</v>
      </c>
      <c r="R50" s="245" t="b">
        <f t="shared" si="1"/>
        <v>1</v>
      </c>
      <c r="AO50" s="238" t="str">
        <f t="shared" si="2"/>
        <v>SG14</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154</v>
      </c>
      <c r="C51" s="1512" t="s">
        <v>165</v>
      </c>
      <c r="D51" s="1512" t="s">
        <v>145</v>
      </c>
      <c r="E51" s="1513"/>
      <c r="F51" s="1514">
        <v>2220</v>
      </c>
      <c r="G51" s="1515"/>
      <c r="H51" s="1516"/>
      <c r="I51" s="1514"/>
      <c r="J51" s="1515"/>
      <c r="K51" s="1516"/>
      <c r="L51" s="1517" t="s">
        <v>116</v>
      </c>
      <c r="M51" s="1517" t="s">
        <v>1393</v>
      </c>
      <c r="N51" s="1689" t="s">
        <v>116</v>
      </c>
      <c r="O51" s="1645"/>
      <c r="P51" s="245" t="b">
        <f t="shared" si="3"/>
        <v>0</v>
      </c>
      <c r="R51" s="245" t="b">
        <f t="shared" si="1"/>
        <v>1</v>
      </c>
      <c r="AO51" s="238" t="str">
        <f t="shared" si="2"/>
        <v>SG14</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6500</v>
      </c>
      <c r="G52" s="1515">
        <v>3</v>
      </c>
      <c r="H52" s="1516">
        <v>10</v>
      </c>
      <c r="I52" s="1514"/>
      <c r="J52" s="1515"/>
      <c r="K52" s="1516"/>
      <c r="L52" s="1517" t="s">
        <v>703</v>
      </c>
      <c r="M52" s="1517" t="s">
        <v>1393</v>
      </c>
      <c r="N52" s="1689" t="s">
        <v>116</v>
      </c>
      <c r="O52" s="1645"/>
      <c r="P52" s="245" t="b">
        <f t="shared" si="3"/>
        <v>0</v>
      </c>
      <c r="R52" s="245" t="b">
        <f t="shared" si="1"/>
        <v>0</v>
      </c>
      <c r="AO52" s="238" t="str">
        <f t="shared" si="2"/>
        <v>SG14</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6500</v>
      </c>
      <c r="G53" s="1515">
        <v>11</v>
      </c>
      <c r="H53" s="1516">
        <v>10</v>
      </c>
      <c r="I53" s="1514"/>
      <c r="J53" s="1515"/>
      <c r="K53" s="1516"/>
      <c r="L53" s="1517" t="s">
        <v>703</v>
      </c>
      <c r="M53" s="1517" t="s">
        <v>1393</v>
      </c>
      <c r="N53" s="1689" t="s">
        <v>116</v>
      </c>
      <c r="O53" s="1645"/>
      <c r="P53" s="245" t="b">
        <f t="shared" si="3"/>
        <v>0</v>
      </c>
      <c r="R53" s="245" t="b">
        <f t="shared" si="1"/>
        <v>0</v>
      </c>
      <c r="AO53" s="238" t="str">
        <f t="shared" si="2"/>
        <v>SG14</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6500</v>
      </c>
      <c r="G54" s="1515">
        <v>19</v>
      </c>
      <c r="H54" s="1516">
        <v>10</v>
      </c>
      <c r="I54" s="1514"/>
      <c r="J54" s="1515"/>
      <c r="K54" s="1516"/>
      <c r="L54" s="1517" t="s">
        <v>703</v>
      </c>
      <c r="M54" s="1517" t="s">
        <v>1393</v>
      </c>
      <c r="N54" s="1689" t="s">
        <v>116</v>
      </c>
      <c r="O54" s="1645"/>
      <c r="P54" s="245" t="b">
        <f t="shared" si="3"/>
        <v>0</v>
      </c>
      <c r="R54" s="245" t="b">
        <f t="shared" si="1"/>
        <v>0</v>
      </c>
      <c r="AO54" s="238" t="str">
        <f t="shared" si="2"/>
        <v>SG14</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6500</v>
      </c>
      <c r="G55" s="1524">
        <v>27</v>
      </c>
      <c r="H55" s="1525">
        <v>10</v>
      </c>
      <c r="I55" s="1523"/>
      <c r="J55" s="1524"/>
      <c r="K55" s="1525"/>
      <c r="L55" s="1526" t="s">
        <v>703</v>
      </c>
      <c r="M55" s="1526" t="s">
        <v>1393</v>
      </c>
      <c r="N55" s="1690"/>
      <c r="O55" s="1645"/>
      <c r="P55" s="245" t="b">
        <f t="shared" si="3"/>
        <v>0</v>
      </c>
      <c r="R55" s="245" t="b">
        <f t="shared" si="1"/>
        <v>0</v>
      </c>
      <c r="AO55" s="238" t="str">
        <f t="shared" si="2"/>
        <v>SG14</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9" priority="4" stopIfTrue="1">
      <formula>AND($B14="NU",F14&lt;0)</formula>
    </cfRule>
  </conditionalFormatting>
  <conditionalFormatting sqref="B14:B55">
    <cfRule type="expression" dxfId="298" priority="5" stopIfTrue="1">
      <formula>OR(AND($B14="NU",F14&lt;0),AND($B14="NU",I14&lt;0))</formula>
    </cfRule>
  </conditionalFormatting>
  <conditionalFormatting sqref="G14:H55 J14:L55">
    <cfRule type="expression" dxfId="297" priority="6" stopIfTrue="1">
      <formula>$R14</formula>
    </cfRule>
  </conditionalFormatting>
  <conditionalFormatting sqref="I2:K4">
    <cfRule type="cellIs" dxfId="296" priority="7" stopIfTrue="1" operator="equal">
      <formula>""</formula>
    </cfRule>
  </conditionalFormatting>
  <conditionalFormatting sqref="I14:I55">
    <cfRule type="expression" dxfId="295" priority="8" stopIfTrue="1">
      <formula>OR($R14,$B14="CZ",AND($B14="NU",I14&lt;0))</formula>
    </cfRule>
  </conditionalFormatting>
  <conditionalFormatting sqref="A14:A55">
    <cfRule type="expression" dxfId="294" priority="3">
      <formula>NOT($P14)</formula>
    </cfRule>
  </conditionalFormatting>
  <conditionalFormatting sqref="B14:D55">
    <cfRule type="expression" dxfId="29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92" priority="9">
      <formula>AND(NOT($P14),$T$1)</formula>
    </cfRule>
    <cfRule type="expression" dxfId="291" priority="10">
      <formula>AND($AP14,$S$1="M")</formula>
    </cfRule>
  </conditionalFormatting>
  <conditionalFormatting sqref="L14:L55">
    <cfRule type="expression" dxfId="29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35F5E0D7-E39F-4C67-A565-CD2D65A5BA8D}">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F934BB0-44E4-40A3-935E-85683CB7B8FF}">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83ABD9CB-84BA-42AE-B545-51081203530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29D0D3-C87C-4CB3-A5C3-987D91284E51}">
      <formula1>IF($CA$14,$CA$16:$CA$21,$CB$16:$CB$19)</formula1>
    </dataValidation>
    <dataValidation type="list" allowBlank="1" showErrorMessage="1" errorTitle="Invalid Type" error="You MUST select a Type from the dropdown list provided._x000a__x000a_Also, make sure your Cap Lock is turned on." sqref="B14:B55" xr:uid="{A0B75CF5-1E64-491B-860D-BE06489063CE}">
      <formula1>$BF$15:$BU$15</formula1>
    </dataValidation>
    <dataValidation allowBlank="1" showInputMessage="1" errorTitle="Invalid Load Case" error="You MUST use a Load Case from the list provided." sqref="M14:M55" xr:uid="{94AE0279-4E71-489E-BA4A-41425816543A}"/>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B1A19-43D6-4036-8BAE-8B58F2ACAFCE}">
  <sheetPr codeName="Sheet4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6500</v>
      </c>
      <c r="G14" s="1507">
        <v>35</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6500</v>
      </c>
      <c r="G15" s="1515">
        <v>43</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494</v>
      </c>
      <c r="G16" s="1515">
        <v>3</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494</v>
      </c>
      <c r="G17" s="1515">
        <v>11</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494</v>
      </c>
      <c r="G18" s="1515">
        <v>19</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494</v>
      </c>
      <c r="G19" s="1515">
        <v>27</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494</v>
      </c>
      <c r="G20" s="1515">
        <v>35</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494</v>
      </c>
      <c r="G21" s="1515">
        <v>43</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t="s">
        <v>1966</v>
      </c>
      <c r="B22" s="1512" t="s">
        <v>155</v>
      </c>
      <c r="C22" s="1512" t="s">
        <v>165</v>
      </c>
      <c r="D22" s="1512" t="s">
        <v>145</v>
      </c>
      <c r="E22" s="1513"/>
      <c r="F22" s="1514">
        <v>250</v>
      </c>
      <c r="G22" s="1515"/>
      <c r="H22" s="1516"/>
      <c r="I22" s="1514"/>
      <c r="J22" s="1515"/>
      <c r="K22" s="1516"/>
      <c r="L22" s="1517" t="s">
        <v>116</v>
      </c>
      <c r="M22" s="1518" t="s">
        <v>1393</v>
      </c>
      <c r="N22" s="1519"/>
      <c r="O22" s="1646"/>
      <c r="P22" s="245" t="b">
        <f t="shared" si="3"/>
        <v>0</v>
      </c>
      <c r="R22" s="245" t="b">
        <f t="shared" si="1"/>
        <v>1</v>
      </c>
      <c r="AO22" s="238" t="str">
        <f t="shared" si="2"/>
        <v>SG15</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155</v>
      </c>
      <c r="C23" s="1512" t="s">
        <v>165</v>
      </c>
      <c r="D23" s="1512" t="s">
        <v>159</v>
      </c>
      <c r="E23" s="1513"/>
      <c r="F23" s="1514">
        <v>250</v>
      </c>
      <c r="G23" s="1515"/>
      <c r="H23" s="1516"/>
      <c r="I23" s="1514"/>
      <c r="J23" s="1515"/>
      <c r="K23" s="1516"/>
      <c r="L23" s="1517" t="s">
        <v>116</v>
      </c>
      <c r="M23" s="1518" t="s">
        <v>1393</v>
      </c>
      <c r="N23" s="1519"/>
      <c r="O23" s="1646"/>
      <c r="P23" s="245" t="b">
        <f t="shared" si="3"/>
        <v>0</v>
      </c>
      <c r="R23" s="245" t="b">
        <f t="shared" si="1"/>
        <v>1</v>
      </c>
      <c r="AO23" s="238" t="str">
        <f t="shared" si="2"/>
        <v>SG15</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154</v>
      </c>
      <c r="C24" s="1512" t="s">
        <v>165</v>
      </c>
      <c r="D24" s="1512" t="s">
        <v>145</v>
      </c>
      <c r="E24" s="1513"/>
      <c r="F24" s="1514">
        <v>1500</v>
      </c>
      <c r="G24" s="1515"/>
      <c r="H24" s="1516"/>
      <c r="I24" s="1514"/>
      <c r="J24" s="1515"/>
      <c r="K24" s="1516"/>
      <c r="L24" s="1517" t="s">
        <v>116</v>
      </c>
      <c r="M24" s="1518" t="s">
        <v>1393</v>
      </c>
      <c r="N24" s="1519"/>
      <c r="O24" s="1646"/>
      <c r="P24" s="245" t="b">
        <f t="shared" si="3"/>
        <v>0</v>
      </c>
      <c r="R24" s="245" t="b">
        <f t="shared" si="1"/>
        <v>1</v>
      </c>
      <c r="AO24" s="238" t="str">
        <f t="shared" si="2"/>
        <v>SG15</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154</v>
      </c>
      <c r="C25" s="1512" t="s">
        <v>165</v>
      </c>
      <c r="D25" s="1512" t="s">
        <v>145</v>
      </c>
      <c r="E25" s="1513"/>
      <c r="F25" s="1514">
        <v>720</v>
      </c>
      <c r="G25" s="1515"/>
      <c r="H25" s="1516"/>
      <c r="I25" s="1514"/>
      <c r="J25" s="1515"/>
      <c r="K25" s="1516"/>
      <c r="L25" s="1517" t="s">
        <v>116</v>
      </c>
      <c r="M25" s="1518" t="s">
        <v>1393</v>
      </c>
      <c r="N25" s="1519"/>
      <c r="O25" s="1646"/>
      <c r="P25" s="245" t="b">
        <f t="shared" si="3"/>
        <v>0</v>
      </c>
      <c r="R25" s="245" t="b">
        <f t="shared" si="1"/>
        <v>1</v>
      </c>
      <c r="AO25" s="238" t="str">
        <f t="shared" si="2"/>
        <v>SG15</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6500</v>
      </c>
      <c r="G26" s="1515">
        <v>3</v>
      </c>
      <c r="H26" s="1516">
        <v>10</v>
      </c>
      <c r="I26" s="1514"/>
      <c r="J26" s="1515"/>
      <c r="K26" s="1516"/>
      <c r="L26" s="1517" t="s">
        <v>703</v>
      </c>
      <c r="M26" s="1518" t="s">
        <v>1393</v>
      </c>
      <c r="N26" s="1519"/>
      <c r="O26" s="1646"/>
      <c r="P26" s="245" t="b">
        <f t="shared" si="3"/>
        <v>0</v>
      </c>
      <c r="R26" s="245" t="b">
        <f t="shared" si="1"/>
        <v>0</v>
      </c>
      <c r="AO26" s="238" t="str">
        <f t="shared" si="2"/>
        <v>SG15</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6500</v>
      </c>
      <c r="G27" s="1515">
        <v>11</v>
      </c>
      <c r="H27" s="1516">
        <v>10</v>
      </c>
      <c r="I27" s="1514"/>
      <c r="J27" s="1515"/>
      <c r="K27" s="1516"/>
      <c r="L27" s="1517" t="s">
        <v>703</v>
      </c>
      <c r="M27" s="1518" t="s">
        <v>1393</v>
      </c>
      <c r="N27" s="1519"/>
      <c r="O27" s="1646"/>
      <c r="P27" s="245" t="b">
        <f t="shared" si="3"/>
        <v>0</v>
      </c>
      <c r="R27" s="245" t="b">
        <f t="shared" si="1"/>
        <v>0</v>
      </c>
      <c r="AO27" s="238" t="str">
        <f t="shared" si="2"/>
        <v>SG15</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6500</v>
      </c>
      <c r="G28" s="1515">
        <v>19</v>
      </c>
      <c r="H28" s="1516">
        <v>10</v>
      </c>
      <c r="I28" s="1514"/>
      <c r="J28" s="1515"/>
      <c r="K28" s="1516"/>
      <c r="L28" s="1517" t="s">
        <v>703</v>
      </c>
      <c r="M28" s="1518" t="s">
        <v>1393</v>
      </c>
      <c r="N28" s="1689"/>
      <c r="O28" s="1645"/>
      <c r="P28" s="245" t="b">
        <f t="shared" si="3"/>
        <v>0</v>
      </c>
      <c r="R28" s="245" t="b">
        <f t="shared" si="1"/>
        <v>0</v>
      </c>
      <c r="AO28" s="238" t="str">
        <f t="shared" si="2"/>
        <v>SG15</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6500</v>
      </c>
      <c r="G29" s="1515">
        <v>27</v>
      </c>
      <c r="H29" s="1516">
        <v>10</v>
      </c>
      <c r="I29" s="1514"/>
      <c r="J29" s="1515"/>
      <c r="K29" s="1516"/>
      <c r="L29" s="1517" t="s">
        <v>703</v>
      </c>
      <c r="M29" s="1518" t="s">
        <v>1393</v>
      </c>
      <c r="N29" s="1689"/>
      <c r="O29" s="1645"/>
      <c r="P29" s="245" t="b">
        <f t="shared" si="3"/>
        <v>0</v>
      </c>
      <c r="R29" s="245" t="b">
        <f t="shared" si="1"/>
        <v>0</v>
      </c>
      <c r="AO29" s="238" t="str">
        <f t="shared" si="2"/>
        <v>SG15</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6500</v>
      </c>
      <c r="G30" s="1515">
        <v>35</v>
      </c>
      <c r="H30" s="1516">
        <v>10</v>
      </c>
      <c r="I30" s="1514"/>
      <c r="J30" s="1515"/>
      <c r="K30" s="1516"/>
      <c r="L30" s="1517" t="s">
        <v>703</v>
      </c>
      <c r="M30" s="1518" t="s">
        <v>1393</v>
      </c>
      <c r="N30" s="1689" t="s">
        <v>116</v>
      </c>
      <c r="O30" s="1645"/>
      <c r="P30" s="245" t="b">
        <f t="shared" si="3"/>
        <v>0</v>
      </c>
      <c r="R30" s="245" t="b">
        <f t="shared" si="1"/>
        <v>0</v>
      </c>
      <c r="AO30" s="238" t="str">
        <f t="shared" si="2"/>
        <v>SG15</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6500</v>
      </c>
      <c r="G31" s="1515">
        <v>43</v>
      </c>
      <c r="H31" s="1516">
        <v>10</v>
      </c>
      <c r="I31" s="1514"/>
      <c r="J31" s="1515"/>
      <c r="K31" s="1516"/>
      <c r="L31" s="1517" t="s">
        <v>703</v>
      </c>
      <c r="M31" s="1517" t="s">
        <v>1393</v>
      </c>
      <c r="N31" s="1689" t="s">
        <v>116</v>
      </c>
      <c r="O31" s="1645"/>
      <c r="P31" s="245" t="b">
        <f t="shared" si="3"/>
        <v>0</v>
      </c>
      <c r="R31" s="245" t="b">
        <f t="shared" si="1"/>
        <v>0</v>
      </c>
      <c r="AO31" s="238" t="str">
        <f t="shared" si="2"/>
        <v>SG15</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494</v>
      </c>
      <c r="G32" s="1515">
        <v>3</v>
      </c>
      <c r="H32" s="1516">
        <v>10</v>
      </c>
      <c r="I32" s="1514"/>
      <c r="J32" s="1515"/>
      <c r="K32" s="1516"/>
      <c r="L32" s="1517" t="s">
        <v>703</v>
      </c>
      <c r="M32" s="1517" t="s">
        <v>1393</v>
      </c>
      <c r="N32" s="1689" t="s">
        <v>116</v>
      </c>
      <c r="O32" s="1645"/>
      <c r="P32" s="245" t="b">
        <f t="shared" si="3"/>
        <v>0</v>
      </c>
      <c r="R32" s="245" t="b">
        <f t="shared" si="1"/>
        <v>0</v>
      </c>
      <c r="AO32" s="238" t="str">
        <f t="shared" si="2"/>
        <v>SG15</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494</v>
      </c>
      <c r="G33" s="1515">
        <v>11</v>
      </c>
      <c r="H33" s="1516">
        <v>10</v>
      </c>
      <c r="I33" s="1514"/>
      <c r="J33" s="1515"/>
      <c r="K33" s="1516"/>
      <c r="L33" s="1517" t="s">
        <v>703</v>
      </c>
      <c r="M33" s="1517" t="s">
        <v>1393</v>
      </c>
      <c r="N33" s="1689" t="s">
        <v>116</v>
      </c>
      <c r="O33" s="1645"/>
      <c r="P33" s="245" t="b">
        <f t="shared" si="3"/>
        <v>0</v>
      </c>
      <c r="R33" s="245" t="b">
        <f t="shared" si="1"/>
        <v>0</v>
      </c>
      <c r="AO33" s="238" t="str">
        <f t="shared" si="2"/>
        <v>SG15</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494</v>
      </c>
      <c r="G34" s="1515">
        <v>19</v>
      </c>
      <c r="H34" s="1516">
        <v>10</v>
      </c>
      <c r="I34" s="1514"/>
      <c r="J34" s="1515"/>
      <c r="K34" s="1516"/>
      <c r="L34" s="1517" t="s">
        <v>703</v>
      </c>
      <c r="M34" s="1517" t="s">
        <v>1393</v>
      </c>
      <c r="N34" s="1689" t="s">
        <v>116</v>
      </c>
      <c r="O34" s="1645"/>
      <c r="P34" s="245" t="b">
        <f t="shared" si="3"/>
        <v>0</v>
      </c>
      <c r="R34" s="245" t="b">
        <f t="shared" si="1"/>
        <v>0</v>
      </c>
      <c r="AO34" s="238" t="str">
        <f t="shared" si="2"/>
        <v>SG15</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494</v>
      </c>
      <c r="G35" s="1515">
        <v>27</v>
      </c>
      <c r="H35" s="1516">
        <v>10</v>
      </c>
      <c r="I35" s="1514"/>
      <c r="J35" s="1515"/>
      <c r="K35" s="1516"/>
      <c r="L35" s="1517" t="s">
        <v>703</v>
      </c>
      <c r="M35" s="1517" t="s">
        <v>1393</v>
      </c>
      <c r="N35" s="1689" t="s">
        <v>116</v>
      </c>
      <c r="O35" s="1645"/>
      <c r="P35" s="245" t="b">
        <f t="shared" si="3"/>
        <v>0</v>
      </c>
      <c r="R35" s="245" t="b">
        <f t="shared" si="1"/>
        <v>0</v>
      </c>
      <c r="AO35" s="238" t="str">
        <f t="shared" si="2"/>
        <v>SG15</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494</v>
      </c>
      <c r="G36" s="1515">
        <v>35</v>
      </c>
      <c r="H36" s="1516">
        <v>10</v>
      </c>
      <c r="I36" s="1514"/>
      <c r="J36" s="1515"/>
      <c r="K36" s="1516"/>
      <c r="L36" s="1517" t="s">
        <v>703</v>
      </c>
      <c r="M36" s="1517" t="s">
        <v>1393</v>
      </c>
      <c r="N36" s="1689" t="s">
        <v>116</v>
      </c>
      <c r="O36" s="1645"/>
      <c r="P36" s="245" t="b">
        <f t="shared" si="3"/>
        <v>0</v>
      </c>
      <c r="R36" s="245" t="b">
        <f t="shared" si="1"/>
        <v>0</v>
      </c>
      <c r="AO36" s="238" t="str">
        <f t="shared" si="2"/>
        <v>SG15</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494</v>
      </c>
      <c r="G37" s="1515">
        <v>43</v>
      </c>
      <c r="H37" s="1516">
        <v>10</v>
      </c>
      <c r="I37" s="1514"/>
      <c r="J37" s="1515"/>
      <c r="K37" s="1516"/>
      <c r="L37" s="1517" t="s">
        <v>703</v>
      </c>
      <c r="M37" s="1517" t="s">
        <v>1393</v>
      </c>
      <c r="N37" s="1689" t="s">
        <v>116</v>
      </c>
      <c r="O37" s="1645"/>
      <c r="P37" s="245" t="b">
        <f t="shared" si="3"/>
        <v>0</v>
      </c>
      <c r="R37" s="245" t="b">
        <f t="shared" si="1"/>
        <v>0</v>
      </c>
      <c r="AO37" s="238" t="str">
        <f t="shared" si="2"/>
        <v>SG15</v>
      </c>
      <c r="AP37" s="945" t="b">
        <v>0</v>
      </c>
      <c r="AQ37" s="1323"/>
      <c r="AR37" s="1324"/>
      <c r="AS37" s="1324"/>
      <c r="AT37" s="1324"/>
      <c r="AU37" s="1324"/>
      <c r="AV37" s="1324"/>
      <c r="AW37" s="1324"/>
      <c r="AX37" s="1324"/>
      <c r="AY37" s="1324"/>
      <c r="AZ37" s="1324"/>
      <c r="BA37" s="1533"/>
      <c r="BB37" s="1533"/>
      <c r="BC37" s="1534"/>
    </row>
    <row r="38" spans="1:55" ht="14.1" customHeight="1" x14ac:dyDescent="0.2">
      <c r="A38" s="1511" t="s">
        <v>1967</v>
      </c>
      <c r="B38" s="1512" t="s">
        <v>155</v>
      </c>
      <c r="C38" s="1512" t="s">
        <v>165</v>
      </c>
      <c r="D38" s="1512" t="s">
        <v>145</v>
      </c>
      <c r="E38" s="1513"/>
      <c r="F38" s="1514">
        <v>250</v>
      </c>
      <c r="G38" s="1515"/>
      <c r="H38" s="1516"/>
      <c r="I38" s="1514"/>
      <c r="J38" s="1515"/>
      <c r="K38" s="1516"/>
      <c r="L38" s="1517" t="s">
        <v>116</v>
      </c>
      <c r="M38" s="1517" t="s">
        <v>1393</v>
      </c>
      <c r="N38" s="1689" t="s">
        <v>116</v>
      </c>
      <c r="O38" s="1645"/>
      <c r="P38" s="245" t="b">
        <f t="shared" si="3"/>
        <v>0</v>
      </c>
      <c r="R38" s="245" t="b">
        <f t="shared" si="1"/>
        <v>1</v>
      </c>
      <c r="AO38" s="238" t="str">
        <f t="shared" si="2"/>
        <v>SG16</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155</v>
      </c>
      <c r="C39" s="1512" t="s">
        <v>165</v>
      </c>
      <c r="D39" s="1512" t="s">
        <v>159</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SG16</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154</v>
      </c>
      <c r="C40" s="1512" t="s">
        <v>165</v>
      </c>
      <c r="D40" s="1512" t="s">
        <v>145</v>
      </c>
      <c r="E40" s="1513"/>
      <c r="F40" s="1514">
        <v>1500</v>
      </c>
      <c r="G40" s="1515"/>
      <c r="H40" s="1516"/>
      <c r="I40" s="1514"/>
      <c r="J40" s="1515"/>
      <c r="K40" s="1516"/>
      <c r="L40" s="1517" t="s">
        <v>116</v>
      </c>
      <c r="M40" s="1517" t="s">
        <v>1393</v>
      </c>
      <c r="N40" s="1689" t="s">
        <v>116</v>
      </c>
      <c r="O40" s="1645"/>
      <c r="P40" s="245" t="b">
        <f t="shared" si="3"/>
        <v>0</v>
      </c>
      <c r="R40" s="245" t="b">
        <f t="shared" si="1"/>
        <v>1</v>
      </c>
      <c r="AO40" s="238" t="str">
        <f t="shared" si="2"/>
        <v>SG16</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720</v>
      </c>
      <c r="G41" s="1515"/>
      <c r="H41" s="1516"/>
      <c r="I41" s="1514"/>
      <c r="J41" s="1515"/>
      <c r="K41" s="1516"/>
      <c r="L41" s="1517" t="s">
        <v>116</v>
      </c>
      <c r="M41" s="1517" t="s">
        <v>1393</v>
      </c>
      <c r="N41" s="1689" t="s">
        <v>116</v>
      </c>
      <c r="O41" s="1645"/>
      <c r="P41" s="245" t="b">
        <f t="shared" si="3"/>
        <v>0</v>
      </c>
      <c r="R41" s="245" t="b">
        <f t="shared" si="1"/>
        <v>1</v>
      </c>
      <c r="AO41" s="238" t="str">
        <f t="shared" si="2"/>
        <v>SG16</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151</v>
      </c>
      <c r="C42" s="1512" t="s">
        <v>165</v>
      </c>
      <c r="D42" s="1512" t="s">
        <v>145</v>
      </c>
      <c r="E42" s="1513"/>
      <c r="F42" s="1514">
        <v>12</v>
      </c>
      <c r="G42" s="1515"/>
      <c r="H42" s="1516"/>
      <c r="I42" s="1514"/>
      <c r="J42" s="1515"/>
      <c r="K42" s="1516"/>
      <c r="L42" s="1517" t="s">
        <v>116</v>
      </c>
      <c r="M42" s="1517" t="s">
        <v>1393</v>
      </c>
      <c r="N42" s="1689" t="s">
        <v>116</v>
      </c>
      <c r="O42" s="1645"/>
      <c r="P42" s="245" t="b">
        <f t="shared" si="3"/>
        <v>0</v>
      </c>
      <c r="R42" s="245" t="b">
        <f t="shared" si="1"/>
        <v>0</v>
      </c>
      <c r="AO42" s="238" t="str">
        <f t="shared" si="2"/>
        <v>SG16</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6000</v>
      </c>
      <c r="G43" s="1515">
        <v>7</v>
      </c>
      <c r="H43" s="1516">
        <v>2</v>
      </c>
      <c r="I43" s="1514"/>
      <c r="J43" s="1515"/>
      <c r="K43" s="1516"/>
      <c r="L43" s="1517" t="s">
        <v>703</v>
      </c>
      <c r="M43" s="1517" t="s">
        <v>1393</v>
      </c>
      <c r="N43" s="1689" t="s">
        <v>116</v>
      </c>
      <c r="O43" s="1645"/>
      <c r="P43" s="245" t="b">
        <f t="shared" si="3"/>
        <v>0</v>
      </c>
      <c r="R43" s="245" t="b">
        <f t="shared" si="1"/>
        <v>0</v>
      </c>
      <c r="AO43" s="238" t="str">
        <f t="shared" si="2"/>
        <v>SG16</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6000</v>
      </c>
      <c r="G44" s="1515">
        <v>15</v>
      </c>
      <c r="H44" s="1516">
        <v>2</v>
      </c>
      <c r="I44" s="1514"/>
      <c r="J44" s="1515"/>
      <c r="K44" s="1516"/>
      <c r="L44" s="1517" t="s">
        <v>703</v>
      </c>
      <c r="M44" s="1517" t="s">
        <v>1393</v>
      </c>
      <c r="N44" s="1689" t="s">
        <v>116</v>
      </c>
      <c r="O44" s="1645"/>
      <c r="P44" s="245" t="b">
        <f t="shared" si="3"/>
        <v>0</v>
      </c>
      <c r="R44" s="245" t="b">
        <f t="shared" si="1"/>
        <v>0</v>
      </c>
      <c r="AO44" s="238" t="str">
        <f t="shared" si="2"/>
        <v>SG16</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6000</v>
      </c>
      <c r="G45" s="1515">
        <v>23</v>
      </c>
      <c r="H45" s="1516">
        <v>2</v>
      </c>
      <c r="I45" s="1514"/>
      <c r="J45" s="1515"/>
      <c r="K45" s="1516"/>
      <c r="L45" s="1517" t="s">
        <v>703</v>
      </c>
      <c r="M45" s="1517" t="s">
        <v>1393</v>
      </c>
      <c r="N45" s="1689" t="s">
        <v>116</v>
      </c>
      <c r="O45" s="1645"/>
      <c r="P45" s="245" t="b">
        <f t="shared" si="3"/>
        <v>0</v>
      </c>
      <c r="R45" s="245" t="b">
        <f t="shared" si="1"/>
        <v>0</v>
      </c>
      <c r="AO45" s="238" t="str">
        <f t="shared" si="2"/>
        <v>SG16</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6000</v>
      </c>
      <c r="G46" s="1515">
        <v>31</v>
      </c>
      <c r="H46" s="1516">
        <v>2</v>
      </c>
      <c r="I46" s="1514"/>
      <c r="J46" s="1515"/>
      <c r="K46" s="1516"/>
      <c r="L46" s="1517" t="s">
        <v>703</v>
      </c>
      <c r="M46" s="1517" t="s">
        <v>1393</v>
      </c>
      <c r="N46" s="1689" t="s">
        <v>116</v>
      </c>
      <c r="O46" s="1645"/>
      <c r="P46" s="245" t="b">
        <f t="shared" si="3"/>
        <v>0</v>
      </c>
      <c r="R46" s="245" t="b">
        <f t="shared" si="1"/>
        <v>0</v>
      </c>
      <c r="AO46" s="238" t="str">
        <f t="shared" si="2"/>
        <v>SG16</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6000</v>
      </c>
      <c r="G47" s="1515">
        <v>39</v>
      </c>
      <c r="H47" s="1516">
        <v>2</v>
      </c>
      <c r="I47" s="1514"/>
      <c r="J47" s="1515"/>
      <c r="K47" s="1516"/>
      <c r="L47" s="1517" t="s">
        <v>703</v>
      </c>
      <c r="M47" s="1517" t="s">
        <v>1393</v>
      </c>
      <c r="N47" s="1689" t="s">
        <v>116</v>
      </c>
      <c r="O47" s="1645"/>
      <c r="P47" s="245" t="b">
        <f t="shared" si="3"/>
        <v>0</v>
      </c>
      <c r="R47" s="245" t="b">
        <f t="shared" si="1"/>
        <v>0</v>
      </c>
      <c r="AO47" s="238" t="str">
        <f t="shared" si="2"/>
        <v>SG16</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6000</v>
      </c>
      <c r="G48" s="1515">
        <v>47</v>
      </c>
      <c r="H48" s="1516">
        <v>2</v>
      </c>
      <c r="I48" s="1514"/>
      <c r="J48" s="1515"/>
      <c r="K48" s="1516"/>
      <c r="L48" s="1517" t="s">
        <v>703</v>
      </c>
      <c r="M48" s="1517" t="s">
        <v>1393</v>
      </c>
      <c r="N48" s="1689" t="s">
        <v>116</v>
      </c>
      <c r="O48" s="1645"/>
      <c r="P48" s="245" t="b">
        <f t="shared" si="3"/>
        <v>0</v>
      </c>
      <c r="R48" s="245" t="b">
        <f t="shared" si="1"/>
        <v>0</v>
      </c>
      <c r="AO48" s="238" t="str">
        <f t="shared" si="2"/>
        <v>SG16</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456</v>
      </c>
      <c r="G49" s="1515">
        <v>7</v>
      </c>
      <c r="H49" s="1516">
        <v>2</v>
      </c>
      <c r="I49" s="1514"/>
      <c r="J49" s="1515"/>
      <c r="K49" s="1516"/>
      <c r="L49" s="1517" t="s">
        <v>703</v>
      </c>
      <c r="M49" s="1517" t="s">
        <v>1393</v>
      </c>
      <c r="N49" s="1689" t="s">
        <v>116</v>
      </c>
      <c r="O49" s="1645"/>
      <c r="P49" s="245" t="b">
        <f t="shared" si="3"/>
        <v>0</v>
      </c>
      <c r="R49" s="245" t="b">
        <f t="shared" si="1"/>
        <v>0</v>
      </c>
      <c r="AO49" s="238" t="str">
        <f t="shared" si="2"/>
        <v>SG16</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456</v>
      </c>
      <c r="G50" s="1515">
        <v>15</v>
      </c>
      <c r="H50" s="1516">
        <v>2</v>
      </c>
      <c r="I50" s="1514"/>
      <c r="J50" s="1515"/>
      <c r="K50" s="1516"/>
      <c r="L50" s="1517" t="s">
        <v>703</v>
      </c>
      <c r="M50" s="1517" t="s">
        <v>1393</v>
      </c>
      <c r="N50" s="1689" t="s">
        <v>116</v>
      </c>
      <c r="O50" s="1645"/>
      <c r="P50" s="245" t="b">
        <f t="shared" si="3"/>
        <v>0</v>
      </c>
      <c r="R50" s="245" t="b">
        <f t="shared" si="1"/>
        <v>0</v>
      </c>
      <c r="AO50" s="238" t="str">
        <f t="shared" si="2"/>
        <v>SG16</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456</v>
      </c>
      <c r="G51" s="1515">
        <v>23</v>
      </c>
      <c r="H51" s="1516">
        <v>2</v>
      </c>
      <c r="I51" s="1514"/>
      <c r="J51" s="1515"/>
      <c r="K51" s="1516"/>
      <c r="L51" s="1517" t="s">
        <v>703</v>
      </c>
      <c r="M51" s="1517" t="s">
        <v>1393</v>
      </c>
      <c r="N51" s="1689" t="s">
        <v>116</v>
      </c>
      <c r="O51" s="1645"/>
      <c r="P51" s="245" t="b">
        <f t="shared" si="3"/>
        <v>0</v>
      </c>
      <c r="R51" s="245" t="b">
        <f t="shared" si="1"/>
        <v>0</v>
      </c>
      <c r="AO51" s="238" t="str">
        <f t="shared" si="2"/>
        <v>SG16</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456</v>
      </c>
      <c r="G52" s="1515">
        <v>31</v>
      </c>
      <c r="H52" s="1516">
        <v>2</v>
      </c>
      <c r="I52" s="1514"/>
      <c r="J52" s="1515"/>
      <c r="K52" s="1516"/>
      <c r="L52" s="1517" t="s">
        <v>703</v>
      </c>
      <c r="M52" s="1517" t="s">
        <v>1393</v>
      </c>
      <c r="N52" s="1689" t="s">
        <v>116</v>
      </c>
      <c r="O52" s="1645"/>
      <c r="P52" s="245" t="b">
        <f t="shared" si="3"/>
        <v>0</v>
      </c>
      <c r="R52" s="245" t="b">
        <f t="shared" si="1"/>
        <v>0</v>
      </c>
      <c r="AO52" s="238" t="str">
        <f t="shared" si="2"/>
        <v>SG16</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456</v>
      </c>
      <c r="G53" s="1515">
        <v>39</v>
      </c>
      <c r="H53" s="1516">
        <v>2</v>
      </c>
      <c r="I53" s="1514"/>
      <c r="J53" s="1515"/>
      <c r="K53" s="1516"/>
      <c r="L53" s="1517" t="s">
        <v>703</v>
      </c>
      <c r="M53" s="1517" t="s">
        <v>1393</v>
      </c>
      <c r="N53" s="1689" t="s">
        <v>116</v>
      </c>
      <c r="O53" s="1645"/>
      <c r="P53" s="245" t="b">
        <f t="shared" si="3"/>
        <v>0</v>
      </c>
      <c r="R53" s="245" t="b">
        <f t="shared" si="1"/>
        <v>0</v>
      </c>
      <c r="AO53" s="238" t="str">
        <f t="shared" si="2"/>
        <v>SG16</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456</v>
      </c>
      <c r="G54" s="1515">
        <v>47</v>
      </c>
      <c r="H54" s="1516">
        <v>2</v>
      </c>
      <c r="I54" s="1514"/>
      <c r="J54" s="1515"/>
      <c r="K54" s="1516"/>
      <c r="L54" s="1517" t="s">
        <v>703</v>
      </c>
      <c r="M54" s="1517" t="s">
        <v>1393</v>
      </c>
      <c r="N54" s="1689" t="s">
        <v>116</v>
      </c>
      <c r="O54" s="1645"/>
      <c r="P54" s="245" t="b">
        <f t="shared" si="3"/>
        <v>0</v>
      </c>
      <c r="R54" s="245" t="b">
        <f t="shared" si="1"/>
        <v>0</v>
      </c>
      <c r="AO54" s="238" t="str">
        <f t="shared" si="2"/>
        <v>SG16</v>
      </c>
      <c r="AP54" s="945" t="b">
        <v>0</v>
      </c>
      <c r="AQ54" s="1323"/>
      <c r="AR54" s="1324"/>
      <c r="AS54" s="1324"/>
      <c r="AT54" s="1324"/>
      <c r="AU54" s="1324"/>
      <c r="AV54" s="1324"/>
      <c r="AW54" s="1324"/>
      <c r="AX54" s="1324"/>
      <c r="AY54" s="1324"/>
      <c r="AZ54" s="1324"/>
      <c r="BA54" s="1533"/>
      <c r="BB54" s="1533"/>
      <c r="BC54" s="1534"/>
    </row>
    <row r="55" spans="1:55" ht="14.1" customHeight="1" x14ac:dyDescent="0.2">
      <c r="A55" s="1520" t="s">
        <v>1968</v>
      </c>
      <c r="B55" s="1521" t="s">
        <v>155</v>
      </c>
      <c r="C55" s="1521" t="s">
        <v>165</v>
      </c>
      <c r="D55" s="1521" t="s">
        <v>145</v>
      </c>
      <c r="E55" s="1522"/>
      <c r="F55" s="1523">
        <v>250</v>
      </c>
      <c r="G55" s="1524"/>
      <c r="H55" s="1525"/>
      <c r="I55" s="1523"/>
      <c r="J55" s="1524"/>
      <c r="K55" s="1525"/>
      <c r="L55" s="1526" t="s">
        <v>116</v>
      </c>
      <c r="M55" s="1526" t="s">
        <v>1393</v>
      </c>
      <c r="N55" s="1690"/>
      <c r="O55" s="1645"/>
      <c r="P55" s="245" t="b">
        <f t="shared" si="3"/>
        <v>0</v>
      </c>
      <c r="R55" s="245" t="b">
        <f t="shared" si="1"/>
        <v>1</v>
      </c>
      <c r="AO55" s="238" t="str">
        <f t="shared" si="2"/>
        <v>SG17</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89" priority="4" stopIfTrue="1">
      <formula>AND($B14="NU",F14&lt;0)</formula>
    </cfRule>
  </conditionalFormatting>
  <conditionalFormatting sqref="B14:B55">
    <cfRule type="expression" dxfId="288" priority="5" stopIfTrue="1">
      <formula>OR(AND($B14="NU",F14&lt;0),AND($B14="NU",I14&lt;0))</formula>
    </cfRule>
  </conditionalFormatting>
  <conditionalFormatting sqref="G14:H55 J14:L55">
    <cfRule type="expression" dxfId="287" priority="6" stopIfTrue="1">
      <formula>$R14</formula>
    </cfRule>
  </conditionalFormatting>
  <conditionalFormatting sqref="I2:K4">
    <cfRule type="cellIs" dxfId="286" priority="7" stopIfTrue="1" operator="equal">
      <formula>""</formula>
    </cfRule>
  </conditionalFormatting>
  <conditionalFormatting sqref="I14:I55">
    <cfRule type="expression" dxfId="285" priority="8" stopIfTrue="1">
      <formula>OR($R14,$B14="CZ",AND($B14="NU",I14&lt;0))</formula>
    </cfRule>
  </conditionalFormatting>
  <conditionalFormatting sqref="A14:A55">
    <cfRule type="expression" dxfId="284" priority="3">
      <formula>NOT($P14)</formula>
    </cfRule>
  </conditionalFormatting>
  <conditionalFormatting sqref="B14:D55">
    <cfRule type="expression" dxfId="28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82" priority="9">
      <formula>AND(NOT($P14),$T$1)</formula>
    </cfRule>
    <cfRule type="expression" dxfId="281" priority="10">
      <formula>AND($AP14,$S$1="M")</formula>
    </cfRule>
  </conditionalFormatting>
  <conditionalFormatting sqref="L14:L55">
    <cfRule type="expression" dxfId="28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335C89A-B4BA-4E67-97A8-8F053A16855B}">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A4FCFA93-AD2A-4338-AA1B-C96AB051E54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61C1EB11-41A2-46C3-AAA1-3B9B23B338C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4EDC9FC-9014-4C18-93AA-3062BA2DD0CA}">
      <formula1>IF($CA$14,$CA$16:$CA$21,$CB$16:$CB$19)</formula1>
    </dataValidation>
    <dataValidation type="list" allowBlank="1" showErrorMessage="1" errorTitle="Invalid Type" error="You MUST select a Type from the dropdown list provided._x000a__x000a_Also, make sure your Cap Lock is turned on." sqref="B14:B55" xr:uid="{F1A927E6-C51B-48EC-BA1B-0FDAF1FA3434}">
      <formula1>$BF$15:$BU$15</formula1>
    </dataValidation>
    <dataValidation allowBlank="1" showInputMessage="1" errorTitle="Invalid Load Case" error="You MUST use a Load Case from the list provided." sqref="M14:M55" xr:uid="{0F0A5016-390E-4537-BC3C-E79527E58A6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DDAE8-6A33-4369-A186-B6EDC57A4FBC}">
  <sheetPr codeName="Sheet46">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155</v>
      </c>
      <c r="C14" s="1505" t="s">
        <v>165</v>
      </c>
      <c r="D14" s="1505" t="s">
        <v>159</v>
      </c>
      <c r="E14" s="1688"/>
      <c r="F14" s="1506">
        <v>250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154</v>
      </c>
      <c r="C15" s="1512" t="s">
        <v>165</v>
      </c>
      <c r="D15" s="1512" t="s">
        <v>145</v>
      </c>
      <c r="E15" s="1513"/>
      <c r="F15" s="1514">
        <v>1500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6000</v>
      </c>
      <c r="G16" s="1515">
        <v>3</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6000</v>
      </c>
      <c r="G17" s="1515">
        <v>11</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6000</v>
      </c>
      <c r="G18" s="1515">
        <v>19</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6000</v>
      </c>
      <c r="G19" s="1515">
        <v>27</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6000</v>
      </c>
      <c r="G20" s="1515">
        <v>35</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6000</v>
      </c>
      <c r="G21" s="1515">
        <v>43</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456</v>
      </c>
      <c r="G22" s="1515">
        <v>3</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456</v>
      </c>
      <c r="G23" s="1515">
        <v>11</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456</v>
      </c>
      <c r="G24" s="1515">
        <v>19</v>
      </c>
      <c r="H24" s="1516">
        <v>10</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456</v>
      </c>
      <c r="G25" s="1515">
        <v>27</v>
      </c>
      <c r="H25" s="1516">
        <v>10</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456</v>
      </c>
      <c r="G26" s="1515">
        <v>35</v>
      </c>
      <c r="H26" s="1516">
        <v>10</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456</v>
      </c>
      <c r="G27" s="1515">
        <v>43</v>
      </c>
      <c r="H27" s="1516">
        <v>10</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t="s">
        <v>1969</v>
      </c>
      <c r="B28" s="1512" t="s">
        <v>155</v>
      </c>
      <c r="C28" s="1512" t="s">
        <v>165</v>
      </c>
      <c r="D28" s="1512" t="s">
        <v>145</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SG18</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155</v>
      </c>
      <c r="C29" s="1512" t="s">
        <v>165</v>
      </c>
      <c r="D29" s="1512" t="s">
        <v>159</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SG18</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1500</v>
      </c>
      <c r="G30" s="1515"/>
      <c r="H30" s="1516"/>
      <c r="I30" s="1514"/>
      <c r="J30" s="1515"/>
      <c r="K30" s="1516"/>
      <c r="L30" s="1517" t="s">
        <v>116</v>
      </c>
      <c r="M30" s="1518" t="s">
        <v>1393</v>
      </c>
      <c r="N30" s="1689" t="s">
        <v>116</v>
      </c>
      <c r="O30" s="1645"/>
      <c r="P30" s="245" t="b">
        <f t="shared" si="3"/>
        <v>0</v>
      </c>
      <c r="R30" s="245" t="b">
        <f t="shared" si="1"/>
        <v>1</v>
      </c>
      <c r="AO30" s="238" t="str">
        <f t="shared" si="2"/>
        <v>SG18</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154</v>
      </c>
      <c r="C31" s="1512" t="s">
        <v>165</v>
      </c>
      <c r="D31" s="1512" t="s">
        <v>145</v>
      </c>
      <c r="E31" s="1513"/>
      <c r="F31" s="1514">
        <v>2220</v>
      </c>
      <c r="G31" s="1515"/>
      <c r="H31" s="1516"/>
      <c r="I31" s="1514"/>
      <c r="J31" s="1515"/>
      <c r="K31" s="1516"/>
      <c r="L31" s="1517" t="s">
        <v>116</v>
      </c>
      <c r="M31" s="1517" t="s">
        <v>1393</v>
      </c>
      <c r="N31" s="1689" t="s">
        <v>116</v>
      </c>
      <c r="O31" s="1645"/>
      <c r="P31" s="245" t="b">
        <f t="shared" si="3"/>
        <v>0</v>
      </c>
      <c r="R31" s="245" t="b">
        <f t="shared" si="1"/>
        <v>1</v>
      </c>
      <c r="AO31" s="238" t="str">
        <f t="shared" si="2"/>
        <v>SG18</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6000</v>
      </c>
      <c r="G32" s="1515">
        <v>3</v>
      </c>
      <c r="H32" s="1516">
        <v>10</v>
      </c>
      <c r="I32" s="1514"/>
      <c r="J32" s="1515"/>
      <c r="K32" s="1516"/>
      <c r="L32" s="1517" t="s">
        <v>703</v>
      </c>
      <c r="M32" s="1517" t="s">
        <v>1393</v>
      </c>
      <c r="N32" s="1689" t="s">
        <v>116</v>
      </c>
      <c r="O32" s="1645"/>
      <c r="P32" s="245" t="b">
        <f t="shared" si="3"/>
        <v>0</v>
      </c>
      <c r="R32" s="245" t="b">
        <f t="shared" si="1"/>
        <v>0</v>
      </c>
      <c r="AO32" s="238" t="str">
        <f t="shared" si="2"/>
        <v>SG18</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6000</v>
      </c>
      <c r="G33" s="1515">
        <v>11</v>
      </c>
      <c r="H33" s="1516">
        <v>10</v>
      </c>
      <c r="I33" s="1514"/>
      <c r="J33" s="1515"/>
      <c r="K33" s="1516"/>
      <c r="L33" s="1517" t="s">
        <v>703</v>
      </c>
      <c r="M33" s="1517" t="s">
        <v>1393</v>
      </c>
      <c r="N33" s="1689" t="s">
        <v>116</v>
      </c>
      <c r="O33" s="1645"/>
      <c r="P33" s="245" t="b">
        <f t="shared" si="3"/>
        <v>0</v>
      </c>
      <c r="R33" s="245" t="b">
        <f t="shared" si="1"/>
        <v>0</v>
      </c>
      <c r="AO33" s="238" t="str">
        <f t="shared" si="2"/>
        <v>SG18</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6000</v>
      </c>
      <c r="G34" s="1515">
        <v>19</v>
      </c>
      <c r="H34" s="1516">
        <v>10</v>
      </c>
      <c r="I34" s="1514"/>
      <c r="J34" s="1515"/>
      <c r="K34" s="1516"/>
      <c r="L34" s="1517" t="s">
        <v>703</v>
      </c>
      <c r="M34" s="1517" t="s">
        <v>1393</v>
      </c>
      <c r="N34" s="1689" t="s">
        <v>116</v>
      </c>
      <c r="O34" s="1645"/>
      <c r="P34" s="245" t="b">
        <f t="shared" si="3"/>
        <v>0</v>
      </c>
      <c r="R34" s="245" t="b">
        <f t="shared" si="1"/>
        <v>0</v>
      </c>
      <c r="AO34" s="238" t="str">
        <f t="shared" si="2"/>
        <v>SG18</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6000</v>
      </c>
      <c r="G35" s="1515">
        <v>27</v>
      </c>
      <c r="H35" s="1516">
        <v>10</v>
      </c>
      <c r="I35" s="1514"/>
      <c r="J35" s="1515"/>
      <c r="K35" s="1516"/>
      <c r="L35" s="1517" t="s">
        <v>703</v>
      </c>
      <c r="M35" s="1517" t="s">
        <v>1393</v>
      </c>
      <c r="N35" s="1689" t="s">
        <v>116</v>
      </c>
      <c r="O35" s="1645"/>
      <c r="P35" s="245" t="b">
        <f t="shared" si="3"/>
        <v>0</v>
      </c>
      <c r="R35" s="245" t="b">
        <f t="shared" si="1"/>
        <v>0</v>
      </c>
      <c r="AO35" s="238" t="str">
        <f t="shared" si="2"/>
        <v>SG18</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6000</v>
      </c>
      <c r="G36" s="1515">
        <v>35</v>
      </c>
      <c r="H36" s="1516">
        <v>10</v>
      </c>
      <c r="I36" s="1514"/>
      <c r="J36" s="1515"/>
      <c r="K36" s="1516"/>
      <c r="L36" s="1517" t="s">
        <v>703</v>
      </c>
      <c r="M36" s="1517" t="s">
        <v>1393</v>
      </c>
      <c r="N36" s="1689" t="s">
        <v>116</v>
      </c>
      <c r="O36" s="1645"/>
      <c r="P36" s="245" t="b">
        <f t="shared" si="3"/>
        <v>0</v>
      </c>
      <c r="R36" s="245" t="b">
        <f t="shared" si="1"/>
        <v>0</v>
      </c>
      <c r="AO36" s="238" t="str">
        <f t="shared" si="2"/>
        <v>SG18</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6000</v>
      </c>
      <c r="G37" s="1515">
        <v>43</v>
      </c>
      <c r="H37" s="1516">
        <v>10</v>
      </c>
      <c r="I37" s="1514"/>
      <c r="J37" s="1515"/>
      <c r="K37" s="1516"/>
      <c r="L37" s="1517" t="s">
        <v>703</v>
      </c>
      <c r="M37" s="1517" t="s">
        <v>1393</v>
      </c>
      <c r="N37" s="1689" t="s">
        <v>116</v>
      </c>
      <c r="O37" s="1645"/>
      <c r="P37" s="245" t="b">
        <f t="shared" si="3"/>
        <v>0</v>
      </c>
      <c r="R37" s="245" t="b">
        <f t="shared" si="1"/>
        <v>0</v>
      </c>
      <c r="AO37" s="238" t="str">
        <f t="shared" si="2"/>
        <v>SG18</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456</v>
      </c>
      <c r="G38" s="1515">
        <v>3</v>
      </c>
      <c r="H38" s="1516">
        <v>10</v>
      </c>
      <c r="I38" s="1514"/>
      <c r="J38" s="1515"/>
      <c r="K38" s="1516"/>
      <c r="L38" s="1517" t="s">
        <v>703</v>
      </c>
      <c r="M38" s="1517" t="s">
        <v>1393</v>
      </c>
      <c r="N38" s="1689" t="s">
        <v>116</v>
      </c>
      <c r="O38" s="1645"/>
      <c r="P38" s="245" t="b">
        <f t="shared" si="3"/>
        <v>0</v>
      </c>
      <c r="R38" s="245" t="b">
        <f t="shared" si="1"/>
        <v>0</v>
      </c>
      <c r="AO38" s="238" t="str">
        <f t="shared" si="2"/>
        <v>SG18</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456</v>
      </c>
      <c r="G39" s="1515">
        <v>11</v>
      </c>
      <c r="H39" s="1516">
        <v>10</v>
      </c>
      <c r="I39" s="1514"/>
      <c r="J39" s="1515"/>
      <c r="K39" s="1516"/>
      <c r="L39" s="1517" t="s">
        <v>703</v>
      </c>
      <c r="M39" s="1517" t="s">
        <v>1393</v>
      </c>
      <c r="N39" s="1689" t="s">
        <v>116</v>
      </c>
      <c r="O39" s="1645"/>
      <c r="P39" s="245" t="b">
        <f t="shared" si="3"/>
        <v>0</v>
      </c>
      <c r="R39" s="245" t="b">
        <f t="shared" si="1"/>
        <v>0</v>
      </c>
      <c r="AO39" s="238" t="str">
        <f t="shared" si="2"/>
        <v>SG18</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456</v>
      </c>
      <c r="G40" s="1515">
        <v>19</v>
      </c>
      <c r="H40" s="1516">
        <v>10</v>
      </c>
      <c r="I40" s="1514"/>
      <c r="J40" s="1515"/>
      <c r="K40" s="1516"/>
      <c r="L40" s="1517" t="s">
        <v>703</v>
      </c>
      <c r="M40" s="1517" t="s">
        <v>1393</v>
      </c>
      <c r="N40" s="1689" t="s">
        <v>116</v>
      </c>
      <c r="O40" s="1645"/>
      <c r="P40" s="245" t="b">
        <f t="shared" si="3"/>
        <v>0</v>
      </c>
      <c r="R40" s="245" t="b">
        <f t="shared" si="1"/>
        <v>0</v>
      </c>
      <c r="AO40" s="238" t="str">
        <f t="shared" si="2"/>
        <v>SG18</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456</v>
      </c>
      <c r="G41" s="1515">
        <v>27</v>
      </c>
      <c r="H41" s="1516">
        <v>10</v>
      </c>
      <c r="I41" s="1514"/>
      <c r="J41" s="1515"/>
      <c r="K41" s="1516"/>
      <c r="L41" s="1517" t="s">
        <v>703</v>
      </c>
      <c r="M41" s="1517" t="s">
        <v>1393</v>
      </c>
      <c r="N41" s="1689" t="s">
        <v>116</v>
      </c>
      <c r="O41" s="1645"/>
      <c r="P41" s="245" t="b">
        <f t="shared" si="3"/>
        <v>0</v>
      </c>
      <c r="R41" s="245" t="b">
        <f t="shared" si="1"/>
        <v>0</v>
      </c>
      <c r="AO41" s="238" t="str">
        <f t="shared" si="2"/>
        <v>SG18</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456</v>
      </c>
      <c r="G42" s="1515">
        <v>35</v>
      </c>
      <c r="H42" s="1516">
        <v>10</v>
      </c>
      <c r="I42" s="1514"/>
      <c r="J42" s="1515"/>
      <c r="K42" s="1516"/>
      <c r="L42" s="1517" t="s">
        <v>703</v>
      </c>
      <c r="M42" s="1517" t="s">
        <v>1393</v>
      </c>
      <c r="N42" s="1689" t="s">
        <v>116</v>
      </c>
      <c r="O42" s="1645"/>
      <c r="P42" s="245" t="b">
        <f t="shared" si="3"/>
        <v>0</v>
      </c>
      <c r="R42" s="245" t="b">
        <f t="shared" si="1"/>
        <v>0</v>
      </c>
      <c r="AO42" s="238" t="str">
        <f t="shared" si="2"/>
        <v>SG18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456</v>
      </c>
      <c r="G43" s="1515">
        <v>43</v>
      </c>
      <c r="H43" s="1516">
        <v>10</v>
      </c>
      <c r="I43" s="1514"/>
      <c r="J43" s="1515"/>
      <c r="K43" s="1516"/>
      <c r="L43" s="1517" t="s">
        <v>703</v>
      </c>
      <c r="M43" s="1517" t="s">
        <v>1393</v>
      </c>
      <c r="N43" s="1689" t="s">
        <v>116</v>
      </c>
      <c r="O43" s="1645"/>
      <c r="P43" s="245" t="b">
        <f t="shared" si="3"/>
        <v>0</v>
      </c>
      <c r="R43" s="245" t="b">
        <f t="shared" si="1"/>
        <v>0</v>
      </c>
      <c r="AO43" s="238" t="str">
        <f t="shared" si="2"/>
        <v>SG18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t="s">
        <v>1970</v>
      </c>
      <c r="B44" s="1512" t="s">
        <v>155</v>
      </c>
      <c r="C44" s="1512" t="s">
        <v>165</v>
      </c>
      <c r="D44" s="1512" t="s">
        <v>145</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SG19</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155</v>
      </c>
      <c r="C45" s="1512" t="s">
        <v>165</v>
      </c>
      <c r="D45" s="1512" t="s">
        <v>159</v>
      </c>
      <c r="E45" s="1513"/>
      <c r="F45" s="1514">
        <v>250</v>
      </c>
      <c r="G45" s="1515"/>
      <c r="H45" s="1516"/>
      <c r="I45" s="1514"/>
      <c r="J45" s="1515"/>
      <c r="K45" s="1516"/>
      <c r="L45" s="1517" t="s">
        <v>116</v>
      </c>
      <c r="M45" s="1517" t="s">
        <v>1393</v>
      </c>
      <c r="N45" s="1689" t="s">
        <v>116</v>
      </c>
      <c r="O45" s="1645"/>
      <c r="P45" s="245" t="b">
        <f t="shared" si="3"/>
        <v>0</v>
      </c>
      <c r="R45" s="245" t="b">
        <f t="shared" si="1"/>
        <v>1</v>
      </c>
      <c r="AO45" s="238" t="str">
        <f t="shared" si="2"/>
        <v>SG19</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1500</v>
      </c>
      <c r="G46" s="1515"/>
      <c r="H46" s="1516"/>
      <c r="I46" s="1514"/>
      <c r="J46" s="1515"/>
      <c r="K46" s="1516"/>
      <c r="L46" s="1517" t="s">
        <v>116</v>
      </c>
      <c r="M46" s="1517" t="s">
        <v>1393</v>
      </c>
      <c r="N46" s="1689" t="s">
        <v>116</v>
      </c>
      <c r="O46" s="1645"/>
      <c r="P46" s="245" t="b">
        <f t="shared" si="3"/>
        <v>0</v>
      </c>
      <c r="R46" s="245" t="b">
        <f t="shared" si="1"/>
        <v>1</v>
      </c>
      <c r="AO46" s="238" t="str">
        <f t="shared" si="2"/>
        <v>SG19</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154</v>
      </c>
      <c r="C47" s="1512" t="s">
        <v>165</v>
      </c>
      <c r="D47" s="1512" t="s">
        <v>145</v>
      </c>
      <c r="E47" s="1513"/>
      <c r="F47" s="1514">
        <v>720</v>
      </c>
      <c r="G47" s="1515"/>
      <c r="H47" s="1516"/>
      <c r="I47" s="1514"/>
      <c r="J47" s="1515"/>
      <c r="K47" s="1516"/>
      <c r="L47" s="1517" t="s">
        <v>116</v>
      </c>
      <c r="M47" s="1517" t="s">
        <v>1393</v>
      </c>
      <c r="N47" s="1689" t="s">
        <v>116</v>
      </c>
      <c r="O47" s="1645"/>
      <c r="P47" s="245" t="b">
        <f t="shared" si="3"/>
        <v>0</v>
      </c>
      <c r="R47" s="245" t="b">
        <f t="shared" si="1"/>
        <v>1</v>
      </c>
      <c r="AO47" s="238" t="str">
        <f t="shared" si="2"/>
        <v>SG19</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6000</v>
      </c>
      <c r="G48" s="1515">
        <v>7</v>
      </c>
      <c r="H48" s="1516">
        <v>10</v>
      </c>
      <c r="I48" s="1514"/>
      <c r="J48" s="1515"/>
      <c r="K48" s="1516"/>
      <c r="L48" s="1517" t="s">
        <v>703</v>
      </c>
      <c r="M48" s="1517" t="s">
        <v>1393</v>
      </c>
      <c r="N48" s="1689" t="s">
        <v>116</v>
      </c>
      <c r="O48" s="1645"/>
      <c r="P48" s="245" t="b">
        <f t="shared" si="3"/>
        <v>0</v>
      </c>
      <c r="R48" s="245" t="b">
        <f t="shared" si="1"/>
        <v>0</v>
      </c>
      <c r="AO48" s="238" t="str">
        <f t="shared" si="2"/>
        <v>SG19</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6000</v>
      </c>
      <c r="G49" s="1515">
        <v>15</v>
      </c>
      <c r="H49" s="1516">
        <v>10</v>
      </c>
      <c r="I49" s="1514"/>
      <c r="J49" s="1515"/>
      <c r="K49" s="1516"/>
      <c r="L49" s="1517" t="s">
        <v>703</v>
      </c>
      <c r="M49" s="1517" t="s">
        <v>1393</v>
      </c>
      <c r="N49" s="1689" t="s">
        <v>116</v>
      </c>
      <c r="O49" s="1645"/>
      <c r="P49" s="245" t="b">
        <f t="shared" si="3"/>
        <v>0</v>
      </c>
      <c r="R49" s="245" t="b">
        <f t="shared" si="1"/>
        <v>0</v>
      </c>
      <c r="AO49" s="238" t="str">
        <f t="shared" si="2"/>
        <v>SG19</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6000</v>
      </c>
      <c r="G50" s="1515">
        <v>23</v>
      </c>
      <c r="H50" s="1516">
        <v>10</v>
      </c>
      <c r="I50" s="1514"/>
      <c r="J50" s="1515"/>
      <c r="K50" s="1516"/>
      <c r="L50" s="1517" t="s">
        <v>703</v>
      </c>
      <c r="M50" s="1517" t="s">
        <v>1393</v>
      </c>
      <c r="N50" s="1689" t="s">
        <v>116</v>
      </c>
      <c r="O50" s="1645"/>
      <c r="P50" s="245" t="b">
        <f t="shared" si="3"/>
        <v>0</v>
      </c>
      <c r="R50" s="245" t="b">
        <f t="shared" si="1"/>
        <v>0</v>
      </c>
      <c r="AO50" s="238" t="str">
        <f t="shared" si="2"/>
        <v>SG19</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6000</v>
      </c>
      <c r="G51" s="1515">
        <v>31</v>
      </c>
      <c r="H51" s="1516">
        <v>10</v>
      </c>
      <c r="I51" s="1514"/>
      <c r="J51" s="1515"/>
      <c r="K51" s="1516"/>
      <c r="L51" s="1517" t="s">
        <v>703</v>
      </c>
      <c r="M51" s="1517" t="s">
        <v>1393</v>
      </c>
      <c r="N51" s="1689" t="s">
        <v>116</v>
      </c>
      <c r="O51" s="1645"/>
      <c r="P51" s="245" t="b">
        <f t="shared" si="3"/>
        <v>0</v>
      </c>
      <c r="R51" s="245" t="b">
        <f t="shared" si="1"/>
        <v>0</v>
      </c>
      <c r="AO51" s="238" t="str">
        <f t="shared" si="2"/>
        <v>SG19</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6000</v>
      </c>
      <c r="G52" s="1515">
        <v>39</v>
      </c>
      <c r="H52" s="1516">
        <v>10</v>
      </c>
      <c r="I52" s="1514"/>
      <c r="J52" s="1515"/>
      <c r="K52" s="1516"/>
      <c r="L52" s="1517" t="s">
        <v>703</v>
      </c>
      <c r="M52" s="1517" t="s">
        <v>1393</v>
      </c>
      <c r="N52" s="1689" t="s">
        <v>116</v>
      </c>
      <c r="O52" s="1645"/>
      <c r="P52" s="245" t="b">
        <f t="shared" si="3"/>
        <v>0</v>
      </c>
      <c r="R52" s="245" t="b">
        <f t="shared" si="1"/>
        <v>0</v>
      </c>
      <c r="AO52" s="238" t="str">
        <f t="shared" si="2"/>
        <v>SG19</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6000</v>
      </c>
      <c r="G53" s="1515">
        <v>47</v>
      </c>
      <c r="H53" s="1516">
        <v>10</v>
      </c>
      <c r="I53" s="1514"/>
      <c r="J53" s="1515"/>
      <c r="K53" s="1516"/>
      <c r="L53" s="1517" t="s">
        <v>703</v>
      </c>
      <c r="M53" s="1517" t="s">
        <v>1393</v>
      </c>
      <c r="N53" s="1689" t="s">
        <v>116</v>
      </c>
      <c r="O53" s="1645"/>
      <c r="P53" s="245" t="b">
        <f t="shared" si="3"/>
        <v>0</v>
      </c>
      <c r="R53" s="245" t="b">
        <f t="shared" si="1"/>
        <v>0</v>
      </c>
      <c r="AO53" s="238" t="str">
        <f t="shared" si="2"/>
        <v>SG19</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456</v>
      </c>
      <c r="G54" s="1515">
        <v>7</v>
      </c>
      <c r="H54" s="1516">
        <v>10</v>
      </c>
      <c r="I54" s="1514"/>
      <c r="J54" s="1515"/>
      <c r="K54" s="1516"/>
      <c r="L54" s="1517" t="s">
        <v>703</v>
      </c>
      <c r="M54" s="1517" t="s">
        <v>1393</v>
      </c>
      <c r="N54" s="1689" t="s">
        <v>116</v>
      </c>
      <c r="O54" s="1645"/>
      <c r="P54" s="245" t="b">
        <f t="shared" si="3"/>
        <v>0</v>
      </c>
      <c r="R54" s="245" t="b">
        <f t="shared" si="1"/>
        <v>0</v>
      </c>
      <c r="AO54" s="238" t="str">
        <f t="shared" si="2"/>
        <v>SG19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456</v>
      </c>
      <c r="G55" s="1524">
        <v>15</v>
      </c>
      <c r="H55" s="1525">
        <v>10</v>
      </c>
      <c r="I55" s="1523"/>
      <c r="J55" s="1524"/>
      <c r="K55" s="1525"/>
      <c r="L55" s="1526" t="s">
        <v>703</v>
      </c>
      <c r="M55" s="1526" t="s">
        <v>1393</v>
      </c>
      <c r="N55" s="1690"/>
      <c r="O55" s="1645"/>
      <c r="P55" s="245" t="b">
        <f t="shared" si="3"/>
        <v>0</v>
      </c>
      <c r="R55" s="245" t="b">
        <f t="shared" si="1"/>
        <v>0</v>
      </c>
      <c r="AO55" s="238" t="str">
        <f t="shared" si="2"/>
        <v>SG19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79" priority="4" stopIfTrue="1">
      <formula>AND($B14="NU",F14&lt;0)</formula>
    </cfRule>
  </conditionalFormatting>
  <conditionalFormatting sqref="B14:B55">
    <cfRule type="expression" dxfId="278" priority="5" stopIfTrue="1">
      <formula>OR(AND($B14="NU",F14&lt;0),AND($B14="NU",I14&lt;0))</formula>
    </cfRule>
  </conditionalFormatting>
  <conditionalFormatting sqref="G14:H55 J14:L55">
    <cfRule type="expression" dxfId="277" priority="6" stopIfTrue="1">
      <formula>$R14</formula>
    </cfRule>
  </conditionalFormatting>
  <conditionalFormatting sqref="I2:K4">
    <cfRule type="cellIs" dxfId="276" priority="7" stopIfTrue="1" operator="equal">
      <formula>""</formula>
    </cfRule>
  </conditionalFormatting>
  <conditionalFormatting sqref="I14:I55">
    <cfRule type="expression" dxfId="275" priority="8" stopIfTrue="1">
      <formula>OR($R14,$B14="CZ",AND($B14="NU",I14&lt;0))</formula>
    </cfRule>
  </conditionalFormatting>
  <conditionalFormatting sqref="A14:A55">
    <cfRule type="expression" dxfId="274" priority="3">
      <formula>NOT($P14)</formula>
    </cfRule>
  </conditionalFormatting>
  <conditionalFormatting sqref="B14:D55">
    <cfRule type="expression" dxfId="2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72" priority="9">
      <formula>AND(NOT($P14),$T$1)</formula>
    </cfRule>
    <cfRule type="expression" dxfId="271" priority="10">
      <formula>AND($AP14,$S$1="M")</formula>
    </cfRule>
  </conditionalFormatting>
  <conditionalFormatting sqref="L14:L55">
    <cfRule type="expression" dxfId="2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9359F38-FB77-4498-8DE2-84D1B71D5CF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17A4431-8025-4C94-A174-9659D2A6C34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C0A237D-29A4-45A7-B99E-3A0E3207C69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138C8A91-2A0A-4F39-9FDB-4C12F75ED933}">
      <formula1>IF($CA$14,$CA$16:$CA$21,$CB$16:$CB$19)</formula1>
    </dataValidation>
    <dataValidation type="list" allowBlank="1" showErrorMessage="1" errorTitle="Invalid Type" error="You MUST select a Type from the dropdown list provided._x000a__x000a_Also, make sure your Cap Lock is turned on." sqref="B14:B55" xr:uid="{AA1211F2-BD22-4D95-A947-C7FBF7A8EA63}">
      <formula1>$BF$15:$BU$15</formula1>
    </dataValidation>
    <dataValidation allowBlank="1" showInputMessage="1" errorTitle="Invalid Load Case" error="You MUST use a Load Case from the list provided." sqref="M14:M55" xr:uid="{F1B31129-95B6-4F89-B105-AB04377CFE1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6C989-0677-4E47-9F42-9DBF945CEC6B}">
  <sheetPr codeName="Sheet47">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456</v>
      </c>
      <c r="G14" s="1507">
        <v>23</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456</v>
      </c>
      <c r="G15" s="1515">
        <v>31</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456</v>
      </c>
      <c r="G16" s="1515">
        <v>39</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456</v>
      </c>
      <c r="G17" s="1515">
        <v>47</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t="s">
        <v>1971</v>
      </c>
      <c r="B18" s="1512" t="s">
        <v>155</v>
      </c>
      <c r="C18" s="1512" t="s">
        <v>165</v>
      </c>
      <c r="D18" s="1512" t="s">
        <v>145</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SG20</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155</v>
      </c>
      <c r="C19" s="1512" t="s">
        <v>165</v>
      </c>
      <c r="D19" s="1512" t="s">
        <v>159</v>
      </c>
      <c r="E19" s="1513"/>
      <c r="F19" s="1514">
        <v>250</v>
      </c>
      <c r="G19" s="1515"/>
      <c r="H19" s="1516"/>
      <c r="I19" s="1514"/>
      <c r="J19" s="1515"/>
      <c r="K19" s="1516"/>
      <c r="L19" s="1517" t="s">
        <v>116</v>
      </c>
      <c r="M19" s="1518" t="s">
        <v>1393</v>
      </c>
      <c r="N19" s="1689" t="s">
        <v>116</v>
      </c>
      <c r="O19" s="1645"/>
      <c r="P19" s="245" t="b">
        <f t="shared" si="3"/>
        <v>0</v>
      </c>
      <c r="R19" s="245" t="b">
        <f t="shared" si="1"/>
        <v>1</v>
      </c>
      <c r="AO19" s="238" t="str">
        <f t="shared" si="2"/>
        <v>SG20</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154</v>
      </c>
      <c r="C20" s="1512" t="s">
        <v>165</v>
      </c>
      <c r="D20" s="1512" t="s">
        <v>145</v>
      </c>
      <c r="E20" s="1513"/>
      <c r="F20" s="1514">
        <v>1500</v>
      </c>
      <c r="G20" s="1515"/>
      <c r="H20" s="1516"/>
      <c r="I20" s="1514"/>
      <c r="J20" s="1515"/>
      <c r="K20" s="1516"/>
      <c r="L20" s="1517" t="s">
        <v>116</v>
      </c>
      <c r="M20" s="1518" t="s">
        <v>1393</v>
      </c>
      <c r="N20" s="1519"/>
      <c r="O20" s="1646"/>
      <c r="P20" s="245" t="b">
        <f t="shared" si="3"/>
        <v>0</v>
      </c>
      <c r="R20" s="245" t="b">
        <f t="shared" si="1"/>
        <v>1</v>
      </c>
      <c r="AO20" s="238" t="str">
        <f t="shared" si="2"/>
        <v>SG20</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6000</v>
      </c>
      <c r="G21" s="1515">
        <v>3</v>
      </c>
      <c r="H21" s="1516">
        <v>10</v>
      </c>
      <c r="I21" s="1514"/>
      <c r="J21" s="1515"/>
      <c r="K21" s="1516"/>
      <c r="L21" s="1517" t="s">
        <v>703</v>
      </c>
      <c r="M21" s="1518" t="s">
        <v>1393</v>
      </c>
      <c r="N21" s="1519"/>
      <c r="O21" s="1646"/>
      <c r="P21" s="245" t="b">
        <f t="shared" si="3"/>
        <v>0</v>
      </c>
      <c r="R21" s="245" t="b">
        <f t="shared" si="1"/>
        <v>0</v>
      </c>
      <c r="AO21" s="238" t="str">
        <f t="shared" si="2"/>
        <v>SG20</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6000</v>
      </c>
      <c r="G22" s="1515">
        <v>11</v>
      </c>
      <c r="H22" s="1516">
        <v>10</v>
      </c>
      <c r="I22" s="1514"/>
      <c r="J22" s="1515"/>
      <c r="K22" s="1516"/>
      <c r="L22" s="1517" t="s">
        <v>703</v>
      </c>
      <c r="M22" s="1518" t="s">
        <v>1393</v>
      </c>
      <c r="N22" s="1519"/>
      <c r="O22" s="1646"/>
      <c r="P22" s="245" t="b">
        <f t="shared" si="3"/>
        <v>0</v>
      </c>
      <c r="R22" s="245" t="b">
        <f t="shared" si="1"/>
        <v>0</v>
      </c>
      <c r="AO22" s="238" t="str">
        <f t="shared" si="2"/>
        <v>SG20</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6000</v>
      </c>
      <c r="G23" s="1515">
        <v>19</v>
      </c>
      <c r="H23" s="1516">
        <v>10</v>
      </c>
      <c r="I23" s="1514"/>
      <c r="J23" s="1515"/>
      <c r="K23" s="1516"/>
      <c r="L23" s="1517" t="s">
        <v>703</v>
      </c>
      <c r="M23" s="1518" t="s">
        <v>1393</v>
      </c>
      <c r="N23" s="1519"/>
      <c r="O23" s="1646"/>
      <c r="P23" s="245" t="b">
        <f t="shared" si="3"/>
        <v>0</v>
      </c>
      <c r="R23" s="245" t="b">
        <f t="shared" si="1"/>
        <v>0</v>
      </c>
      <c r="AO23" s="238" t="str">
        <f t="shared" si="2"/>
        <v>SG20</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6000</v>
      </c>
      <c r="G24" s="1515">
        <v>27</v>
      </c>
      <c r="H24" s="1516">
        <v>10</v>
      </c>
      <c r="I24" s="1514"/>
      <c r="J24" s="1515"/>
      <c r="K24" s="1516"/>
      <c r="L24" s="1517" t="s">
        <v>703</v>
      </c>
      <c r="M24" s="1518" t="s">
        <v>1393</v>
      </c>
      <c r="N24" s="1519"/>
      <c r="O24" s="1646"/>
      <c r="P24" s="245" t="b">
        <f t="shared" si="3"/>
        <v>0</v>
      </c>
      <c r="R24" s="245" t="b">
        <f t="shared" si="1"/>
        <v>0</v>
      </c>
      <c r="AO24" s="238" t="str">
        <f t="shared" si="2"/>
        <v>SG20</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6000</v>
      </c>
      <c r="G25" s="1515">
        <v>35</v>
      </c>
      <c r="H25" s="1516">
        <v>10</v>
      </c>
      <c r="I25" s="1514"/>
      <c r="J25" s="1515"/>
      <c r="K25" s="1516"/>
      <c r="L25" s="1517" t="s">
        <v>703</v>
      </c>
      <c r="M25" s="1518" t="s">
        <v>1393</v>
      </c>
      <c r="N25" s="1519"/>
      <c r="O25" s="1646"/>
      <c r="P25" s="245" t="b">
        <f t="shared" si="3"/>
        <v>0</v>
      </c>
      <c r="R25" s="245" t="b">
        <f t="shared" si="1"/>
        <v>0</v>
      </c>
      <c r="AO25" s="238" t="str">
        <f t="shared" si="2"/>
        <v>SG20</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6000</v>
      </c>
      <c r="G26" s="1515">
        <v>43</v>
      </c>
      <c r="H26" s="1516">
        <v>10</v>
      </c>
      <c r="I26" s="1514"/>
      <c r="J26" s="1515"/>
      <c r="K26" s="1516"/>
      <c r="L26" s="1517" t="s">
        <v>703</v>
      </c>
      <c r="M26" s="1518" t="s">
        <v>1393</v>
      </c>
      <c r="N26" s="1519"/>
      <c r="O26" s="1646"/>
      <c r="P26" s="245" t="b">
        <f t="shared" si="3"/>
        <v>0</v>
      </c>
      <c r="R26" s="245" t="b">
        <f t="shared" si="1"/>
        <v>0</v>
      </c>
      <c r="AO26" s="238" t="str">
        <f t="shared" si="2"/>
        <v>SG20</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456</v>
      </c>
      <c r="G27" s="1515">
        <v>3</v>
      </c>
      <c r="H27" s="1516">
        <v>10</v>
      </c>
      <c r="I27" s="1514"/>
      <c r="J27" s="1515"/>
      <c r="K27" s="1516"/>
      <c r="L27" s="1517" t="s">
        <v>703</v>
      </c>
      <c r="M27" s="1518" t="s">
        <v>1393</v>
      </c>
      <c r="N27" s="1519"/>
      <c r="O27" s="1646"/>
      <c r="P27" s="245" t="b">
        <f t="shared" si="3"/>
        <v>0</v>
      </c>
      <c r="R27" s="245" t="b">
        <f t="shared" si="1"/>
        <v>0</v>
      </c>
      <c r="AO27" s="238" t="str">
        <f t="shared" si="2"/>
        <v>SG20</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456</v>
      </c>
      <c r="G28" s="1515">
        <v>11</v>
      </c>
      <c r="H28" s="1516">
        <v>10</v>
      </c>
      <c r="I28" s="1514"/>
      <c r="J28" s="1515"/>
      <c r="K28" s="1516"/>
      <c r="L28" s="1517" t="s">
        <v>703</v>
      </c>
      <c r="M28" s="1518" t="s">
        <v>1393</v>
      </c>
      <c r="N28" s="1689"/>
      <c r="O28" s="1645"/>
      <c r="P28" s="245" t="b">
        <f t="shared" si="3"/>
        <v>0</v>
      </c>
      <c r="R28" s="245" t="b">
        <f t="shared" si="1"/>
        <v>0</v>
      </c>
      <c r="AO28" s="238" t="str">
        <f t="shared" si="2"/>
        <v>SG20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456</v>
      </c>
      <c r="G29" s="1515">
        <v>19</v>
      </c>
      <c r="H29" s="1516">
        <v>10</v>
      </c>
      <c r="I29" s="1514"/>
      <c r="J29" s="1515"/>
      <c r="K29" s="1516"/>
      <c r="L29" s="1517" t="s">
        <v>703</v>
      </c>
      <c r="M29" s="1518" t="s">
        <v>1393</v>
      </c>
      <c r="N29" s="1689"/>
      <c r="O29" s="1645"/>
      <c r="P29" s="245" t="b">
        <f t="shared" si="3"/>
        <v>0</v>
      </c>
      <c r="R29" s="245" t="b">
        <f t="shared" si="1"/>
        <v>0</v>
      </c>
      <c r="AO29" s="238" t="str">
        <f t="shared" si="2"/>
        <v>SG20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456</v>
      </c>
      <c r="G30" s="1515">
        <v>27</v>
      </c>
      <c r="H30" s="1516">
        <v>10</v>
      </c>
      <c r="I30" s="1514"/>
      <c r="J30" s="1515"/>
      <c r="K30" s="1516"/>
      <c r="L30" s="1517" t="s">
        <v>703</v>
      </c>
      <c r="M30" s="1518" t="s">
        <v>1393</v>
      </c>
      <c r="N30" s="1689" t="s">
        <v>116</v>
      </c>
      <c r="O30" s="1645"/>
      <c r="P30" s="245" t="b">
        <f t="shared" si="3"/>
        <v>0</v>
      </c>
      <c r="R30" s="245" t="b">
        <f t="shared" si="1"/>
        <v>0</v>
      </c>
      <c r="AO30" s="238" t="str">
        <f t="shared" si="2"/>
        <v>SG20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456</v>
      </c>
      <c r="G31" s="1515">
        <v>35</v>
      </c>
      <c r="H31" s="1516">
        <v>10</v>
      </c>
      <c r="I31" s="1514"/>
      <c r="J31" s="1515"/>
      <c r="K31" s="1516"/>
      <c r="L31" s="1517" t="s">
        <v>703</v>
      </c>
      <c r="M31" s="1517" t="s">
        <v>1393</v>
      </c>
      <c r="N31" s="1689" t="s">
        <v>116</v>
      </c>
      <c r="O31" s="1645"/>
      <c r="P31" s="245" t="b">
        <f t="shared" si="3"/>
        <v>0</v>
      </c>
      <c r="R31" s="245" t="b">
        <f t="shared" si="1"/>
        <v>0</v>
      </c>
      <c r="AO31" s="238" t="str">
        <f t="shared" si="2"/>
        <v>SG20</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456</v>
      </c>
      <c r="G32" s="1515">
        <v>43</v>
      </c>
      <c r="H32" s="1516">
        <v>10</v>
      </c>
      <c r="I32" s="1514"/>
      <c r="J32" s="1515"/>
      <c r="K32" s="1516"/>
      <c r="L32" s="1517" t="s">
        <v>703</v>
      </c>
      <c r="M32" s="1517" t="s">
        <v>1393</v>
      </c>
      <c r="N32" s="1689" t="s">
        <v>116</v>
      </c>
      <c r="O32" s="1645"/>
      <c r="P32" s="245" t="b">
        <f t="shared" si="3"/>
        <v>0</v>
      </c>
      <c r="R32" s="245" t="b">
        <f t="shared" si="1"/>
        <v>0</v>
      </c>
      <c r="AO32" s="238" t="str">
        <f t="shared" si="2"/>
        <v>SG20</v>
      </c>
      <c r="AP32" s="945" t="b">
        <v>0</v>
      </c>
      <c r="AQ32" s="1323"/>
      <c r="AR32" s="1324"/>
      <c r="AS32" s="1324"/>
      <c r="AT32" s="1324"/>
      <c r="AU32" s="1324"/>
      <c r="AV32" s="1324"/>
      <c r="AW32" s="1324"/>
      <c r="AX32" s="1324"/>
      <c r="AY32" s="1324"/>
      <c r="AZ32" s="1324"/>
      <c r="BA32" s="1533"/>
      <c r="BB32" s="1533"/>
      <c r="BC32" s="1534"/>
    </row>
    <row r="33" spans="1:55" ht="14.1" customHeight="1" x14ac:dyDescent="0.2">
      <c r="A33" s="1511" t="s">
        <v>1972</v>
      </c>
      <c r="B33" s="1512" t="s">
        <v>155</v>
      </c>
      <c r="C33" s="1512" t="s">
        <v>165</v>
      </c>
      <c r="D33" s="1512" t="s">
        <v>145</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SG21</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155</v>
      </c>
      <c r="C34" s="1512" t="s">
        <v>165</v>
      </c>
      <c r="D34" s="1512" t="s">
        <v>159</v>
      </c>
      <c r="E34" s="1513"/>
      <c r="F34" s="1514">
        <v>250</v>
      </c>
      <c r="G34" s="1515"/>
      <c r="H34" s="1516"/>
      <c r="I34" s="1514"/>
      <c r="J34" s="1515"/>
      <c r="K34" s="1516"/>
      <c r="L34" s="1517" t="s">
        <v>116</v>
      </c>
      <c r="M34" s="1517" t="s">
        <v>1393</v>
      </c>
      <c r="N34" s="1689" t="s">
        <v>116</v>
      </c>
      <c r="O34" s="1645"/>
      <c r="P34" s="245" t="b">
        <f t="shared" si="3"/>
        <v>0</v>
      </c>
      <c r="R34" s="245" t="b">
        <f t="shared" si="1"/>
        <v>1</v>
      </c>
      <c r="AO34" s="238" t="str">
        <f t="shared" si="2"/>
        <v>SG21</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154</v>
      </c>
      <c r="C35" s="1512" t="s">
        <v>165</v>
      </c>
      <c r="D35" s="1512" t="s">
        <v>145</v>
      </c>
      <c r="E35" s="1513"/>
      <c r="F35" s="1514">
        <v>1500</v>
      </c>
      <c r="G35" s="1515"/>
      <c r="H35" s="1516"/>
      <c r="I35" s="1514"/>
      <c r="J35" s="1515"/>
      <c r="K35" s="1516"/>
      <c r="L35" s="1517" t="s">
        <v>116</v>
      </c>
      <c r="M35" s="1517" t="s">
        <v>1393</v>
      </c>
      <c r="N35" s="1689" t="s">
        <v>116</v>
      </c>
      <c r="O35" s="1645"/>
      <c r="P35" s="245" t="b">
        <f t="shared" si="3"/>
        <v>0</v>
      </c>
      <c r="R35" s="245" t="b">
        <f t="shared" si="1"/>
        <v>1</v>
      </c>
      <c r="AO35" s="238" t="str">
        <f t="shared" si="2"/>
        <v>SG21</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6000</v>
      </c>
      <c r="G36" s="1515">
        <v>7</v>
      </c>
      <c r="H36" s="1516">
        <v>10</v>
      </c>
      <c r="I36" s="1514"/>
      <c r="J36" s="1515"/>
      <c r="K36" s="1516"/>
      <c r="L36" s="1517" t="s">
        <v>703</v>
      </c>
      <c r="M36" s="1517" t="s">
        <v>1393</v>
      </c>
      <c r="N36" s="1689" t="s">
        <v>116</v>
      </c>
      <c r="O36" s="1645"/>
      <c r="P36" s="245" t="b">
        <f t="shared" si="3"/>
        <v>0</v>
      </c>
      <c r="R36" s="245" t="b">
        <f t="shared" si="1"/>
        <v>0</v>
      </c>
      <c r="AO36" s="238" t="str">
        <f t="shared" si="2"/>
        <v>SG21</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6000</v>
      </c>
      <c r="G37" s="1515">
        <v>15</v>
      </c>
      <c r="H37" s="1516">
        <v>10</v>
      </c>
      <c r="I37" s="1514"/>
      <c r="J37" s="1515"/>
      <c r="K37" s="1516"/>
      <c r="L37" s="1517" t="s">
        <v>703</v>
      </c>
      <c r="M37" s="1517" t="s">
        <v>1393</v>
      </c>
      <c r="N37" s="1689" t="s">
        <v>116</v>
      </c>
      <c r="O37" s="1645"/>
      <c r="P37" s="245" t="b">
        <f t="shared" si="3"/>
        <v>0</v>
      </c>
      <c r="R37" s="245" t="b">
        <f t="shared" si="1"/>
        <v>0</v>
      </c>
      <c r="AO37" s="238" t="str">
        <f t="shared" si="2"/>
        <v>SG21</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6000</v>
      </c>
      <c r="G38" s="1515">
        <v>23</v>
      </c>
      <c r="H38" s="1516">
        <v>10</v>
      </c>
      <c r="I38" s="1514"/>
      <c r="J38" s="1515"/>
      <c r="K38" s="1516"/>
      <c r="L38" s="1517" t="s">
        <v>703</v>
      </c>
      <c r="M38" s="1517" t="s">
        <v>1393</v>
      </c>
      <c r="N38" s="1689" t="s">
        <v>116</v>
      </c>
      <c r="O38" s="1645"/>
      <c r="P38" s="245" t="b">
        <f t="shared" si="3"/>
        <v>0</v>
      </c>
      <c r="R38" s="245" t="b">
        <f t="shared" si="1"/>
        <v>0</v>
      </c>
      <c r="AO38" s="238" t="str">
        <f t="shared" si="2"/>
        <v>SG21</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6000</v>
      </c>
      <c r="G39" s="1515">
        <v>31</v>
      </c>
      <c r="H39" s="1516">
        <v>10</v>
      </c>
      <c r="I39" s="1514"/>
      <c r="J39" s="1515"/>
      <c r="K39" s="1516"/>
      <c r="L39" s="1517" t="s">
        <v>703</v>
      </c>
      <c r="M39" s="1517" t="s">
        <v>1393</v>
      </c>
      <c r="N39" s="1689" t="s">
        <v>116</v>
      </c>
      <c r="O39" s="1645"/>
      <c r="P39" s="245" t="b">
        <f t="shared" si="3"/>
        <v>0</v>
      </c>
      <c r="R39" s="245" t="b">
        <f t="shared" si="1"/>
        <v>0</v>
      </c>
      <c r="AO39" s="238" t="str">
        <f t="shared" si="2"/>
        <v>SG21</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6000</v>
      </c>
      <c r="G40" s="1515">
        <v>39</v>
      </c>
      <c r="H40" s="1516">
        <v>10</v>
      </c>
      <c r="I40" s="1514"/>
      <c r="J40" s="1515"/>
      <c r="K40" s="1516"/>
      <c r="L40" s="1517" t="s">
        <v>703</v>
      </c>
      <c r="M40" s="1517" t="s">
        <v>1393</v>
      </c>
      <c r="N40" s="1689" t="s">
        <v>116</v>
      </c>
      <c r="O40" s="1645"/>
      <c r="P40" s="245" t="b">
        <f t="shared" si="3"/>
        <v>0</v>
      </c>
      <c r="R40" s="245" t="b">
        <f t="shared" si="1"/>
        <v>0</v>
      </c>
      <c r="AO40" s="238" t="str">
        <f t="shared" si="2"/>
        <v>SG21</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6000</v>
      </c>
      <c r="G41" s="1515">
        <v>47</v>
      </c>
      <c r="H41" s="1516">
        <v>10</v>
      </c>
      <c r="I41" s="1514"/>
      <c r="J41" s="1515"/>
      <c r="K41" s="1516"/>
      <c r="L41" s="1517" t="s">
        <v>703</v>
      </c>
      <c r="M41" s="1517" t="s">
        <v>1393</v>
      </c>
      <c r="N41" s="1689" t="s">
        <v>116</v>
      </c>
      <c r="O41" s="1645"/>
      <c r="P41" s="245" t="b">
        <f t="shared" si="3"/>
        <v>0</v>
      </c>
      <c r="R41" s="245" t="b">
        <f t="shared" si="1"/>
        <v>0</v>
      </c>
      <c r="AO41" s="238" t="str">
        <f t="shared" si="2"/>
        <v>SG21</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456</v>
      </c>
      <c r="G42" s="1515">
        <v>7</v>
      </c>
      <c r="H42" s="1516">
        <v>10</v>
      </c>
      <c r="I42" s="1514"/>
      <c r="J42" s="1515"/>
      <c r="K42" s="1516"/>
      <c r="L42" s="1517" t="s">
        <v>703</v>
      </c>
      <c r="M42" s="1517" t="s">
        <v>1393</v>
      </c>
      <c r="N42" s="1689" t="s">
        <v>116</v>
      </c>
      <c r="O42" s="1645"/>
      <c r="P42" s="245" t="b">
        <f t="shared" si="3"/>
        <v>0</v>
      </c>
      <c r="R42" s="245" t="b">
        <f t="shared" si="1"/>
        <v>0</v>
      </c>
      <c r="AO42" s="238" t="str">
        <f t="shared" si="2"/>
        <v>SG21</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456</v>
      </c>
      <c r="G43" s="1515">
        <v>15</v>
      </c>
      <c r="H43" s="1516">
        <v>10</v>
      </c>
      <c r="I43" s="1514"/>
      <c r="J43" s="1515"/>
      <c r="K43" s="1516"/>
      <c r="L43" s="1517" t="s">
        <v>703</v>
      </c>
      <c r="M43" s="1517" t="s">
        <v>1393</v>
      </c>
      <c r="N43" s="1689" t="s">
        <v>116</v>
      </c>
      <c r="O43" s="1645"/>
      <c r="P43" s="245" t="b">
        <f t="shared" si="3"/>
        <v>0</v>
      </c>
      <c r="R43" s="245" t="b">
        <f t="shared" si="1"/>
        <v>0</v>
      </c>
      <c r="AO43" s="238" t="str">
        <f t="shared" si="2"/>
        <v>SG21</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456</v>
      </c>
      <c r="G44" s="1515">
        <v>23</v>
      </c>
      <c r="H44" s="1516">
        <v>10</v>
      </c>
      <c r="I44" s="1514"/>
      <c r="J44" s="1515"/>
      <c r="K44" s="1516"/>
      <c r="L44" s="1517" t="s">
        <v>703</v>
      </c>
      <c r="M44" s="1517" t="s">
        <v>1393</v>
      </c>
      <c r="N44" s="1689" t="s">
        <v>116</v>
      </c>
      <c r="O44" s="1645"/>
      <c r="P44" s="245" t="b">
        <f t="shared" si="3"/>
        <v>0</v>
      </c>
      <c r="R44" s="245" t="b">
        <f t="shared" si="1"/>
        <v>0</v>
      </c>
      <c r="AO44" s="238" t="str">
        <f t="shared" si="2"/>
        <v>SG21</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456</v>
      </c>
      <c r="G45" s="1515">
        <v>31</v>
      </c>
      <c r="H45" s="1516">
        <v>10</v>
      </c>
      <c r="I45" s="1514"/>
      <c r="J45" s="1515"/>
      <c r="K45" s="1516"/>
      <c r="L45" s="1517" t="s">
        <v>703</v>
      </c>
      <c r="M45" s="1517" t="s">
        <v>1393</v>
      </c>
      <c r="N45" s="1689" t="s">
        <v>116</v>
      </c>
      <c r="O45" s="1645"/>
      <c r="P45" s="245" t="b">
        <f t="shared" si="3"/>
        <v>0</v>
      </c>
      <c r="R45" s="245" t="b">
        <f t="shared" si="1"/>
        <v>0</v>
      </c>
      <c r="AO45" s="238" t="str">
        <f t="shared" si="2"/>
        <v>SG21</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456</v>
      </c>
      <c r="G46" s="1515">
        <v>39</v>
      </c>
      <c r="H46" s="1516">
        <v>10</v>
      </c>
      <c r="I46" s="1514"/>
      <c r="J46" s="1515"/>
      <c r="K46" s="1516"/>
      <c r="L46" s="1517" t="s">
        <v>703</v>
      </c>
      <c r="M46" s="1517" t="s">
        <v>1393</v>
      </c>
      <c r="N46" s="1689" t="s">
        <v>116</v>
      </c>
      <c r="O46" s="1645"/>
      <c r="P46" s="245" t="b">
        <f t="shared" si="3"/>
        <v>0</v>
      </c>
      <c r="R46" s="245" t="b">
        <f t="shared" si="1"/>
        <v>0</v>
      </c>
      <c r="AO46" s="238" t="str">
        <f t="shared" si="2"/>
        <v>SG21</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456</v>
      </c>
      <c r="G47" s="1515">
        <v>47</v>
      </c>
      <c r="H47" s="1516">
        <v>10</v>
      </c>
      <c r="I47" s="1514"/>
      <c r="J47" s="1515"/>
      <c r="K47" s="1516"/>
      <c r="L47" s="1517" t="s">
        <v>703</v>
      </c>
      <c r="M47" s="1517" t="s">
        <v>1393</v>
      </c>
      <c r="N47" s="1689" t="s">
        <v>116</v>
      </c>
      <c r="O47" s="1645"/>
      <c r="P47" s="245" t="b">
        <f t="shared" si="3"/>
        <v>0</v>
      </c>
      <c r="R47" s="245" t="b">
        <f t="shared" si="1"/>
        <v>0</v>
      </c>
      <c r="AO47" s="238" t="str">
        <f t="shared" si="2"/>
        <v>SG21</v>
      </c>
      <c r="AP47" s="945" t="b">
        <v>0</v>
      </c>
      <c r="AQ47" s="1323"/>
      <c r="AR47" s="1324"/>
      <c r="AS47" s="1324"/>
      <c r="AT47" s="1324"/>
      <c r="AU47" s="1324"/>
      <c r="AV47" s="1324"/>
      <c r="AW47" s="1324"/>
      <c r="AX47" s="1324"/>
      <c r="AY47" s="1324"/>
      <c r="AZ47" s="1324"/>
      <c r="BA47" s="1533"/>
      <c r="BB47" s="1533"/>
      <c r="BC47" s="1534"/>
    </row>
    <row r="48" spans="1:55" ht="14.1" customHeight="1" x14ac:dyDescent="0.2">
      <c r="A48" s="1511" t="s">
        <v>1973</v>
      </c>
      <c r="B48" s="1512" t="s">
        <v>155</v>
      </c>
      <c r="C48" s="1512" t="s">
        <v>165</v>
      </c>
      <c r="D48" s="1512" t="s">
        <v>145</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SG22</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155</v>
      </c>
      <c r="C49" s="1512" t="s">
        <v>165</v>
      </c>
      <c r="D49" s="1512" t="s">
        <v>159</v>
      </c>
      <c r="E49" s="1513"/>
      <c r="F49" s="1514">
        <v>250</v>
      </c>
      <c r="G49" s="1515"/>
      <c r="H49" s="1516"/>
      <c r="I49" s="1514"/>
      <c r="J49" s="1515"/>
      <c r="K49" s="1516"/>
      <c r="L49" s="1517" t="s">
        <v>116</v>
      </c>
      <c r="M49" s="1517" t="s">
        <v>1393</v>
      </c>
      <c r="N49" s="1689" t="s">
        <v>116</v>
      </c>
      <c r="O49" s="1645"/>
      <c r="P49" s="245" t="b">
        <f t="shared" si="3"/>
        <v>0</v>
      </c>
      <c r="R49" s="245" t="b">
        <f t="shared" si="1"/>
        <v>1</v>
      </c>
      <c r="AO49" s="238" t="str">
        <f t="shared" si="2"/>
        <v>SG22</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154</v>
      </c>
      <c r="C50" s="1512" t="s">
        <v>165</v>
      </c>
      <c r="D50" s="1512" t="s">
        <v>145</v>
      </c>
      <c r="E50" s="1513"/>
      <c r="F50" s="1514">
        <v>1500</v>
      </c>
      <c r="G50" s="1515"/>
      <c r="H50" s="1516"/>
      <c r="I50" s="1514"/>
      <c r="J50" s="1515"/>
      <c r="K50" s="1516"/>
      <c r="L50" s="1517" t="s">
        <v>116</v>
      </c>
      <c r="M50" s="1517" t="s">
        <v>1393</v>
      </c>
      <c r="N50" s="1689" t="s">
        <v>116</v>
      </c>
      <c r="O50" s="1645"/>
      <c r="P50" s="245" t="b">
        <f t="shared" si="3"/>
        <v>0</v>
      </c>
      <c r="R50" s="245" t="b">
        <f t="shared" si="1"/>
        <v>1</v>
      </c>
      <c r="AO50" s="238" t="str">
        <f t="shared" si="2"/>
        <v>SG22</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154</v>
      </c>
      <c r="C51" s="1512" t="s">
        <v>165</v>
      </c>
      <c r="D51" s="1512" t="s">
        <v>145</v>
      </c>
      <c r="E51" s="1513"/>
      <c r="F51" s="1514">
        <v>2220</v>
      </c>
      <c r="G51" s="1515"/>
      <c r="H51" s="1516"/>
      <c r="I51" s="1514"/>
      <c r="J51" s="1515"/>
      <c r="K51" s="1516"/>
      <c r="L51" s="1517" t="s">
        <v>116</v>
      </c>
      <c r="M51" s="1517" t="s">
        <v>1393</v>
      </c>
      <c r="N51" s="1689" t="s">
        <v>116</v>
      </c>
      <c r="O51" s="1645"/>
      <c r="P51" s="245" t="b">
        <f t="shared" si="3"/>
        <v>0</v>
      </c>
      <c r="R51" s="245" t="b">
        <f t="shared" si="1"/>
        <v>1</v>
      </c>
      <c r="AO51" s="238" t="str">
        <f t="shared" si="2"/>
        <v>SG22</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6000</v>
      </c>
      <c r="G52" s="1515">
        <v>7</v>
      </c>
      <c r="H52" s="1516">
        <v>10</v>
      </c>
      <c r="I52" s="1514"/>
      <c r="J52" s="1515"/>
      <c r="K52" s="1516"/>
      <c r="L52" s="1517" t="s">
        <v>703</v>
      </c>
      <c r="M52" s="1517" t="s">
        <v>1393</v>
      </c>
      <c r="N52" s="1689" t="s">
        <v>116</v>
      </c>
      <c r="O52" s="1645"/>
      <c r="P52" s="245" t="b">
        <f t="shared" si="3"/>
        <v>0</v>
      </c>
      <c r="R52" s="245" t="b">
        <f t="shared" si="1"/>
        <v>0</v>
      </c>
      <c r="AO52" s="238" t="str">
        <f t="shared" si="2"/>
        <v>SG22</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6000</v>
      </c>
      <c r="G53" s="1515">
        <v>15</v>
      </c>
      <c r="H53" s="1516">
        <v>10</v>
      </c>
      <c r="I53" s="1514"/>
      <c r="J53" s="1515"/>
      <c r="K53" s="1516"/>
      <c r="L53" s="1517" t="s">
        <v>703</v>
      </c>
      <c r="M53" s="1517" t="s">
        <v>1393</v>
      </c>
      <c r="N53" s="1689" t="s">
        <v>116</v>
      </c>
      <c r="O53" s="1645"/>
      <c r="P53" s="245" t="b">
        <f t="shared" si="3"/>
        <v>0</v>
      </c>
      <c r="R53" s="245" t="b">
        <f t="shared" si="1"/>
        <v>0</v>
      </c>
      <c r="AO53" s="238" t="str">
        <f t="shared" si="2"/>
        <v>SG22</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6000</v>
      </c>
      <c r="G54" s="1515">
        <v>23</v>
      </c>
      <c r="H54" s="1516">
        <v>10</v>
      </c>
      <c r="I54" s="1514"/>
      <c r="J54" s="1515"/>
      <c r="K54" s="1516"/>
      <c r="L54" s="1517" t="s">
        <v>703</v>
      </c>
      <c r="M54" s="1517" t="s">
        <v>1393</v>
      </c>
      <c r="N54" s="1689" t="s">
        <v>116</v>
      </c>
      <c r="O54" s="1645"/>
      <c r="P54" s="245" t="b">
        <f t="shared" si="3"/>
        <v>0</v>
      </c>
      <c r="R54" s="245" t="b">
        <f t="shared" si="1"/>
        <v>0</v>
      </c>
      <c r="AO54" s="238" t="str">
        <f t="shared" si="2"/>
        <v>SG22</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6000</v>
      </c>
      <c r="G55" s="1524">
        <v>31</v>
      </c>
      <c r="H55" s="1525">
        <v>10</v>
      </c>
      <c r="I55" s="1523"/>
      <c r="J55" s="1524"/>
      <c r="K55" s="1525"/>
      <c r="L55" s="1526" t="s">
        <v>703</v>
      </c>
      <c r="M55" s="1526" t="s">
        <v>1393</v>
      </c>
      <c r="N55" s="1690"/>
      <c r="O55" s="1645"/>
      <c r="P55" s="245" t="b">
        <f t="shared" si="3"/>
        <v>0</v>
      </c>
      <c r="R55" s="245" t="b">
        <f t="shared" si="1"/>
        <v>0</v>
      </c>
      <c r="AO55" s="238" t="str">
        <f t="shared" si="2"/>
        <v>SG22</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69" priority="4" stopIfTrue="1">
      <formula>AND($B14="NU",F14&lt;0)</formula>
    </cfRule>
  </conditionalFormatting>
  <conditionalFormatting sqref="B14:B55">
    <cfRule type="expression" dxfId="268" priority="5" stopIfTrue="1">
      <formula>OR(AND($B14="NU",F14&lt;0),AND($B14="NU",I14&lt;0))</formula>
    </cfRule>
  </conditionalFormatting>
  <conditionalFormatting sqref="G14:H55 J14:L55">
    <cfRule type="expression" dxfId="267" priority="6" stopIfTrue="1">
      <formula>$R14</formula>
    </cfRule>
  </conditionalFormatting>
  <conditionalFormatting sqref="I2:K4">
    <cfRule type="cellIs" dxfId="266" priority="7" stopIfTrue="1" operator="equal">
      <formula>""</formula>
    </cfRule>
  </conditionalFormatting>
  <conditionalFormatting sqref="I14:I55">
    <cfRule type="expression" dxfId="265" priority="8" stopIfTrue="1">
      <formula>OR($R14,$B14="CZ",AND($B14="NU",I14&lt;0))</formula>
    </cfRule>
  </conditionalFormatting>
  <conditionalFormatting sqref="A14:A55">
    <cfRule type="expression" dxfId="264" priority="3">
      <formula>NOT($P14)</formula>
    </cfRule>
  </conditionalFormatting>
  <conditionalFormatting sqref="B14:D55">
    <cfRule type="expression" dxfId="2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62" priority="9">
      <formula>AND(NOT($P14),$T$1)</formula>
    </cfRule>
    <cfRule type="expression" dxfId="261" priority="10">
      <formula>AND($AP14,$S$1="M")</formula>
    </cfRule>
  </conditionalFormatting>
  <conditionalFormatting sqref="L14:L55">
    <cfRule type="expression" dxfId="2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69E040B2-EDAF-44BA-8C65-C614758D011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702F33E-090A-43A8-AEF3-2791B82C97AF}">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A5B7355-D5A5-475F-80E6-362930AFC3F2}">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D8494D0-0443-445F-B0C8-CDD8873585E2}">
      <formula1>IF($CA$14,$CA$16:$CA$21,$CB$16:$CB$19)</formula1>
    </dataValidation>
    <dataValidation type="list" allowBlank="1" showErrorMessage="1" errorTitle="Invalid Type" error="You MUST select a Type from the dropdown list provided._x000a__x000a_Also, make sure your Cap Lock is turned on." sqref="B14:B55" xr:uid="{88E96B39-D305-40E0-9BAD-1D3AA25265B5}">
      <formula1>$BF$15:$BU$15</formula1>
    </dataValidation>
    <dataValidation allowBlank="1" showInputMessage="1" errorTitle="Invalid Load Case" error="You MUST use a Load Case from the list provided." sqref="M14:M55" xr:uid="{DC7A20C1-1F95-47C8-B610-767044429DA6}"/>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0E1F4-6494-434C-8BAF-9491FC0E94B6}">
  <sheetPr codeName="Sheet4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6000</v>
      </c>
      <c r="G14" s="1507">
        <v>39</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6000</v>
      </c>
      <c r="G15" s="1515">
        <v>47</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456</v>
      </c>
      <c r="G16" s="1515">
        <v>7</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456</v>
      </c>
      <c r="G17" s="1515">
        <v>15</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456</v>
      </c>
      <c r="G18" s="1515">
        <v>23</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456</v>
      </c>
      <c r="G19" s="1515">
        <v>31</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456</v>
      </c>
      <c r="G20" s="1515">
        <v>39</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456</v>
      </c>
      <c r="G21" s="1515">
        <v>47</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t="s">
        <v>1974</v>
      </c>
      <c r="B22" s="1512" t="s">
        <v>155</v>
      </c>
      <c r="C22" s="1512" t="s">
        <v>165</v>
      </c>
      <c r="D22" s="1512" t="s">
        <v>145</v>
      </c>
      <c r="E22" s="1513"/>
      <c r="F22" s="1514">
        <v>250</v>
      </c>
      <c r="G22" s="1515"/>
      <c r="H22" s="1516"/>
      <c r="I22" s="1514"/>
      <c r="J22" s="1515"/>
      <c r="K22" s="1516"/>
      <c r="L22" s="1517" t="s">
        <v>116</v>
      </c>
      <c r="M22" s="1518" t="s">
        <v>1393</v>
      </c>
      <c r="N22" s="1519"/>
      <c r="O22" s="1646"/>
      <c r="P22" s="245" t="b">
        <f t="shared" si="3"/>
        <v>0</v>
      </c>
      <c r="R22" s="245" t="b">
        <f t="shared" si="1"/>
        <v>1</v>
      </c>
      <c r="AO22" s="238" t="str">
        <f t="shared" si="2"/>
        <v>SG23</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155</v>
      </c>
      <c r="C23" s="1512" t="s">
        <v>165</v>
      </c>
      <c r="D23" s="1512" t="s">
        <v>159</v>
      </c>
      <c r="E23" s="1513"/>
      <c r="F23" s="1514">
        <v>250</v>
      </c>
      <c r="G23" s="1515"/>
      <c r="H23" s="1516"/>
      <c r="I23" s="1514"/>
      <c r="J23" s="1515"/>
      <c r="K23" s="1516"/>
      <c r="L23" s="1517" t="s">
        <v>116</v>
      </c>
      <c r="M23" s="1518" t="s">
        <v>1393</v>
      </c>
      <c r="N23" s="1519"/>
      <c r="O23" s="1646"/>
      <c r="P23" s="245" t="b">
        <f t="shared" si="3"/>
        <v>0</v>
      </c>
      <c r="R23" s="245" t="b">
        <f t="shared" si="1"/>
        <v>1</v>
      </c>
      <c r="AO23" s="238" t="str">
        <f t="shared" si="2"/>
        <v>SG23</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154</v>
      </c>
      <c r="C24" s="1512" t="s">
        <v>165</v>
      </c>
      <c r="D24" s="1512" t="s">
        <v>145</v>
      </c>
      <c r="E24" s="1513"/>
      <c r="F24" s="1514">
        <v>1500</v>
      </c>
      <c r="G24" s="1515"/>
      <c r="H24" s="1516"/>
      <c r="I24" s="1514"/>
      <c r="J24" s="1515"/>
      <c r="K24" s="1516"/>
      <c r="L24" s="1517" t="s">
        <v>116</v>
      </c>
      <c r="M24" s="1518" t="s">
        <v>1393</v>
      </c>
      <c r="N24" s="1519"/>
      <c r="O24" s="1646"/>
      <c r="P24" s="245" t="b">
        <f t="shared" si="3"/>
        <v>0</v>
      </c>
      <c r="R24" s="245" t="b">
        <f t="shared" si="1"/>
        <v>1</v>
      </c>
      <c r="AO24" s="238" t="str">
        <f t="shared" si="2"/>
        <v>SG23</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6000</v>
      </c>
      <c r="G25" s="1515">
        <v>7</v>
      </c>
      <c r="H25" s="1516">
        <v>10</v>
      </c>
      <c r="I25" s="1514"/>
      <c r="J25" s="1515"/>
      <c r="K25" s="1516"/>
      <c r="L25" s="1517" t="s">
        <v>703</v>
      </c>
      <c r="M25" s="1518" t="s">
        <v>1393</v>
      </c>
      <c r="N25" s="1519"/>
      <c r="O25" s="1646"/>
      <c r="P25" s="245" t="b">
        <f t="shared" si="3"/>
        <v>0</v>
      </c>
      <c r="R25" s="245" t="b">
        <f t="shared" si="1"/>
        <v>0</v>
      </c>
      <c r="AO25" s="238" t="str">
        <f t="shared" si="2"/>
        <v>SG23</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6000</v>
      </c>
      <c r="G26" s="1515">
        <v>15</v>
      </c>
      <c r="H26" s="1516">
        <v>10</v>
      </c>
      <c r="I26" s="1514"/>
      <c r="J26" s="1515"/>
      <c r="K26" s="1516"/>
      <c r="L26" s="1517" t="s">
        <v>703</v>
      </c>
      <c r="M26" s="1518" t="s">
        <v>1393</v>
      </c>
      <c r="N26" s="1519"/>
      <c r="O26" s="1646"/>
      <c r="P26" s="245" t="b">
        <f t="shared" si="3"/>
        <v>0</v>
      </c>
      <c r="R26" s="245" t="b">
        <f t="shared" si="1"/>
        <v>0</v>
      </c>
      <c r="AO26" s="238" t="str">
        <f t="shared" si="2"/>
        <v>SG23</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6000</v>
      </c>
      <c r="G27" s="1515">
        <v>23</v>
      </c>
      <c r="H27" s="1516">
        <v>10</v>
      </c>
      <c r="I27" s="1514"/>
      <c r="J27" s="1515"/>
      <c r="K27" s="1516"/>
      <c r="L27" s="1517" t="s">
        <v>703</v>
      </c>
      <c r="M27" s="1518" t="s">
        <v>1393</v>
      </c>
      <c r="N27" s="1519"/>
      <c r="O27" s="1646"/>
      <c r="P27" s="245" t="b">
        <f t="shared" si="3"/>
        <v>0</v>
      </c>
      <c r="R27" s="245" t="b">
        <f t="shared" si="1"/>
        <v>0</v>
      </c>
      <c r="AO27" s="238" t="str">
        <f t="shared" si="2"/>
        <v>SG23</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6000</v>
      </c>
      <c r="G28" s="1515">
        <v>31</v>
      </c>
      <c r="H28" s="1516">
        <v>10</v>
      </c>
      <c r="I28" s="1514"/>
      <c r="J28" s="1515"/>
      <c r="K28" s="1516"/>
      <c r="L28" s="1517" t="s">
        <v>703</v>
      </c>
      <c r="M28" s="1518" t="s">
        <v>1393</v>
      </c>
      <c r="N28" s="1689"/>
      <c r="O28" s="1645"/>
      <c r="P28" s="245" t="b">
        <f t="shared" si="3"/>
        <v>0</v>
      </c>
      <c r="R28" s="245" t="b">
        <f t="shared" si="1"/>
        <v>0</v>
      </c>
      <c r="AO28" s="238" t="str">
        <f t="shared" si="2"/>
        <v>SG23</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6000</v>
      </c>
      <c r="G29" s="1515">
        <v>39</v>
      </c>
      <c r="H29" s="1516">
        <v>10</v>
      </c>
      <c r="I29" s="1514"/>
      <c r="J29" s="1515"/>
      <c r="K29" s="1516"/>
      <c r="L29" s="1517" t="s">
        <v>703</v>
      </c>
      <c r="M29" s="1518" t="s">
        <v>1393</v>
      </c>
      <c r="N29" s="1689"/>
      <c r="O29" s="1645"/>
      <c r="P29" s="245" t="b">
        <f t="shared" si="3"/>
        <v>0</v>
      </c>
      <c r="R29" s="245" t="b">
        <f t="shared" si="1"/>
        <v>0</v>
      </c>
      <c r="AO29" s="238" t="str">
        <f t="shared" si="2"/>
        <v>SG23</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6000</v>
      </c>
      <c r="G30" s="1515">
        <v>47</v>
      </c>
      <c r="H30" s="1516">
        <v>10</v>
      </c>
      <c r="I30" s="1514"/>
      <c r="J30" s="1515"/>
      <c r="K30" s="1516"/>
      <c r="L30" s="1517" t="s">
        <v>703</v>
      </c>
      <c r="M30" s="1518" t="s">
        <v>1393</v>
      </c>
      <c r="N30" s="1689" t="s">
        <v>116</v>
      </c>
      <c r="O30" s="1645"/>
      <c r="P30" s="245" t="b">
        <f t="shared" si="3"/>
        <v>0</v>
      </c>
      <c r="R30" s="245" t="b">
        <f t="shared" si="1"/>
        <v>0</v>
      </c>
      <c r="AO30" s="238" t="str">
        <f t="shared" si="2"/>
        <v>SG23</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456</v>
      </c>
      <c r="G31" s="1515">
        <v>7</v>
      </c>
      <c r="H31" s="1516">
        <v>10</v>
      </c>
      <c r="I31" s="1514"/>
      <c r="J31" s="1515"/>
      <c r="K31" s="1516"/>
      <c r="L31" s="1517" t="s">
        <v>703</v>
      </c>
      <c r="M31" s="1517" t="s">
        <v>1393</v>
      </c>
      <c r="N31" s="1689" t="s">
        <v>116</v>
      </c>
      <c r="O31" s="1645"/>
      <c r="P31" s="245" t="b">
        <f t="shared" si="3"/>
        <v>0</v>
      </c>
      <c r="R31" s="245" t="b">
        <f t="shared" si="1"/>
        <v>0</v>
      </c>
      <c r="AO31" s="238" t="str">
        <f t="shared" si="2"/>
        <v>SG23</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456</v>
      </c>
      <c r="G32" s="1515">
        <v>15</v>
      </c>
      <c r="H32" s="1516">
        <v>10</v>
      </c>
      <c r="I32" s="1514"/>
      <c r="J32" s="1515"/>
      <c r="K32" s="1516"/>
      <c r="L32" s="1517" t="s">
        <v>703</v>
      </c>
      <c r="M32" s="1517" t="s">
        <v>1393</v>
      </c>
      <c r="N32" s="1689" t="s">
        <v>116</v>
      </c>
      <c r="O32" s="1645"/>
      <c r="P32" s="245" t="b">
        <f t="shared" si="3"/>
        <v>0</v>
      </c>
      <c r="R32" s="245" t="b">
        <f t="shared" si="1"/>
        <v>0</v>
      </c>
      <c r="AO32" s="238" t="str">
        <f t="shared" si="2"/>
        <v>SG23</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456</v>
      </c>
      <c r="G33" s="1515">
        <v>23</v>
      </c>
      <c r="H33" s="1516">
        <v>10</v>
      </c>
      <c r="I33" s="1514"/>
      <c r="J33" s="1515"/>
      <c r="K33" s="1516"/>
      <c r="L33" s="1517" t="s">
        <v>703</v>
      </c>
      <c r="M33" s="1517" t="s">
        <v>1393</v>
      </c>
      <c r="N33" s="1689" t="s">
        <v>116</v>
      </c>
      <c r="O33" s="1645"/>
      <c r="P33" s="245" t="b">
        <f t="shared" si="3"/>
        <v>0</v>
      </c>
      <c r="R33" s="245" t="b">
        <f t="shared" si="1"/>
        <v>0</v>
      </c>
      <c r="AO33" s="238" t="str">
        <f t="shared" si="2"/>
        <v>SG23</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456</v>
      </c>
      <c r="G34" s="1515">
        <v>31</v>
      </c>
      <c r="H34" s="1516">
        <v>10</v>
      </c>
      <c r="I34" s="1514"/>
      <c r="J34" s="1515"/>
      <c r="K34" s="1516"/>
      <c r="L34" s="1517" t="s">
        <v>703</v>
      </c>
      <c r="M34" s="1517" t="s">
        <v>1393</v>
      </c>
      <c r="N34" s="1689" t="s">
        <v>116</v>
      </c>
      <c r="O34" s="1645"/>
      <c r="P34" s="245" t="b">
        <f t="shared" si="3"/>
        <v>0</v>
      </c>
      <c r="R34" s="245" t="b">
        <f t="shared" si="1"/>
        <v>0</v>
      </c>
      <c r="AO34" s="238" t="str">
        <f t="shared" si="2"/>
        <v>SG23</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456</v>
      </c>
      <c r="G35" s="1515">
        <v>39</v>
      </c>
      <c r="H35" s="1516">
        <v>10</v>
      </c>
      <c r="I35" s="1514"/>
      <c r="J35" s="1515"/>
      <c r="K35" s="1516"/>
      <c r="L35" s="1517" t="s">
        <v>703</v>
      </c>
      <c r="M35" s="1517" t="s">
        <v>1393</v>
      </c>
      <c r="N35" s="1689" t="s">
        <v>116</v>
      </c>
      <c r="O35" s="1645"/>
      <c r="P35" s="245" t="b">
        <f t="shared" si="3"/>
        <v>0</v>
      </c>
      <c r="R35" s="245" t="b">
        <f t="shared" si="1"/>
        <v>0</v>
      </c>
      <c r="AO35" s="238" t="str">
        <f t="shared" si="2"/>
        <v>SG23</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456</v>
      </c>
      <c r="G36" s="1515">
        <v>47</v>
      </c>
      <c r="H36" s="1516">
        <v>10</v>
      </c>
      <c r="I36" s="1514"/>
      <c r="J36" s="1515"/>
      <c r="K36" s="1516"/>
      <c r="L36" s="1517" t="s">
        <v>703</v>
      </c>
      <c r="M36" s="1517" t="s">
        <v>1393</v>
      </c>
      <c r="N36" s="1689" t="s">
        <v>116</v>
      </c>
      <c r="O36" s="1645"/>
      <c r="P36" s="245" t="b">
        <f t="shared" si="3"/>
        <v>0</v>
      </c>
      <c r="R36" s="245" t="b">
        <f t="shared" si="1"/>
        <v>0</v>
      </c>
      <c r="AO36" s="238" t="str">
        <f t="shared" si="2"/>
        <v>SG23</v>
      </c>
      <c r="AP36" s="945" t="b">
        <v>0</v>
      </c>
      <c r="AQ36" s="1323"/>
      <c r="AR36" s="1324"/>
      <c r="AS36" s="1324"/>
      <c r="AT36" s="1324"/>
      <c r="AU36" s="1324"/>
      <c r="AV36" s="1324"/>
      <c r="AW36" s="1324"/>
      <c r="AX36" s="1324"/>
      <c r="AY36" s="1324"/>
      <c r="AZ36" s="1324"/>
      <c r="BA36" s="1533"/>
      <c r="BB36" s="1533"/>
      <c r="BC36" s="1534"/>
    </row>
    <row r="37" spans="1:55" ht="14.1" customHeight="1" x14ac:dyDescent="0.2">
      <c r="A37" s="1511" t="s">
        <v>1975</v>
      </c>
      <c r="B37" s="1512" t="s">
        <v>155</v>
      </c>
      <c r="C37" s="1512" t="s">
        <v>165</v>
      </c>
      <c r="D37" s="1512" t="s">
        <v>145</v>
      </c>
      <c r="E37" s="1513"/>
      <c r="F37" s="1514">
        <v>250</v>
      </c>
      <c r="G37" s="1515"/>
      <c r="H37" s="1516"/>
      <c r="I37" s="1514"/>
      <c r="J37" s="1515"/>
      <c r="K37" s="1516"/>
      <c r="L37" s="1517" t="s">
        <v>116</v>
      </c>
      <c r="M37" s="1517" t="s">
        <v>1393</v>
      </c>
      <c r="N37" s="1689" t="s">
        <v>116</v>
      </c>
      <c r="O37" s="1645"/>
      <c r="P37" s="245" t="b">
        <f t="shared" si="3"/>
        <v>0</v>
      </c>
      <c r="R37" s="245" t="b">
        <f t="shared" si="1"/>
        <v>1</v>
      </c>
      <c r="AO37" s="238" t="str">
        <f t="shared" si="2"/>
        <v>SG24</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155</v>
      </c>
      <c r="C38" s="1512" t="s">
        <v>165</v>
      </c>
      <c r="D38" s="1512" t="s">
        <v>159</v>
      </c>
      <c r="E38" s="1513"/>
      <c r="F38" s="1514">
        <v>250</v>
      </c>
      <c r="G38" s="1515"/>
      <c r="H38" s="1516"/>
      <c r="I38" s="1514"/>
      <c r="J38" s="1515"/>
      <c r="K38" s="1516"/>
      <c r="L38" s="1517" t="s">
        <v>116</v>
      </c>
      <c r="M38" s="1517" t="s">
        <v>1393</v>
      </c>
      <c r="N38" s="1689" t="s">
        <v>116</v>
      </c>
      <c r="O38" s="1645"/>
      <c r="P38" s="245" t="b">
        <f t="shared" si="3"/>
        <v>0</v>
      </c>
      <c r="R38" s="245" t="b">
        <f t="shared" si="1"/>
        <v>1</v>
      </c>
      <c r="AO38" s="238" t="str">
        <f t="shared" si="2"/>
        <v>SG24</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154</v>
      </c>
      <c r="C39" s="1512" t="s">
        <v>165</v>
      </c>
      <c r="D39" s="1512" t="s">
        <v>145</v>
      </c>
      <c r="E39" s="1513"/>
      <c r="F39" s="1514">
        <v>1500</v>
      </c>
      <c r="G39" s="1515"/>
      <c r="H39" s="1516"/>
      <c r="I39" s="1514"/>
      <c r="J39" s="1515"/>
      <c r="K39" s="1516"/>
      <c r="L39" s="1517" t="s">
        <v>116</v>
      </c>
      <c r="M39" s="1517" t="s">
        <v>1393</v>
      </c>
      <c r="N39" s="1689" t="s">
        <v>116</v>
      </c>
      <c r="O39" s="1645"/>
      <c r="P39" s="245" t="b">
        <f t="shared" si="3"/>
        <v>0</v>
      </c>
      <c r="R39" s="245" t="b">
        <f t="shared" si="1"/>
        <v>1</v>
      </c>
      <c r="AO39" s="238" t="str">
        <f t="shared" si="2"/>
        <v>SG24</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154</v>
      </c>
      <c r="C40" s="1512" t="s">
        <v>165</v>
      </c>
      <c r="D40" s="1512" t="s">
        <v>145</v>
      </c>
      <c r="E40" s="1513"/>
      <c r="F40" s="1514">
        <v>720</v>
      </c>
      <c r="G40" s="1515"/>
      <c r="H40" s="1516"/>
      <c r="I40" s="1514"/>
      <c r="J40" s="1515"/>
      <c r="K40" s="1516"/>
      <c r="L40" s="1517" t="s">
        <v>116</v>
      </c>
      <c r="M40" s="1517" t="s">
        <v>1393</v>
      </c>
      <c r="N40" s="1689" t="s">
        <v>116</v>
      </c>
      <c r="O40" s="1645"/>
      <c r="P40" s="245" t="b">
        <f t="shared" si="3"/>
        <v>0</v>
      </c>
      <c r="R40" s="245" t="b">
        <f t="shared" si="1"/>
        <v>1</v>
      </c>
      <c r="AO40" s="238" t="str">
        <f t="shared" si="2"/>
        <v>SG24</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6000</v>
      </c>
      <c r="G41" s="1515">
        <v>3</v>
      </c>
      <c r="H41" s="1516">
        <v>10</v>
      </c>
      <c r="I41" s="1514"/>
      <c r="J41" s="1515"/>
      <c r="K41" s="1516"/>
      <c r="L41" s="1517" t="s">
        <v>703</v>
      </c>
      <c r="M41" s="1517" t="s">
        <v>1393</v>
      </c>
      <c r="N41" s="1689" t="s">
        <v>116</v>
      </c>
      <c r="O41" s="1645"/>
      <c r="P41" s="245" t="b">
        <f t="shared" si="3"/>
        <v>0</v>
      </c>
      <c r="R41" s="245" t="b">
        <f t="shared" si="1"/>
        <v>0</v>
      </c>
      <c r="AO41" s="238" t="str">
        <f t="shared" si="2"/>
        <v>SG24</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6000</v>
      </c>
      <c r="G42" s="1515">
        <v>11</v>
      </c>
      <c r="H42" s="1516">
        <v>10</v>
      </c>
      <c r="I42" s="1514"/>
      <c r="J42" s="1515"/>
      <c r="K42" s="1516"/>
      <c r="L42" s="1517" t="s">
        <v>703</v>
      </c>
      <c r="M42" s="1517" t="s">
        <v>1393</v>
      </c>
      <c r="N42" s="1689" t="s">
        <v>116</v>
      </c>
      <c r="O42" s="1645"/>
      <c r="P42" s="245" t="b">
        <f t="shared" si="3"/>
        <v>0</v>
      </c>
      <c r="R42" s="245" t="b">
        <f t="shared" si="1"/>
        <v>0</v>
      </c>
      <c r="AO42" s="238" t="str">
        <f t="shared" si="2"/>
        <v>SG24</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6000</v>
      </c>
      <c r="G43" s="1515">
        <v>19</v>
      </c>
      <c r="H43" s="1516">
        <v>10</v>
      </c>
      <c r="I43" s="1514"/>
      <c r="J43" s="1515"/>
      <c r="K43" s="1516"/>
      <c r="L43" s="1517" t="s">
        <v>703</v>
      </c>
      <c r="M43" s="1517" t="s">
        <v>1393</v>
      </c>
      <c r="N43" s="1689" t="s">
        <v>116</v>
      </c>
      <c r="O43" s="1645"/>
      <c r="P43" s="245" t="b">
        <f t="shared" si="3"/>
        <v>0</v>
      </c>
      <c r="R43" s="245" t="b">
        <f t="shared" si="1"/>
        <v>0</v>
      </c>
      <c r="AO43" s="238" t="str">
        <f t="shared" si="2"/>
        <v>SG24</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6000</v>
      </c>
      <c r="G44" s="1515">
        <v>27</v>
      </c>
      <c r="H44" s="1516">
        <v>10</v>
      </c>
      <c r="I44" s="1514"/>
      <c r="J44" s="1515"/>
      <c r="K44" s="1516"/>
      <c r="L44" s="1517" t="s">
        <v>703</v>
      </c>
      <c r="M44" s="1517" t="s">
        <v>1393</v>
      </c>
      <c r="N44" s="1689" t="s">
        <v>116</v>
      </c>
      <c r="O44" s="1645"/>
      <c r="P44" s="245" t="b">
        <f t="shared" si="3"/>
        <v>0</v>
      </c>
      <c r="R44" s="245" t="b">
        <f t="shared" si="1"/>
        <v>0</v>
      </c>
      <c r="AO44" s="238" t="str">
        <f t="shared" si="2"/>
        <v>SG24</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6000</v>
      </c>
      <c r="G45" s="1515">
        <v>35</v>
      </c>
      <c r="H45" s="1516">
        <v>10</v>
      </c>
      <c r="I45" s="1514"/>
      <c r="J45" s="1515"/>
      <c r="K45" s="1516"/>
      <c r="L45" s="1517" t="s">
        <v>703</v>
      </c>
      <c r="M45" s="1517" t="s">
        <v>1393</v>
      </c>
      <c r="N45" s="1689" t="s">
        <v>116</v>
      </c>
      <c r="O45" s="1645"/>
      <c r="P45" s="245" t="b">
        <f t="shared" si="3"/>
        <v>0</v>
      </c>
      <c r="R45" s="245" t="b">
        <f t="shared" si="1"/>
        <v>0</v>
      </c>
      <c r="AO45" s="238" t="str">
        <f t="shared" si="2"/>
        <v>SG24</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6000</v>
      </c>
      <c r="G46" s="1515">
        <v>43</v>
      </c>
      <c r="H46" s="1516">
        <v>10</v>
      </c>
      <c r="I46" s="1514"/>
      <c r="J46" s="1515"/>
      <c r="K46" s="1516"/>
      <c r="L46" s="1517" t="s">
        <v>703</v>
      </c>
      <c r="M46" s="1517" t="s">
        <v>1393</v>
      </c>
      <c r="N46" s="1689" t="s">
        <v>116</v>
      </c>
      <c r="O46" s="1645"/>
      <c r="P46" s="245" t="b">
        <f t="shared" si="3"/>
        <v>0</v>
      </c>
      <c r="R46" s="245" t="b">
        <f t="shared" si="1"/>
        <v>0</v>
      </c>
      <c r="AO46" s="238" t="str">
        <f t="shared" si="2"/>
        <v>SG24</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456</v>
      </c>
      <c r="G47" s="1515">
        <v>3</v>
      </c>
      <c r="H47" s="1516">
        <v>10</v>
      </c>
      <c r="I47" s="1514"/>
      <c r="J47" s="1515"/>
      <c r="K47" s="1516"/>
      <c r="L47" s="1517" t="s">
        <v>703</v>
      </c>
      <c r="M47" s="1517" t="s">
        <v>1393</v>
      </c>
      <c r="N47" s="1689" t="s">
        <v>116</v>
      </c>
      <c r="O47" s="1645"/>
      <c r="P47" s="245" t="b">
        <f t="shared" si="3"/>
        <v>0</v>
      </c>
      <c r="R47" s="245" t="b">
        <f t="shared" si="1"/>
        <v>0</v>
      </c>
      <c r="AO47" s="238" t="str">
        <f t="shared" si="2"/>
        <v>SG24</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456</v>
      </c>
      <c r="G48" s="1515">
        <v>11</v>
      </c>
      <c r="H48" s="1516">
        <v>10</v>
      </c>
      <c r="I48" s="1514"/>
      <c r="J48" s="1515"/>
      <c r="K48" s="1516"/>
      <c r="L48" s="1517" t="s">
        <v>703</v>
      </c>
      <c r="M48" s="1517" t="s">
        <v>1393</v>
      </c>
      <c r="N48" s="1689" t="s">
        <v>116</v>
      </c>
      <c r="O48" s="1645"/>
      <c r="P48" s="245" t="b">
        <f t="shared" si="3"/>
        <v>0</v>
      </c>
      <c r="R48" s="245" t="b">
        <f t="shared" si="1"/>
        <v>0</v>
      </c>
      <c r="AO48" s="238" t="str">
        <f t="shared" si="2"/>
        <v>SG24</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456</v>
      </c>
      <c r="G49" s="1515">
        <v>19</v>
      </c>
      <c r="H49" s="1516">
        <v>10</v>
      </c>
      <c r="I49" s="1514"/>
      <c r="J49" s="1515"/>
      <c r="K49" s="1516"/>
      <c r="L49" s="1517" t="s">
        <v>703</v>
      </c>
      <c r="M49" s="1517" t="s">
        <v>1393</v>
      </c>
      <c r="N49" s="1689" t="s">
        <v>116</v>
      </c>
      <c r="O49" s="1645"/>
      <c r="P49" s="245" t="b">
        <f t="shared" si="3"/>
        <v>0</v>
      </c>
      <c r="R49" s="245" t="b">
        <f t="shared" si="1"/>
        <v>0</v>
      </c>
      <c r="AO49" s="238" t="str">
        <f t="shared" si="2"/>
        <v>SG24</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456</v>
      </c>
      <c r="G50" s="1515">
        <v>27</v>
      </c>
      <c r="H50" s="1516">
        <v>10</v>
      </c>
      <c r="I50" s="1514"/>
      <c r="J50" s="1515"/>
      <c r="K50" s="1516"/>
      <c r="L50" s="1517" t="s">
        <v>703</v>
      </c>
      <c r="M50" s="1517" t="s">
        <v>1393</v>
      </c>
      <c r="N50" s="1689" t="s">
        <v>116</v>
      </c>
      <c r="O50" s="1645"/>
      <c r="P50" s="245" t="b">
        <f t="shared" si="3"/>
        <v>0</v>
      </c>
      <c r="R50" s="245" t="b">
        <f t="shared" si="1"/>
        <v>0</v>
      </c>
      <c r="AO50" s="238" t="str">
        <f t="shared" si="2"/>
        <v>SG24</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456</v>
      </c>
      <c r="G51" s="1515">
        <v>35</v>
      </c>
      <c r="H51" s="1516">
        <v>10</v>
      </c>
      <c r="I51" s="1514"/>
      <c r="J51" s="1515"/>
      <c r="K51" s="1516"/>
      <c r="L51" s="1517" t="s">
        <v>703</v>
      </c>
      <c r="M51" s="1517" t="s">
        <v>1393</v>
      </c>
      <c r="N51" s="1689" t="s">
        <v>116</v>
      </c>
      <c r="O51" s="1645"/>
      <c r="P51" s="245" t="b">
        <f t="shared" si="3"/>
        <v>0</v>
      </c>
      <c r="R51" s="245" t="b">
        <f t="shared" si="1"/>
        <v>0</v>
      </c>
      <c r="AO51" s="238" t="str">
        <f t="shared" si="2"/>
        <v>SG24</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456</v>
      </c>
      <c r="G52" s="1515">
        <v>43</v>
      </c>
      <c r="H52" s="1516">
        <v>10</v>
      </c>
      <c r="I52" s="1514"/>
      <c r="J52" s="1515"/>
      <c r="K52" s="1516"/>
      <c r="L52" s="1517" t="s">
        <v>703</v>
      </c>
      <c r="M52" s="1517" t="s">
        <v>1393</v>
      </c>
      <c r="N52" s="1689" t="s">
        <v>116</v>
      </c>
      <c r="O52" s="1645"/>
      <c r="P52" s="245" t="b">
        <f t="shared" si="3"/>
        <v>0</v>
      </c>
      <c r="R52" s="245" t="b">
        <f t="shared" si="1"/>
        <v>0</v>
      </c>
      <c r="AO52" s="238" t="str">
        <f t="shared" si="2"/>
        <v>SG24</v>
      </c>
      <c r="AP52" s="945" t="b">
        <v>0</v>
      </c>
      <c r="AQ52" s="1323"/>
      <c r="AR52" s="1324"/>
      <c r="AS52" s="1324"/>
      <c r="AT52" s="1324"/>
      <c r="AU52" s="1324"/>
      <c r="AV52" s="1324"/>
      <c r="AW52" s="1324"/>
      <c r="AX52" s="1324"/>
      <c r="AY52" s="1324"/>
      <c r="AZ52" s="1324"/>
      <c r="BA52" s="1533"/>
      <c r="BB52" s="1533"/>
      <c r="BC52" s="1534"/>
    </row>
    <row r="53" spans="1:55" ht="14.1" customHeight="1" x14ac:dyDescent="0.2">
      <c r="A53" s="1511" t="s">
        <v>1976</v>
      </c>
      <c r="B53" s="1512" t="s">
        <v>155</v>
      </c>
      <c r="C53" s="1512" t="s">
        <v>165</v>
      </c>
      <c r="D53" s="1512" t="s">
        <v>145</v>
      </c>
      <c r="E53" s="1513"/>
      <c r="F53" s="1514">
        <v>250</v>
      </c>
      <c r="G53" s="1515"/>
      <c r="H53" s="1516"/>
      <c r="I53" s="1514"/>
      <c r="J53" s="1515"/>
      <c r="K53" s="1516"/>
      <c r="L53" s="1517" t="s">
        <v>116</v>
      </c>
      <c r="M53" s="1517" t="s">
        <v>1393</v>
      </c>
      <c r="N53" s="1689" t="s">
        <v>116</v>
      </c>
      <c r="O53" s="1645"/>
      <c r="P53" s="245" t="b">
        <f t="shared" si="3"/>
        <v>0</v>
      </c>
      <c r="R53" s="245" t="b">
        <f t="shared" si="1"/>
        <v>1</v>
      </c>
      <c r="AO53" s="238" t="str">
        <f t="shared" si="2"/>
        <v>SG25</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155</v>
      </c>
      <c r="C54" s="1512" t="s">
        <v>165</v>
      </c>
      <c r="D54" s="1512" t="s">
        <v>159</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SG25</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154</v>
      </c>
      <c r="C55" s="1521" t="s">
        <v>165</v>
      </c>
      <c r="D55" s="1521" t="s">
        <v>145</v>
      </c>
      <c r="E55" s="1522"/>
      <c r="F55" s="1523">
        <v>1500</v>
      </c>
      <c r="G55" s="1524"/>
      <c r="H55" s="1525"/>
      <c r="I55" s="1523"/>
      <c r="J55" s="1524"/>
      <c r="K55" s="1525"/>
      <c r="L55" s="1526" t="s">
        <v>116</v>
      </c>
      <c r="M55" s="1526" t="s">
        <v>1393</v>
      </c>
      <c r="N55" s="1690"/>
      <c r="O55" s="1645"/>
      <c r="P55" s="245" t="b">
        <f t="shared" si="3"/>
        <v>0</v>
      </c>
      <c r="R55" s="245" t="b">
        <f t="shared" si="1"/>
        <v>1</v>
      </c>
      <c r="AO55" s="238" t="str">
        <f t="shared" si="2"/>
        <v>SG25</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59" priority="4" stopIfTrue="1">
      <formula>AND($B14="NU",F14&lt;0)</formula>
    </cfRule>
  </conditionalFormatting>
  <conditionalFormatting sqref="B14:B55">
    <cfRule type="expression" dxfId="258" priority="5" stopIfTrue="1">
      <formula>OR(AND($B14="NU",F14&lt;0),AND($B14="NU",I14&lt;0))</formula>
    </cfRule>
  </conditionalFormatting>
  <conditionalFormatting sqref="G14:H55 J14:L55">
    <cfRule type="expression" dxfId="257" priority="6" stopIfTrue="1">
      <formula>$R14</formula>
    </cfRule>
  </conditionalFormatting>
  <conditionalFormatting sqref="I2:K4">
    <cfRule type="cellIs" dxfId="256" priority="7" stopIfTrue="1" operator="equal">
      <formula>""</formula>
    </cfRule>
  </conditionalFormatting>
  <conditionalFormatting sqref="I14:I55">
    <cfRule type="expression" dxfId="255" priority="8" stopIfTrue="1">
      <formula>OR($R14,$B14="CZ",AND($B14="NU",I14&lt;0))</formula>
    </cfRule>
  </conditionalFormatting>
  <conditionalFormatting sqref="A14:A55">
    <cfRule type="expression" dxfId="254" priority="3">
      <formula>NOT($P14)</formula>
    </cfRule>
  </conditionalFormatting>
  <conditionalFormatting sqref="B14:D55">
    <cfRule type="expression" dxfId="2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52" priority="9">
      <formula>AND(NOT($P14),$T$1)</formula>
    </cfRule>
    <cfRule type="expression" dxfId="251" priority="10">
      <formula>AND($AP14,$S$1="M")</formula>
    </cfRule>
  </conditionalFormatting>
  <conditionalFormatting sqref="L14:L55">
    <cfRule type="expression" dxfId="2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69A9436-2EB8-4381-B98A-C8A6D28061E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B4816DAA-ED78-4C58-ADC4-E42599E31603}">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1A14780B-F12F-4653-9726-7A0724E42164}">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08A61B82-02C6-4BE1-A6D4-4DB10AABB84F}">
      <formula1>IF($CA$14,$CA$16:$CA$21,$CB$16:$CB$19)</formula1>
    </dataValidation>
    <dataValidation type="list" allowBlank="1" showErrorMessage="1" errorTitle="Invalid Type" error="You MUST select a Type from the dropdown list provided._x000a__x000a_Also, make sure your Cap Lock is turned on." sqref="B14:B55" xr:uid="{5F20C8D5-0146-4474-BBC4-85FEB2A05ACF}">
      <formula1>$BF$15:$BU$15</formula1>
    </dataValidation>
    <dataValidation allowBlank="1" showInputMessage="1" errorTitle="Invalid Load Case" error="You MUST use a Load Case from the list provided." sqref="M14:M55" xr:uid="{75969E68-A8E4-46FB-843F-241880694E51}"/>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85D3-0BBE-4A0F-BABD-E7A56290BEC1}">
  <sheetPr codeName="Sheet4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154</v>
      </c>
      <c r="C14" s="1505" t="s">
        <v>165</v>
      </c>
      <c r="D14" s="1505" t="s">
        <v>145</v>
      </c>
      <c r="E14" s="1688"/>
      <c r="F14" s="1506">
        <v>2220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6000</v>
      </c>
      <c r="G15" s="1515">
        <v>7</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6000</v>
      </c>
      <c r="G16" s="1515">
        <v>15</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6000</v>
      </c>
      <c r="G17" s="1515">
        <v>23</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6000</v>
      </c>
      <c r="G18" s="1515">
        <v>31</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6000</v>
      </c>
      <c r="G19" s="1515">
        <v>39</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6000</v>
      </c>
      <c r="G20" s="1515">
        <v>47</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456</v>
      </c>
      <c r="G21" s="1515">
        <v>7</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456</v>
      </c>
      <c r="G22" s="1515">
        <v>15</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456</v>
      </c>
      <c r="G23" s="1515">
        <v>23</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456</v>
      </c>
      <c r="G24" s="1515">
        <v>31</v>
      </c>
      <c r="H24" s="1516">
        <v>10</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456</v>
      </c>
      <c r="G25" s="1515">
        <v>39</v>
      </c>
      <c r="H25" s="1516">
        <v>10</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456</v>
      </c>
      <c r="G26" s="1515">
        <v>47</v>
      </c>
      <c r="H26" s="1516">
        <v>10</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t="s">
        <v>1977</v>
      </c>
      <c r="B27" s="1512" t="s">
        <v>155</v>
      </c>
      <c r="C27" s="1512" t="s">
        <v>165</v>
      </c>
      <c r="D27" s="1512" t="s">
        <v>145</v>
      </c>
      <c r="E27" s="1513"/>
      <c r="F27" s="1514">
        <v>250</v>
      </c>
      <c r="G27" s="1515"/>
      <c r="H27" s="1516"/>
      <c r="I27" s="1514"/>
      <c r="J27" s="1515"/>
      <c r="K27" s="1516"/>
      <c r="L27" s="1517" t="s">
        <v>116</v>
      </c>
      <c r="M27" s="1518" t="s">
        <v>1393</v>
      </c>
      <c r="N27" s="1519"/>
      <c r="O27" s="1646"/>
      <c r="P27" s="245" t="b">
        <f t="shared" si="3"/>
        <v>0</v>
      </c>
      <c r="R27" s="245" t="b">
        <f t="shared" si="1"/>
        <v>1</v>
      </c>
      <c r="AO27" s="238" t="str">
        <f t="shared" si="2"/>
        <v>SG26</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155</v>
      </c>
      <c r="C28" s="1512" t="s">
        <v>165</v>
      </c>
      <c r="D28" s="1512" t="s">
        <v>159</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SG26</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154</v>
      </c>
      <c r="C29" s="1512" t="s">
        <v>165</v>
      </c>
      <c r="D29" s="1512" t="s">
        <v>145</v>
      </c>
      <c r="E29" s="1513"/>
      <c r="F29" s="1514">
        <v>1500</v>
      </c>
      <c r="G29" s="1515"/>
      <c r="H29" s="1516"/>
      <c r="I29" s="1514"/>
      <c r="J29" s="1515"/>
      <c r="K29" s="1516"/>
      <c r="L29" s="1517" t="s">
        <v>116</v>
      </c>
      <c r="M29" s="1518" t="s">
        <v>1393</v>
      </c>
      <c r="N29" s="1689"/>
      <c r="O29" s="1645"/>
      <c r="P29" s="245" t="b">
        <f t="shared" si="3"/>
        <v>0</v>
      </c>
      <c r="R29" s="245" t="b">
        <f t="shared" si="1"/>
        <v>1</v>
      </c>
      <c r="AO29" s="238" t="str">
        <f t="shared" si="2"/>
        <v>SG26</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2220</v>
      </c>
      <c r="G30" s="1515"/>
      <c r="H30" s="1516"/>
      <c r="I30" s="1514"/>
      <c r="J30" s="1515"/>
      <c r="K30" s="1516"/>
      <c r="L30" s="1517" t="s">
        <v>116</v>
      </c>
      <c r="M30" s="1518" t="s">
        <v>1393</v>
      </c>
      <c r="N30" s="1689" t="s">
        <v>116</v>
      </c>
      <c r="O30" s="1645"/>
      <c r="P30" s="245" t="b">
        <f t="shared" si="3"/>
        <v>0</v>
      </c>
      <c r="R30" s="245" t="b">
        <f t="shared" si="1"/>
        <v>1</v>
      </c>
      <c r="AO30" s="238" t="str">
        <f t="shared" si="2"/>
        <v>SG26</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6000</v>
      </c>
      <c r="G31" s="1515">
        <v>3</v>
      </c>
      <c r="H31" s="1516">
        <v>10</v>
      </c>
      <c r="I31" s="1514"/>
      <c r="J31" s="1515"/>
      <c r="K31" s="1516"/>
      <c r="L31" s="1517" t="s">
        <v>703</v>
      </c>
      <c r="M31" s="1517" t="s">
        <v>1393</v>
      </c>
      <c r="N31" s="1689" t="s">
        <v>116</v>
      </c>
      <c r="O31" s="1645"/>
      <c r="P31" s="245" t="b">
        <f t="shared" si="3"/>
        <v>0</v>
      </c>
      <c r="R31" s="245" t="b">
        <f t="shared" si="1"/>
        <v>0</v>
      </c>
      <c r="AO31" s="238" t="str">
        <f t="shared" si="2"/>
        <v>SG26</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6000</v>
      </c>
      <c r="G32" s="1515">
        <v>11</v>
      </c>
      <c r="H32" s="1516">
        <v>10</v>
      </c>
      <c r="I32" s="1514"/>
      <c r="J32" s="1515"/>
      <c r="K32" s="1516"/>
      <c r="L32" s="1517" t="s">
        <v>703</v>
      </c>
      <c r="M32" s="1517" t="s">
        <v>1393</v>
      </c>
      <c r="N32" s="1689" t="s">
        <v>116</v>
      </c>
      <c r="O32" s="1645"/>
      <c r="P32" s="245" t="b">
        <f t="shared" si="3"/>
        <v>0</v>
      </c>
      <c r="R32" s="245" t="b">
        <f t="shared" si="1"/>
        <v>0</v>
      </c>
      <c r="AO32" s="238" t="str">
        <f t="shared" si="2"/>
        <v>SG26</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6000</v>
      </c>
      <c r="G33" s="1515">
        <v>19</v>
      </c>
      <c r="H33" s="1516">
        <v>10</v>
      </c>
      <c r="I33" s="1514"/>
      <c r="J33" s="1515"/>
      <c r="K33" s="1516"/>
      <c r="L33" s="1517" t="s">
        <v>703</v>
      </c>
      <c r="M33" s="1517" t="s">
        <v>1393</v>
      </c>
      <c r="N33" s="1689" t="s">
        <v>116</v>
      </c>
      <c r="O33" s="1645"/>
      <c r="P33" s="245" t="b">
        <f t="shared" si="3"/>
        <v>0</v>
      </c>
      <c r="R33" s="245" t="b">
        <f t="shared" si="1"/>
        <v>0</v>
      </c>
      <c r="AO33" s="238" t="str">
        <f t="shared" si="2"/>
        <v>SG26</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6000</v>
      </c>
      <c r="G34" s="1515">
        <v>27</v>
      </c>
      <c r="H34" s="1516">
        <v>10</v>
      </c>
      <c r="I34" s="1514"/>
      <c r="J34" s="1515"/>
      <c r="K34" s="1516"/>
      <c r="L34" s="1517" t="s">
        <v>703</v>
      </c>
      <c r="M34" s="1517" t="s">
        <v>1393</v>
      </c>
      <c r="N34" s="1689" t="s">
        <v>116</v>
      </c>
      <c r="O34" s="1645"/>
      <c r="P34" s="245" t="b">
        <f t="shared" si="3"/>
        <v>0</v>
      </c>
      <c r="R34" s="245" t="b">
        <f t="shared" si="1"/>
        <v>0</v>
      </c>
      <c r="AO34" s="238" t="str">
        <f t="shared" si="2"/>
        <v>SG26</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6000</v>
      </c>
      <c r="G35" s="1515">
        <v>35</v>
      </c>
      <c r="H35" s="1516">
        <v>10</v>
      </c>
      <c r="I35" s="1514"/>
      <c r="J35" s="1515"/>
      <c r="K35" s="1516"/>
      <c r="L35" s="1517" t="s">
        <v>703</v>
      </c>
      <c r="M35" s="1517" t="s">
        <v>1393</v>
      </c>
      <c r="N35" s="1689" t="s">
        <v>116</v>
      </c>
      <c r="O35" s="1645"/>
      <c r="P35" s="245" t="b">
        <f t="shared" si="3"/>
        <v>0</v>
      </c>
      <c r="R35" s="245" t="b">
        <f t="shared" si="1"/>
        <v>0</v>
      </c>
      <c r="AO35" s="238" t="str">
        <f t="shared" si="2"/>
        <v>SG26</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6000</v>
      </c>
      <c r="G36" s="1515">
        <v>43</v>
      </c>
      <c r="H36" s="1516">
        <v>10</v>
      </c>
      <c r="I36" s="1514"/>
      <c r="J36" s="1515"/>
      <c r="K36" s="1516"/>
      <c r="L36" s="1517" t="s">
        <v>703</v>
      </c>
      <c r="M36" s="1517" t="s">
        <v>1393</v>
      </c>
      <c r="N36" s="1689" t="s">
        <v>116</v>
      </c>
      <c r="O36" s="1645"/>
      <c r="P36" s="245" t="b">
        <f t="shared" si="3"/>
        <v>0</v>
      </c>
      <c r="R36" s="245" t="b">
        <f t="shared" si="1"/>
        <v>0</v>
      </c>
      <c r="AO36" s="238" t="str">
        <f t="shared" si="2"/>
        <v>SG26</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456</v>
      </c>
      <c r="G37" s="1515">
        <v>3</v>
      </c>
      <c r="H37" s="1516">
        <v>10</v>
      </c>
      <c r="I37" s="1514"/>
      <c r="J37" s="1515"/>
      <c r="K37" s="1516"/>
      <c r="L37" s="1517" t="s">
        <v>703</v>
      </c>
      <c r="M37" s="1517" t="s">
        <v>1393</v>
      </c>
      <c r="N37" s="1689" t="s">
        <v>116</v>
      </c>
      <c r="O37" s="1645"/>
      <c r="P37" s="245" t="b">
        <f t="shared" si="3"/>
        <v>0</v>
      </c>
      <c r="R37" s="245" t="b">
        <f t="shared" si="1"/>
        <v>0</v>
      </c>
      <c r="AO37" s="238" t="str">
        <f t="shared" si="2"/>
        <v>SG26</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456</v>
      </c>
      <c r="G38" s="1515">
        <v>11</v>
      </c>
      <c r="H38" s="1516">
        <v>10</v>
      </c>
      <c r="I38" s="1514"/>
      <c r="J38" s="1515"/>
      <c r="K38" s="1516"/>
      <c r="L38" s="1517" t="s">
        <v>703</v>
      </c>
      <c r="M38" s="1517" t="s">
        <v>1393</v>
      </c>
      <c r="N38" s="1689" t="s">
        <v>116</v>
      </c>
      <c r="O38" s="1645"/>
      <c r="P38" s="245" t="b">
        <f t="shared" si="3"/>
        <v>0</v>
      </c>
      <c r="R38" s="245" t="b">
        <f t="shared" si="1"/>
        <v>0</v>
      </c>
      <c r="AO38" s="238" t="str">
        <f t="shared" si="2"/>
        <v>SG26</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456</v>
      </c>
      <c r="G39" s="1515">
        <v>19</v>
      </c>
      <c r="H39" s="1516">
        <v>10</v>
      </c>
      <c r="I39" s="1514"/>
      <c r="J39" s="1515"/>
      <c r="K39" s="1516"/>
      <c r="L39" s="1517" t="s">
        <v>703</v>
      </c>
      <c r="M39" s="1517" t="s">
        <v>1393</v>
      </c>
      <c r="N39" s="1689" t="s">
        <v>116</v>
      </c>
      <c r="O39" s="1645"/>
      <c r="P39" s="245" t="b">
        <f t="shared" si="3"/>
        <v>0</v>
      </c>
      <c r="R39" s="245" t="b">
        <f t="shared" si="1"/>
        <v>0</v>
      </c>
      <c r="AO39" s="238" t="str">
        <f t="shared" si="2"/>
        <v>SG26</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456</v>
      </c>
      <c r="G40" s="1515">
        <v>27</v>
      </c>
      <c r="H40" s="1516">
        <v>10</v>
      </c>
      <c r="I40" s="1514"/>
      <c r="J40" s="1515"/>
      <c r="K40" s="1516"/>
      <c r="L40" s="1517" t="s">
        <v>703</v>
      </c>
      <c r="M40" s="1517" t="s">
        <v>1393</v>
      </c>
      <c r="N40" s="1689" t="s">
        <v>116</v>
      </c>
      <c r="O40" s="1645"/>
      <c r="P40" s="245" t="b">
        <f t="shared" si="3"/>
        <v>0</v>
      </c>
      <c r="R40" s="245" t="b">
        <f t="shared" si="1"/>
        <v>0</v>
      </c>
      <c r="AO40" s="238" t="str">
        <f t="shared" si="2"/>
        <v>SG26</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456</v>
      </c>
      <c r="G41" s="1515">
        <v>35</v>
      </c>
      <c r="H41" s="1516">
        <v>10</v>
      </c>
      <c r="I41" s="1514"/>
      <c r="J41" s="1515"/>
      <c r="K41" s="1516"/>
      <c r="L41" s="1517" t="s">
        <v>703</v>
      </c>
      <c r="M41" s="1517" t="s">
        <v>1393</v>
      </c>
      <c r="N41" s="1689" t="s">
        <v>116</v>
      </c>
      <c r="O41" s="1645"/>
      <c r="P41" s="245" t="b">
        <f t="shared" si="3"/>
        <v>0</v>
      </c>
      <c r="R41" s="245" t="b">
        <f t="shared" si="1"/>
        <v>0</v>
      </c>
      <c r="AO41" s="238" t="str">
        <f t="shared" si="2"/>
        <v>SG26</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456</v>
      </c>
      <c r="G42" s="1515">
        <v>43</v>
      </c>
      <c r="H42" s="1516">
        <v>10</v>
      </c>
      <c r="I42" s="1514"/>
      <c r="J42" s="1515"/>
      <c r="K42" s="1516"/>
      <c r="L42" s="1517" t="s">
        <v>703</v>
      </c>
      <c r="M42" s="1517" t="s">
        <v>1393</v>
      </c>
      <c r="N42" s="1689" t="s">
        <v>116</v>
      </c>
      <c r="O42" s="1645"/>
      <c r="P42" s="245" t="b">
        <f t="shared" si="3"/>
        <v>0</v>
      </c>
      <c r="R42" s="245" t="b">
        <f t="shared" si="1"/>
        <v>0</v>
      </c>
      <c r="AO42" s="238" t="str">
        <f t="shared" si="2"/>
        <v>SG26</v>
      </c>
      <c r="AP42" s="945" t="b">
        <v>0</v>
      </c>
      <c r="AQ42" s="1323"/>
      <c r="AR42" s="1324"/>
      <c r="AS42" s="1324"/>
      <c r="AT42" s="1324"/>
      <c r="AU42" s="1324"/>
      <c r="AV42" s="1324"/>
      <c r="AW42" s="1324"/>
      <c r="AX42" s="1324"/>
      <c r="AY42" s="1324"/>
      <c r="AZ42" s="1324"/>
      <c r="BA42" s="1533"/>
      <c r="BB42" s="1533"/>
      <c r="BC42" s="1534"/>
    </row>
    <row r="43" spans="1:55" ht="14.1" customHeight="1" x14ac:dyDescent="0.2">
      <c r="A43" s="1511" t="s">
        <v>1978</v>
      </c>
      <c r="B43" s="1512" t="s">
        <v>155</v>
      </c>
      <c r="C43" s="1512" t="s">
        <v>165</v>
      </c>
      <c r="D43" s="1512" t="s">
        <v>145</v>
      </c>
      <c r="E43" s="1513"/>
      <c r="F43" s="1514">
        <v>250</v>
      </c>
      <c r="G43" s="1515"/>
      <c r="H43" s="1516"/>
      <c r="I43" s="1514"/>
      <c r="J43" s="1515"/>
      <c r="K43" s="1516"/>
      <c r="L43" s="1517" t="s">
        <v>116</v>
      </c>
      <c r="M43" s="1517" t="s">
        <v>1393</v>
      </c>
      <c r="N43" s="1689" t="s">
        <v>116</v>
      </c>
      <c r="O43" s="1645"/>
      <c r="P43" s="245" t="b">
        <f t="shared" si="3"/>
        <v>0</v>
      </c>
      <c r="R43" s="245" t="b">
        <f t="shared" si="1"/>
        <v>1</v>
      </c>
      <c r="AO43" s="238" t="str">
        <f t="shared" si="2"/>
        <v>SG27</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155</v>
      </c>
      <c r="C44" s="1512" t="s">
        <v>165</v>
      </c>
      <c r="D44" s="1512" t="s">
        <v>159</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SG27</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154</v>
      </c>
      <c r="C45" s="1512" t="s">
        <v>165</v>
      </c>
      <c r="D45" s="1512" t="s">
        <v>145</v>
      </c>
      <c r="E45" s="1513"/>
      <c r="F45" s="1514">
        <v>1500</v>
      </c>
      <c r="G45" s="1515"/>
      <c r="H45" s="1516"/>
      <c r="I45" s="1514"/>
      <c r="J45" s="1515"/>
      <c r="K45" s="1516"/>
      <c r="L45" s="1517" t="s">
        <v>116</v>
      </c>
      <c r="M45" s="1517" t="s">
        <v>1393</v>
      </c>
      <c r="N45" s="1689" t="s">
        <v>116</v>
      </c>
      <c r="O45" s="1645"/>
      <c r="P45" s="245" t="b">
        <f t="shared" si="3"/>
        <v>0</v>
      </c>
      <c r="R45" s="245" t="b">
        <f t="shared" si="1"/>
        <v>1</v>
      </c>
      <c r="AO45" s="238" t="str">
        <f t="shared" si="2"/>
        <v>SG27</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720</v>
      </c>
      <c r="G46" s="1515"/>
      <c r="H46" s="1516"/>
      <c r="I46" s="1514"/>
      <c r="J46" s="1515"/>
      <c r="K46" s="1516"/>
      <c r="L46" s="1517" t="s">
        <v>116</v>
      </c>
      <c r="M46" s="1517" t="s">
        <v>1393</v>
      </c>
      <c r="N46" s="1689" t="s">
        <v>116</v>
      </c>
      <c r="O46" s="1645"/>
      <c r="P46" s="245" t="b">
        <f t="shared" si="3"/>
        <v>0</v>
      </c>
      <c r="R46" s="245" t="b">
        <f t="shared" si="1"/>
        <v>1</v>
      </c>
      <c r="AO46" s="238" t="str">
        <f t="shared" si="2"/>
        <v>SG27</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6000</v>
      </c>
      <c r="G47" s="1515">
        <v>3</v>
      </c>
      <c r="H47" s="1516">
        <v>10</v>
      </c>
      <c r="I47" s="1514"/>
      <c r="J47" s="1515"/>
      <c r="K47" s="1516"/>
      <c r="L47" s="1517" t="s">
        <v>703</v>
      </c>
      <c r="M47" s="1517" t="s">
        <v>1393</v>
      </c>
      <c r="N47" s="1689" t="s">
        <v>116</v>
      </c>
      <c r="O47" s="1645"/>
      <c r="P47" s="245" t="b">
        <f t="shared" si="3"/>
        <v>0</v>
      </c>
      <c r="R47" s="245" t="b">
        <f t="shared" si="1"/>
        <v>0</v>
      </c>
      <c r="AO47" s="238" t="str">
        <f t="shared" si="2"/>
        <v>SG27</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6000</v>
      </c>
      <c r="G48" s="1515">
        <v>11</v>
      </c>
      <c r="H48" s="1516">
        <v>10</v>
      </c>
      <c r="I48" s="1514"/>
      <c r="J48" s="1515"/>
      <c r="K48" s="1516"/>
      <c r="L48" s="1517" t="s">
        <v>703</v>
      </c>
      <c r="M48" s="1517" t="s">
        <v>1393</v>
      </c>
      <c r="N48" s="1689" t="s">
        <v>116</v>
      </c>
      <c r="O48" s="1645"/>
      <c r="P48" s="245" t="b">
        <f t="shared" si="3"/>
        <v>0</v>
      </c>
      <c r="R48" s="245" t="b">
        <f t="shared" si="1"/>
        <v>0</v>
      </c>
      <c r="AO48" s="238" t="str">
        <f t="shared" si="2"/>
        <v>SG27</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6000</v>
      </c>
      <c r="G49" s="1515">
        <v>19</v>
      </c>
      <c r="H49" s="1516">
        <v>10</v>
      </c>
      <c r="I49" s="1514"/>
      <c r="J49" s="1515"/>
      <c r="K49" s="1516"/>
      <c r="L49" s="1517" t="s">
        <v>703</v>
      </c>
      <c r="M49" s="1517" t="s">
        <v>1393</v>
      </c>
      <c r="N49" s="1689" t="s">
        <v>116</v>
      </c>
      <c r="O49" s="1645"/>
      <c r="P49" s="245" t="b">
        <f t="shared" si="3"/>
        <v>0</v>
      </c>
      <c r="R49" s="245" t="b">
        <f t="shared" si="1"/>
        <v>0</v>
      </c>
      <c r="AO49" s="238" t="str">
        <f t="shared" si="2"/>
        <v>SG27</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6000</v>
      </c>
      <c r="G50" s="1515">
        <v>27</v>
      </c>
      <c r="H50" s="1516">
        <v>10</v>
      </c>
      <c r="I50" s="1514"/>
      <c r="J50" s="1515"/>
      <c r="K50" s="1516"/>
      <c r="L50" s="1517" t="s">
        <v>703</v>
      </c>
      <c r="M50" s="1517" t="s">
        <v>1393</v>
      </c>
      <c r="N50" s="1689" t="s">
        <v>116</v>
      </c>
      <c r="O50" s="1645"/>
      <c r="P50" s="245" t="b">
        <f t="shared" si="3"/>
        <v>0</v>
      </c>
      <c r="R50" s="245" t="b">
        <f t="shared" si="1"/>
        <v>0</v>
      </c>
      <c r="AO50" s="238" t="str">
        <f t="shared" si="2"/>
        <v>SG27</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6000</v>
      </c>
      <c r="G51" s="1515">
        <v>35</v>
      </c>
      <c r="H51" s="1516">
        <v>10</v>
      </c>
      <c r="I51" s="1514"/>
      <c r="J51" s="1515"/>
      <c r="K51" s="1516"/>
      <c r="L51" s="1517" t="s">
        <v>703</v>
      </c>
      <c r="M51" s="1517" t="s">
        <v>1393</v>
      </c>
      <c r="N51" s="1689" t="s">
        <v>116</v>
      </c>
      <c r="O51" s="1645"/>
      <c r="P51" s="245" t="b">
        <f t="shared" si="3"/>
        <v>0</v>
      </c>
      <c r="R51" s="245" t="b">
        <f t="shared" si="1"/>
        <v>0</v>
      </c>
      <c r="AO51" s="238" t="str">
        <f t="shared" si="2"/>
        <v>SG27</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6000</v>
      </c>
      <c r="G52" s="1515">
        <v>43</v>
      </c>
      <c r="H52" s="1516">
        <v>10</v>
      </c>
      <c r="I52" s="1514"/>
      <c r="J52" s="1515"/>
      <c r="K52" s="1516"/>
      <c r="L52" s="1517" t="s">
        <v>703</v>
      </c>
      <c r="M52" s="1517" t="s">
        <v>1393</v>
      </c>
      <c r="N52" s="1689" t="s">
        <v>116</v>
      </c>
      <c r="O52" s="1645"/>
      <c r="P52" s="245" t="b">
        <f t="shared" si="3"/>
        <v>0</v>
      </c>
      <c r="R52" s="245" t="b">
        <f t="shared" si="1"/>
        <v>0</v>
      </c>
      <c r="AO52" s="238" t="str">
        <f t="shared" si="2"/>
        <v>SG27</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456</v>
      </c>
      <c r="G53" s="1515">
        <v>3</v>
      </c>
      <c r="H53" s="1516">
        <v>10</v>
      </c>
      <c r="I53" s="1514"/>
      <c r="J53" s="1515"/>
      <c r="K53" s="1516"/>
      <c r="L53" s="1517" t="s">
        <v>703</v>
      </c>
      <c r="M53" s="1517" t="s">
        <v>1393</v>
      </c>
      <c r="N53" s="1689" t="s">
        <v>116</v>
      </c>
      <c r="O53" s="1645"/>
      <c r="P53" s="245" t="b">
        <f t="shared" si="3"/>
        <v>0</v>
      </c>
      <c r="R53" s="245" t="b">
        <f t="shared" si="1"/>
        <v>0</v>
      </c>
      <c r="AO53" s="238" t="str">
        <f t="shared" si="2"/>
        <v>SG27</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456</v>
      </c>
      <c r="G54" s="1515">
        <v>11</v>
      </c>
      <c r="H54" s="1516">
        <v>10</v>
      </c>
      <c r="I54" s="1514"/>
      <c r="J54" s="1515"/>
      <c r="K54" s="1516"/>
      <c r="L54" s="1517" t="s">
        <v>703</v>
      </c>
      <c r="M54" s="1517" t="s">
        <v>1393</v>
      </c>
      <c r="N54" s="1689" t="s">
        <v>116</v>
      </c>
      <c r="O54" s="1645"/>
      <c r="P54" s="245" t="b">
        <f t="shared" si="3"/>
        <v>0</v>
      </c>
      <c r="R54" s="245" t="b">
        <f t="shared" si="1"/>
        <v>0</v>
      </c>
      <c r="AO54" s="238" t="str">
        <f t="shared" si="2"/>
        <v>SG27</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456</v>
      </c>
      <c r="G55" s="1524">
        <v>19</v>
      </c>
      <c r="H55" s="1525">
        <v>10</v>
      </c>
      <c r="I55" s="1523"/>
      <c r="J55" s="1524"/>
      <c r="K55" s="1525"/>
      <c r="L55" s="1526" t="s">
        <v>703</v>
      </c>
      <c r="M55" s="1526" t="s">
        <v>1393</v>
      </c>
      <c r="N55" s="1690"/>
      <c r="O55" s="1645"/>
      <c r="P55" s="245" t="b">
        <f t="shared" si="3"/>
        <v>0</v>
      </c>
      <c r="R55" s="245" t="b">
        <f t="shared" si="1"/>
        <v>0</v>
      </c>
      <c r="AO55" s="238" t="str">
        <f t="shared" si="2"/>
        <v>SG27</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49" priority="4" stopIfTrue="1">
      <formula>AND($B14="NU",F14&lt;0)</formula>
    </cfRule>
  </conditionalFormatting>
  <conditionalFormatting sqref="B14:B55">
    <cfRule type="expression" dxfId="248" priority="5" stopIfTrue="1">
      <formula>OR(AND($B14="NU",F14&lt;0),AND($B14="NU",I14&lt;0))</formula>
    </cfRule>
  </conditionalFormatting>
  <conditionalFormatting sqref="G14:H55 J14:L55">
    <cfRule type="expression" dxfId="247" priority="6" stopIfTrue="1">
      <formula>$R14</formula>
    </cfRule>
  </conditionalFormatting>
  <conditionalFormatting sqref="I2:K4">
    <cfRule type="cellIs" dxfId="246" priority="7" stopIfTrue="1" operator="equal">
      <formula>""</formula>
    </cfRule>
  </conditionalFormatting>
  <conditionalFormatting sqref="I14:I55">
    <cfRule type="expression" dxfId="245" priority="8" stopIfTrue="1">
      <formula>OR($R14,$B14="CZ",AND($B14="NU",I14&lt;0))</formula>
    </cfRule>
  </conditionalFormatting>
  <conditionalFormatting sqref="A14:A55">
    <cfRule type="expression" dxfId="244" priority="3">
      <formula>NOT($P14)</formula>
    </cfRule>
  </conditionalFormatting>
  <conditionalFormatting sqref="B14:D55">
    <cfRule type="expression" dxfId="2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42" priority="9">
      <formula>AND(NOT($P14),$T$1)</formula>
    </cfRule>
    <cfRule type="expression" dxfId="241" priority="10">
      <formula>AND($AP14,$S$1="M")</formula>
    </cfRule>
  </conditionalFormatting>
  <conditionalFormatting sqref="L14:L55">
    <cfRule type="expression" dxfId="2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8D328EE0-A2C0-44A1-9EE2-3419781F85B5}">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0A02EDC-F1FE-4E64-87DE-ADA66232F4E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EC635A0-C033-43C4-935F-A028A32065C4}">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298ED130-A39B-460A-8BA8-6EEA53B7A07E}">
      <formula1>IF($CA$14,$CA$16:$CA$21,$CB$16:$CB$19)</formula1>
    </dataValidation>
    <dataValidation type="list" allowBlank="1" showErrorMessage="1" errorTitle="Invalid Type" error="You MUST select a Type from the dropdown list provided._x000a__x000a_Also, make sure your Cap Lock is turned on." sqref="B14:B55" xr:uid="{6E6E2CE4-99EF-408D-96AB-A628B47209A3}">
      <formula1>$BF$15:$BU$15</formula1>
    </dataValidation>
    <dataValidation allowBlank="1" showInputMessage="1" errorTitle="Invalid Load Case" error="You MUST use a Load Case from the list provided." sqref="M14:M55" xr:uid="{A6483A1B-0DFC-4E20-8658-5D2CEE4D58B3}"/>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A7822-128E-4914-A5E8-B37ED6F79705}">
  <sheetPr codeName="Sheet5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456</v>
      </c>
      <c r="G14" s="1507">
        <v>27</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456</v>
      </c>
      <c r="G15" s="1515">
        <v>35</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456</v>
      </c>
      <c r="G16" s="1515">
        <v>43</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1979</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SG28</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SG28</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SG28</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154</v>
      </c>
      <c r="C20" s="1512" t="s">
        <v>165</v>
      </c>
      <c r="D20" s="1512" t="s">
        <v>145</v>
      </c>
      <c r="E20" s="1513"/>
      <c r="F20" s="1514">
        <v>720</v>
      </c>
      <c r="G20" s="1515"/>
      <c r="H20" s="1516"/>
      <c r="I20" s="1514"/>
      <c r="J20" s="1515"/>
      <c r="K20" s="1516"/>
      <c r="L20" s="1517" t="s">
        <v>116</v>
      </c>
      <c r="M20" s="1518" t="s">
        <v>1393</v>
      </c>
      <c r="N20" s="1519"/>
      <c r="O20" s="1646"/>
      <c r="P20" s="245" t="b">
        <f t="shared" si="3"/>
        <v>0</v>
      </c>
      <c r="R20" s="245" t="b">
        <f t="shared" si="1"/>
        <v>1</v>
      </c>
      <c r="AO20" s="238" t="str">
        <f t="shared" si="2"/>
        <v>SG28</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151</v>
      </c>
      <c r="C21" s="1512" t="s">
        <v>165</v>
      </c>
      <c r="D21" s="1512" t="s">
        <v>145</v>
      </c>
      <c r="E21" s="1513"/>
      <c r="F21" s="1514">
        <v>12</v>
      </c>
      <c r="G21" s="1515"/>
      <c r="H21" s="1516"/>
      <c r="I21" s="1514"/>
      <c r="J21" s="1515"/>
      <c r="K21" s="1516"/>
      <c r="L21" s="1517" t="s">
        <v>116</v>
      </c>
      <c r="M21" s="1518" t="s">
        <v>1393</v>
      </c>
      <c r="N21" s="1519"/>
      <c r="O21" s="1646"/>
      <c r="P21" s="245" t="b">
        <f t="shared" si="3"/>
        <v>0</v>
      </c>
      <c r="R21" s="245" t="b">
        <f t="shared" si="1"/>
        <v>0</v>
      </c>
      <c r="AO21" s="238" t="str">
        <f t="shared" si="2"/>
        <v>SG28</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6000</v>
      </c>
      <c r="G22" s="1515">
        <v>3</v>
      </c>
      <c r="H22" s="1516">
        <v>10</v>
      </c>
      <c r="I22" s="1514"/>
      <c r="J22" s="1515"/>
      <c r="K22" s="1516"/>
      <c r="L22" s="1517" t="s">
        <v>703</v>
      </c>
      <c r="M22" s="1518" t="s">
        <v>1393</v>
      </c>
      <c r="N22" s="1519"/>
      <c r="O22" s="1646"/>
      <c r="P22" s="245" t="b">
        <f t="shared" si="3"/>
        <v>0</v>
      </c>
      <c r="R22" s="245" t="b">
        <f t="shared" si="1"/>
        <v>0</v>
      </c>
      <c r="AO22" s="238" t="str">
        <f t="shared" si="2"/>
        <v>SG28</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6000</v>
      </c>
      <c r="G23" s="1515">
        <v>11</v>
      </c>
      <c r="H23" s="1516">
        <v>10</v>
      </c>
      <c r="I23" s="1514"/>
      <c r="J23" s="1515"/>
      <c r="K23" s="1516"/>
      <c r="L23" s="1517" t="s">
        <v>703</v>
      </c>
      <c r="M23" s="1518" t="s">
        <v>1393</v>
      </c>
      <c r="N23" s="1519"/>
      <c r="O23" s="1646"/>
      <c r="P23" s="245" t="b">
        <f t="shared" si="3"/>
        <v>0</v>
      </c>
      <c r="R23" s="245" t="b">
        <f t="shared" si="1"/>
        <v>0</v>
      </c>
      <c r="AO23" s="238" t="str">
        <f t="shared" si="2"/>
        <v>SG28</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6000</v>
      </c>
      <c r="G24" s="1515">
        <v>19</v>
      </c>
      <c r="H24" s="1516">
        <v>10</v>
      </c>
      <c r="I24" s="1514"/>
      <c r="J24" s="1515"/>
      <c r="K24" s="1516"/>
      <c r="L24" s="1517" t="s">
        <v>703</v>
      </c>
      <c r="M24" s="1518" t="s">
        <v>1393</v>
      </c>
      <c r="N24" s="1519"/>
      <c r="O24" s="1646"/>
      <c r="P24" s="245" t="b">
        <f t="shared" si="3"/>
        <v>0</v>
      </c>
      <c r="R24" s="245" t="b">
        <f t="shared" si="1"/>
        <v>0</v>
      </c>
      <c r="AO24" s="238" t="str">
        <f t="shared" si="2"/>
        <v>SG28</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6000</v>
      </c>
      <c r="G25" s="1515">
        <v>27</v>
      </c>
      <c r="H25" s="1516">
        <v>10</v>
      </c>
      <c r="I25" s="1514"/>
      <c r="J25" s="1515"/>
      <c r="K25" s="1516"/>
      <c r="L25" s="1517" t="s">
        <v>703</v>
      </c>
      <c r="M25" s="1518" t="s">
        <v>1393</v>
      </c>
      <c r="N25" s="1519"/>
      <c r="O25" s="1646"/>
      <c r="P25" s="245" t="b">
        <f t="shared" si="3"/>
        <v>0</v>
      </c>
      <c r="R25" s="245" t="b">
        <f t="shared" si="1"/>
        <v>0</v>
      </c>
      <c r="AO25" s="238" t="str">
        <f t="shared" si="2"/>
        <v>SG28</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6000</v>
      </c>
      <c r="G26" s="1515">
        <v>35</v>
      </c>
      <c r="H26" s="1516">
        <v>10</v>
      </c>
      <c r="I26" s="1514"/>
      <c r="J26" s="1515"/>
      <c r="K26" s="1516"/>
      <c r="L26" s="1517" t="s">
        <v>703</v>
      </c>
      <c r="M26" s="1518" t="s">
        <v>1393</v>
      </c>
      <c r="N26" s="1519"/>
      <c r="O26" s="1646"/>
      <c r="P26" s="245" t="b">
        <f t="shared" si="3"/>
        <v>0</v>
      </c>
      <c r="R26" s="245" t="b">
        <f t="shared" si="1"/>
        <v>0</v>
      </c>
      <c r="AO26" s="238" t="str">
        <f t="shared" si="2"/>
        <v>SG28</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6000</v>
      </c>
      <c r="G27" s="1515">
        <v>43</v>
      </c>
      <c r="H27" s="1516">
        <v>10</v>
      </c>
      <c r="I27" s="1514"/>
      <c r="J27" s="1515"/>
      <c r="K27" s="1516"/>
      <c r="L27" s="1517" t="s">
        <v>703</v>
      </c>
      <c r="M27" s="1518" t="s">
        <v>1393</v>
      </c>
      <c r="N27" s="1519"/>
      <c r="O27" s="1646"/>
      <c r="P27" s="245" t="b">
        <f t="shared" si="3"/>
        <v>0</v>
      </c>
      <c r="R27" s="245" t="b">
        <f t="shared" si="1"/>
        <v>0</v>
      </c>
      <c r="AO27" s="238" t="str">
        <f t="shared" si="2"/>
        <v>SG28</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456</v>
      </c>
      <c r="G28" s="1515">
        <v>3</v>
      </c>
      <c r="H28" s="1516">
        <v>10</v>
      </c>
      <c r="I28" s="1514"/>
      <c r="J28" s="1515"/>
      <c r="K28" s="1516"/>
      <c r="L28" s="1517" t="s">
        <v>703</v>
      </c>
      <c r="M28" s="1518" t="s">
        <v>1393</v>
      </c>
      <c r="N28" s="1689"/>
      <c r="O28" s="1645"/>
      <c r="P28" s="245" t="b">
        <f t="shared" si="3"/>
        <v>0</v>
      </c>
      <c r="R28" s="245" t="b">
        <f t="shared" si="1"/>
        <v>0</v>
      </c>
      <c r="AO28" s="238" t="str">
        <f t="shared" si="2"/>
        <v>SG28</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456</v>
      </c>
      <c r="G29" s="1515">
        <v>11</v>
      </c>
      <c r="H29" s="1516">
        <v>10</v>
      </c>
      <c r="I29" s="1514"/>
      <c r="J29" s="1515"/>
      <c r="K29" s="1516"/>
      <c r="L29" s="1517" t="s">
        <v>703</v>
      </c>
      <c r="M29" s="1518" t="s">
        <v>1393</v>
      </c>
      <c r="N29" s="1689"/>
      <c r="O29" s="1645"/>
      <c r="P29" s="245" t="b">
        <f t="shared" si="3"/>
        <v>0</v>
      </c>
      <c r="R29" s="245" t="b">
        <f t="shared" si="1"/>
        <v>0</v>
      </c>
      <c r="AO29" s="238" t="str">
        <f t="shared" si="2"/>
        <v>SG28</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456</v>
      </c>
      <c r="G30" s="1515">
        <v>19</v>
      </c>
      <c r="H30" s="1516">
        <v>10</v>
      </c>
      <c r="I30" s="1514"/>
      <c r="J30" s="1515"/>
      <c r="K30" s="1516"/>
      <c r="L30" s="1517" t="s">
        <v>703</v>
      </c>
      <c r="M30" s="1518" t="s">
        <v>1393</v>
      </c>
      <c r="N30" s="1689" t="s">
        <v>116</v>
      </c>
      <c r="O30" s="1645"/>
      <c r="P30" s="245" t="b">
        <f t="shared" si="3"/>
        <v>0</v>
      </c>
      <c r="R30" s="245" t="b">
        <f t="shared" si="1"/>
        <v>0</v>
      </c>
      <c r="AO30" s="238" t="str">
        <f t="shared" si="2"/>
        <v>SG28</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456</v>
      </c>
      <c r="G31" s="1515">
        <v>27</v>
      </c>
      <c r="H31" s="1516">
        <v>10</v>
      </c>
      <c r="I31" s="1514"/>
      <c r="J31" s="1515"/>
      <c r="K31" s="1516"/>
      <c r="L31" s="1517" t="s">
        <v>703</v>
      </c>
      <c r="M31" s="1517" t="s">
        <v>1393</v>
      </c>
      <c r="N31" s="1689" t="s">
        <v>116</v>
      </c>
      <c r="O31" s="1645"/>
      <c r="P31" s="245" t="b">
        <f t="shared" si="3"/>
        <v>0</v>
      </c>
      <c r="R31" s="245" t="b">
        <f t="shared" si="1"/>
        <v>0</v>
      </c>
      <c r="AO31" s="238" t="str">
        <f t="shared" si="2"/>
        <v>SG28</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456</v>
      </c>
      <c r="G32" s="1515">
        <v>35</v>
      </c>
      <c r="H32" s="1516">
        <v>10</v>
      </c>
      <c r="I32" s="1514"/>
      <c r="J32" s="1515"/>
      <c r="K32" s="1516"/>
      <c r="L32" s="1517" t="s">
        <v>703</v>
      </c>
      <c r="M32" s="1517" t="s">
        <v>1393</v>
      </c>
      <c r="N32" s="1689" t="s">
        <v>116</v>
      </c>
      <c r="O32" s="1645"/>
      <c r="P32" s="245" t="b">
        <f t="shared" si="3"/>
        <v>0</v>
      </c>
      <c r="R32" s="245" t="b">
        <f t="shared" si="1"/>
        <v>0</v>
      </c>
      <c r="AO32" s="238" t="str">
        <f t="shared" si="2"/>
        <v>SG28</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456</v>
      </c>
      <c r="G33" s="1515">
        <v>43</v>
      </c>
      <c r="H33" s="1516">
        <v>10</v>
      </c>
      <c r="I33" s="1514"/>
      <c r="J33" s="1515"/>
      <c r="K33" s="1516"/>
      <c r="L33" s="1517" t="s">
        <v>703</v>
      </c>
      <c r="M33" s="1517" t="s">
        <v>1393</v>
      </c>
      <c r="N33" s="1689" t="s">
        <v>116</v>
      </c>
      <c r="O33" s="1645"/>
      <c r="P33" s="245" t="b">
        <f t="shared" si="3"/>
        <v>0</v>
      </c>
      <c r="R33" s="245" t="b">
        <f t="shared" si="1"/>
        <v>0</v>
      </c>
      <c r="AO33" s="238" t="str">
        <f t="shared" si="2"/>
        <v>SG28</v>
      </c>
      <c r="AP33" s="945" t="b">
        <v>0</v>
      </c>
      <c r="AQ33" s="1323"/>
      <c r="AR33" s="1324"/>
      <c r="AS33" s="1324"/>
      <c r="AT33" s="1324"/>
      <c r="AU33" s="1324"/>
      <c r="AV33" s="1324"/>
      <c r="AW33" s="1324"/>
      <c r="AX33" s="1324"/>
      <c r="AY33" s="1324"/>
      <c r="AZ33" s="1324"/>
      <c r="BA33" s="1533"/>
      <c r="BB33" s="1533"/>
      <c r="BC33" s="1534"/>
    </row>
    <row r="34" spans="1:55" ht="14.1" customHeight="1" x14ac:dyDescent="0.2">
      <c r="A34" s="1511" t="s">
        <v>1980</v>
      </c>
      <c r="B34" s="1512" t="s">
        <v>155</v>
      </c>
      <c r="C34" s="1512" t="s">
        <v>165</v>
      </c>
      <c r="D34" s="1512" t="s">
        <v>145</v>
      </c>
      <c r="E34" s="1513"/>
      <c r="F34" s="1514">
        <v>250</v>
      </c>
      <c r="G34" s="1515"/>
      <c r="H34" s="1516"/>
      <c r="I34" s="1514"/>
      <c r="J34" s="1515"/>
      <c r="K34" s="1516"/>
      <c r="L34" s="1517" t="s">
        <v>116</v>
      </c>
      <c r="M34" s="1517" t="s">
        <v>1393</v>
      </c>
      <c r="N34" s="1689" t="s">
        <v>116</v>
      </c>
      <c r="O34" s="1645"/>
      <c r="P34" s="245" t="b">
        <f t="shared" si="3"/>
        <v>0</v>
      </c>
      <c r="R34" s="245" t="b">
        <f t="shared" si="1"/>
        <v>1</v>
      </c>
      <c r="AO34" s="238" t="str">
        <f t="shared" si="2"/>
        <v>SG29</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155</v>
      </c>
      <c r="C35" s="1512" t="s">
        <v>165</v>
      </c>
      <c r="D35" s="1512" t="s">
        <v>159</v>
      </c>
      <c r="E35" s="1513"/>
      <c r="F35" s="1514">
        <v>250</v>
      </c>
      <c r="G35" s="1515"/>
      <c r="H35" s="1516"/>
      <c r="I35" s="1514"/>
      <c r="J35" s="1515"/>
      <c r="K35" s="1516"/>
      <c r="L35" s="1517" t="s">
        <v>116</v>
      </c>
      <c r="M35" s="1517" t="s">
        <v>1393</v>
      </c>
      <c r="N35" s="1689" t="s">
        <v>116</v>
      </c>
      <c r="O35" s="1645"/>
      <c r="P35" s="245" t="b">
        <f t="shared" si="3"/>
        <v>0</v>
      </c>
      <c r="R35" s="245" t="b">
        <f t="shared" si="1"/>
        <v>1</v>
      </c>
      <c r="AO35" s="238" t="str">
        <f t="shared" si="2"/>
        <v>SG29</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154</v>
      </c>
      <c r="C36" s="1512" t="s">
        <v>165</v>
      </c>
      <c r="D36" s="1512" t="s">
        <v>145</v>
      </c>
      <c r="E36" s="1513"/>
      <c r="F36" s="1514">
        <v>1500</v>
      </c>
      <c r="G36" s="1515"/>
      <c r="H36" s="1516"/>
      <c r="I36" s="1514"/>
      <c r="J36" s="1515"/>
      <c r="K36" s="1516"/>
      <c r="L36" s="1517" t="s">
        <v>116</v>
      </c>
      <c r="M36" s="1517" t="s">
        <v>1393</v>
      </c>
      <c r="N36" s="1689" t="s">
        <v>116</v>
      </c>
      <c r="O36" s="1645"/>
      <c r="P36" s="245" t="b">
        <f t="shared" si="3"/>
        <v>0</v>
      </c>
      <c r="R36" s="245" t="b">
        <f t="shared" si="1"/>
        <v>1</v>
      </c>
      <c r="AO36" s="238" t="str">
        <f t="shared" si="2"/>
        <v>SG29</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154</v>
      </c>
      <c r="C37" s="1512" t="s">
        <v>165</v>
      </c>
      <c r="D37" s="1512" t="s">
        <v>145</v>
      </c>
      <c r="E37" s="1513"/>
      <c r="F37" s="1514">
        <v>2220</v>
      </c>
      <c r="G37" s="1515"/>
      <c r="H37" s="1516"/>
      <c r="I37" s="1514"/>
      <c r="J37" s="1515"/>
      <c r="K37" s="1516"/>
      <c r="L37" s="1517" t="s">
        <v>116</v>
      </c>
      <c r="M37" s="1517" t="s">
        <v>1393</v>
      </c>
      <c r="N37" s="1689" t="s">
        <v>116</v>
      </c>
      <c r="O37" s="1645"/>
      <c r="P37" s="245" t="b">
        <f t="shared" si="3"/>
        <v>0</v>
      </c>
      <c r="R37" s="245" t="b">
        <f t="shared" si="1"/>
        <v>1</v>
      </c>
      <c r="AO37" s="238" t="str">
        <f t="shared" si="2"/>
        <v>SG29</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6000</v>
      </c>
      <c r="G38" s="1515">
        <v>3</v>
      </c>
      <c r="H38" s="1516">
        <v>10</v>
      </c>
      <c r="I38" s="1514"/>
      <c r="J38" s="1515"/>
      <c r="K38" s="1516"/>
      <c r="L38" s="1517" t="s">
        <v>703</v>
      </c>
      <c r="M38" s="1517" t="s">
        <v>1393</v>
      </c>
      <c r="N38" s="1689" t="s">
        <v>116</v>
      </c>
      <c r="O38" s="1645"/>
      <c r="P38" s="245" t="b">
        <f t="shared" si="3"/>
        <v>0</v>
      </c>
      <c r="R38" s="245" t="b">
        <f t="shared" si="1"/>
        <v>0</v>
      </c>
      <c r="AO38" s="238" t="str">
        <f t="shared" si="2"/>
        <v>SG29</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6000</v>
      </c>
      <c r="G39" s="1515">
        <v>11</v>
      </c>
      <c r="H39" s="1516">
        <v>10</v>
      </c>
      <c r="I39" s="1514"/>
      <c r="J39" s="1515"/>
      <c r="K39" s="1516"/>
      <c r="L39" s="1517" t="s">
        <v>703</v>
      </c>
      <c r="M39" s="1517" t="s">
        <v>1393</v>
      </c>
      <c r="N39" s="1689" t="s">
        <v>116</v>
      </c>
      <c r="O39" s="1645"/>
      <c r="P39" s="245" t="b">
        <f t="shared" si="3"/>
        <v>0</v>
      </c>
      <c r="R39" s="245" t="b">
        <f t="shared" si="1"/>
        <v>0</v>
      </c>
      <c r="AO39" s="238" t="str">
        <f t="shared" si="2"/>
        <v>SG29</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6000</v>
      </c>
      <c r="G40" s="1515">
        <v>19</v>
      </c>
      <c r="H40" s="1516">
        <v>10</v>
      </c>
      <c r="I40" s="1514"/>
      <c r="J40" s="1515"/>
      <c r="K40" s="1516"/>
      <c r="L40" s="1517" t="s">
        <v>703</v>
      </c>
      <c r="M40" s="1517" t="s">
        <v>1393</v>
      </c>
      <c r="N40" s="1689" t="s">
        <v>116</v>
      </c>
      <c r="O40" s="1645"/>
      <c r="P40" s="245" t="b">
        <f t="shared" si="3"/>
        <v>0</v>
      </c>
      <c r="R40" s="245" t="b">
        <f t="shared" si="1"/>
        <v>0</v>
      </c>
      <c r="AO40" s="238" t="str">
        <f t="shared" si="2"/>
        <v>SG29</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6000</v>
      </c>
      <c r="G41" s="1515">
        <v>27</v>
      </c>
      <c r="H41" s="1516">
        <v>10</v>
      </c>
      <c r="I41" s="1514"/>
      <c r="J41" s="1515"/>
      <c r="K41" s="1516"/>
      <c r="L41" s="1517" t="s">
        <v>703</v>
      </c>
      <c r="M41" s="1517" t="s">
        <v>1393</v>
      </c>
      <c r="N41" s="1689" t="s">
        <v>116</v>
      </c>
      <c r="O41" s="1645"/>
      <c r="P41" s="245" t="b">
        <f t="shared" si="3"/>
        <v>0</v>
      </c>
      <c r="R41" s="245" t="b">
        <f t="shared" si="1"/>
        <v>0</v>
      </c>
      <c r="AO41" s="238" t="str">
        <f t="shared" si="2"/>
        <v>SG29</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6000</v>
      </c>
      <c r="G42" s="1515">
        <v>35</v>
      </c>
      <c r="H42" s="1516">
        <v>10</v>
      </c>
      <c r="I42" s="1514"/>
      <c r="J42" s="1515"/>
      <c r="K42" s="1516"/>
      <c r="L42" s="1517" t="s">
        <v>703</v>
      </c>
      <c r="M42" s="1517" t="s">
        <v>1393</v>
      </c>
      <c r="N42" s="1689" t="s">
        <v>116</v>
      </c>
      <c r="O42" s="1645"/>
      <c r="P42" s="245" t="b">
        <f t="shared" si="3"/>
        <v>0</v>
      </c>
      <c r="R42" s="245" t="b">
        <f t="shared" si="1"/>
        <v>0</v>
      </c>
      <c r="AO42" s="238" t="str">
        <f t="shared" si="2"/>
        <v>SG29</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6000</v>
      </c>
      <c r="G43" s="1515">
        <v>43</v>
      </c>
      <c r="H43" s="1516">
        <v>10</v>
      </c>
      <c r="I43" s="1514"/>
      <c r="J43" s="1515"/>
      <c r="K43" s="1516"/>
      <c r="L43" s="1517" t="s">
        <v>703</v>
      </c>
      <c r="M43" s="1517" t="s">
        <v>1393</v>
      </c>
      <c r="N43" s="1689" t="s">
        <v>116</v>
      </c>
      <c r="O43" s="1645"/>
      <c r="P43" s="245" t="b">
        <f t="shared" si="3"/>
        <v>0</v>
      </c>
      <c r="R43" s="245" t="b">
        <f t="shared" si="1"/>
        <v>0</v>
      </c>
      <c r="AO43" s="238" t="str">
        <f t="shared" si="2"/>
        <v>SG29</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456</v>
      </c>
      <c r="G44" s="1515">
        <v>3</v>
      </c>
      <c r="H44" s="1516">
        <v>10</v>
      </c>
      <c r="I44" s="1514"/>
      <c r="J44" s="1515"/>
      <c r="K44" s="1516"/>
      <c r="L44" s="1517" t="s">
        <v>703</v>
      </c>
      <c r="M44" s="1517" t="s">
        <v>1393</v>
      </c>
      <c r="N44" s="1689" t="s">
        <v>116</v>
      </c>
      <c r="O44" s="1645"/>
      <c r="P44" s="245" t="b">
        <f t="shared" si="3"/>
        <v>0</v>
      </c>
      <c r="R44" s="245" t="b">
        <f t="shared" si="1"/>
        <v>0</v>
      </c>
      <c r="AO44" s="238" t="str">
        <f t="shared" si="2"/>
        <v>SG29</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456</v>
      </c>
      <c r="G45" s="1515">
        <v>11</v>
      </c>
      <c r="H45" s="1516">
        <v>10</v>
      </c>
      <c r="I45" s="1514"/>
      <c r="J45" s="1515"/>
      <c r="K45" s="1516"/>
      <c r="L45" s="1517" t="s">
        <v>703</v>
      </c>
      <c r="M45" s="1517" t="s">
        <v>1393</v>
      </c>
      <c r="N45" s="1689" t="s">
        <v>116</v>
      </c>
      <c r="O45" s="1645"/>
      <c r="P45" s="245" t="b">
        <f t="shared" si="3"/>
        <v>0</v>
      </c>
      <c r="R45" s="245" t="b">
        <f t="shared" si="1"/>
        <v>0</v>
      </c>
      <c r="AO45" s="238" t="str">
        <f t="shared" si="2"/>
        <v>SG29</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456</v>
      </c>
      <c r="G46" s="1515">
        <v>19</v>
      </c>
      <c r="H46" s="1516">
        <v>10</v>
      </c>
      <c r="I46" s="1514"/>
      <c r="J46" s="1515"/>
      <c r="K46" s="1516"/>
      <c r="L46" s="1517" t="s">
        <v>703</v>
      </c>
      <c r="M46" s="1517" t="s">
        <v>1393</v>
      </c>
      <c r="N46" s="1689" t="s">
        <v>116</v>
      </c>
      <c r="O46" s="1645"/>
      <c r="P46" s="245" t="b">
        <f t="shared" si="3"/>
        <v>0</v>
      </c>
      <c r="R46" s="245" t="b">
        <f t="shared" si="1"/>
        <v>0</v>
      </c>
      <c r="AO46" s="238" t="str">
        <f t="shared" si="2"/>
        <v>SG29</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456</v>
      </c>
      <c r="G47" s="1515">
        <v>27</v>
      </c>
      <c r="H47" s="1516">
        <v>10</v>
      </c>
      <c r="I47" s="1514"/>
      <c r="J47" s="1515"/>
      <c r="K47" s="1516"/>
      <c r="L47" s="1517" t="s">
        <v>703</v>
      </c>
      <c r="M47" s="1517" t="s">
        <v>1393</v>
      </c>
      <c r="N47" s="1689" t="s">
        <v>116</v>
      </c>
      <c r="O47" s="1645"/>
      <c r="P47" s="245" t="b">
        <f t="shared" si="3"/>
        <v>0</v>
      </c>
      <c r="R47" s="245" t="b">
        <f t="shared" si="1"/>
        <v>0</v>
      </c>
      <c r="AO47" s="238" t="str">
        <f t="shared" si="2"/>
        <v>SG29</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456</v>
      </c>
      <c r="G48" s="1515">
        <v>35</v>
      </c>
      <c r="H48" s="1516">
        <v>10</v>
      </c>
      <c r="I48" s="1514"/>
      <c r="J48" s="1515"/>
      <c r="K48" s="1516"/>
      <c r="L48" s="1517" t="s">
        <v>703</v>
      </c>
      <c r="M48" s="1517" t="s">
        <v>1393</v>
      </c>
      <c r="N48" s="1689" t="s">
        <v>116</v>
      </c>
      <c r="O48" s="1645"/>
      <c r="P48" s="245" t="b">
        <f t="shared" si="3"/>
        <v>0</v>
      </c>
      <c r="R48" s="245" t="b">
        <f t="shared" si="1"/>
        <v>0</v>
      </c>
      <c r="AO48" s="238" t="str">
        <f t="shared" si="2"/>
        <v>SG29</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456</v>
      </c>
      <c r="G49" s="1515">
        <v>43</v>
      </c>
      <c r="H49" s="1516">
        <v>10</v>
      </c>
      <c r="I49" s="1514"/>
      <c r="J49" s="1515"/>
      <c r="K49" s="1516"/>
      <c r="L49" s="1517" t="s">
        <v>703</v>
      </c>
      <c r="M49" s="1517" t="s">
        <v>1393</v>
      </c>
      <c r="N49" s="1689" t="s">
        <v>116</v>
      </c>
      <c r="O49" s="1645"/>
      <c r="P49" s="245" t="b">
        <f t="shared" si="3"/>
        <v>0</v>
      </c>
      <c r="R49" s="245" t="b">
        <f t="shared" si="1"/>
        <v>0</v>
      </c>
      <c r="AO49" s="238" t="str">
        <f t="shared" si="2"/>
        <v>SG29</v>
      </c>
      <c r="AP49" s="945" t="b">
        <v>0</v>
      </c>
      <c r="AQ49" s="1323"/>
      <c r="AR49" s="1324"/>
      <c r="AS49" s="1324"/>
      <c r="AT49" s="1324"/>
      <c r="AU49" s="1324"/>
      <c r="AV49" s="1324"/>
      <c r="AW49" s="1324"/>
      <c r="AX49" s="1324"/>
      <c r="AY49" s="1324"/>
      <c r="AZ49" s="1324"/>
      <c r="BA49" s="1533"/>
      <c r="BB49" s="1533"/>
      <c r="BC49" s="1534"/>
    </row>
    <row r="50" spans="1:55" ht="14.1" customHeight="1" x14ac:dyDescent="0.2">
      <c r="A50" s="1511" t="s">
        <v>1981</v>
      </c>
      <c r="B50" s="1512" t="s">
        <v>155</v>
      </c>
      <c r="C50" s="1512" t="s">
        <v>165</v>
      </c>
      <c r="D50" s="1512" t="s">
        <v>145</v>
      </c>
      <c r="E50" s="1513"/>
      <c r="F50" s="1514">
        <v>250</v>
      </c>
      <c r="G50" s="1515"/>
      <c r="H50" s="1516"/>
      <c r="I50" s="1514"/>
      <c r="J50" s="1515"/>
      <c r="K50" s="1516"/>
      <c r="L50" s="1517" t="s">
        <v>116</v>
      </c>
      <c r="M50" s="1517" t="s">
        <v>1393</v>
      </c>
      <c r="N50" s="1689" t="s">
        <v>116</v>
      </c>
      <c r="O50" s="1645"/>
      <c r="P50" s="245" t="b">
        <f t="shared" si="3"/>
        <v>0</v>
      </c>
      <c r="R50" s="245" t="b">
        <f t="shared" si="1"/>
        <v>1</v>
      </c>
      <c r="AO50" s="238" t="str">
        <f t="shared" si="2"/>
        <v>SG30</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155</v>
      </c>
      <c r="C51" s="1512" t="s">
        <v>165</v>
      </c>
      <c r="D51" s="1512" t="s">
        <v>159</v>
      </c>
      <c r="E51" s="1513"/>
      <c r="F51" s="1514">
        <v>250</v>
      </c>
      <c r="G51" s="1515"/>
      <c r="H51" s="1516"/>
      <c r="I51" s="1514"/>
      <c r="J51" s="1515"/>
      <c r="K51" s="1516"/>
      <c r="L51" s="1517" t="s">
        <v>116</v>
      </c>
      <c r="M51" s="1517" t="s">
        <v>1393</v>
      </c>
      <c r="N51" s="1689" t="s">
        <v>116</v>
      </c>
      <c r="O51" s="1645"/>
      <c r="P51" s="245" t="b">
        <f t="shared" si="3"/>
        <v>0</v>
      </c>
      <c r="R51" s="245" t="b">
        <f t="shared" si="1"/>
        <v>1</v>
      </c>
      <c r="AO51" s="238" t="str">
        <f t="shared" si="2"/>
        <v>SG30</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154</v>
      </c>
      <c r="C52" s="1512" t="s">
        <v>165</v>
      </c>
      <c r="D52" s="1512" t="s">
        <v>145</v>
      </c>
      <c r="E52" s="1513"/>
      <c r="F52" s="1514">
        <v>1500</v>
      </c>
      <c r="G52" s="1515"/>
      <c r="H52" s="1516"/>
      <c r="I52" s="1514"/>
      <c r="J52" s="1515"/>
      <c r="K52" s="1516"/>
      <c r="L52" s="1517" t="s">
        <v>116</v>
      </c>
      <c r="M52" s="1517" t="s">
        <v>1393</v>
      </c>
      <c r="N52" s="1689" t="s">
        <v>116</v>
      </c>
      <c r="O52" s="1645"/>
      <c r="P52" s="245" t="b">
        <f t="shared" si="3"/>
        <v>0</v>
      </c>
      <c r="R52" s="245" t="b">
        <f t="shared" si="1"/>
        <v>1</v>
      </c>
      <c r="AO52" s="238" t="str">
        <f t="shared" si="2"/>
        <v>SG30</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154</v>
      </c>
      <c r="C53" s="1512" t="s">
        <v>165</v>
      </c>
      <c r="D53" s="1512" t="s">
        <v>145</v>
      </c>
      <c r="E53" s="1513"/>
      <c r="F53" s="1514">
        <v>720</v>
      </c>
      <c r="G53" s="1515"/>
      <c r="H53" s="1516"/>
      <c r="I53" s="1514"/>
      <c r="J53" s="1515"/>
      <c r="K53" s="1516"/>
      <c r="L53" s="1517" t="s">
        <v>116</v>
      </c>
      <c r="M53" s="1517" t="s">
        <v>1393</v>
      </c>
      <c r="N53" s="1689" t="s">
        <v>116</v>
      </c>
      <c r="O53" s="1645"/>
      <c r="P53" s="245" t="b">
        <f t="shared" si="3"/>
        <v>0</v>
      </c>
      <c r="R53" s="245" t="b">
        <f t="shared" si="1"/>
        <v>1</v>
      </c>
      <c r="AO53" s="238" t="str">
        <f t="shared" si="2"/>
        <v>SG30</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6000</v>
      </c>
      <c r="G54" s="1515">
        <v>7</v>
      </c>
      <c r="H54" s="1516">
        <v>10</v>
      </c>
      <c r="I54" s="1514"/>
      <c r="J54" s="1515"/>
      <c r="K54" s="1516"/>
      <c r="L54" s="1517" t="s">
        <v>703</v>
      </c>
      <c r="M54" s="1517" t="s">
        <v>1393</v>
      </c>
      <c r="N54" s="1689" t="s">
        <v>116</v>
      </c>
      <c r="O54" s="1645"/>
      <c r="P54" s="245" t="b">
        <f t="shared" si="3"/>
        <v>0</v>
      </c>
      <c r="R54" s="245" t="b">
        <f t="shared" si="1"/>
        <v>0</v>
      </c>
      <c r="AO54" s="238" t="str">
        <f t="shared" si="2"/>
        <v>SG30</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6000</v>
      </c>
      <c r="G55" s="1524">
        <v>15</v>
      </c>
      <c r="H55" s="1525">
        <v>10</v>
      </c>
      <c r="I55" s="1523"/>
      <c r="J55" s="1524"/>
      <c r="K55" s="1525"/>
      <c r="L55" s="1526" t="s">
        <v>703</v>
      </c>
      <c r="M55" s="1526" t="s">
        <v>1393</v>
      </c>
      <c r="N55" s="1690"/>
      <c r="O55" s="1645"/>
      <c r="P55" s="245" t="b">
        <f t="shared" si="3"/>
        <v>0</v>
      </c>
      <c r="R55" s="245" t="b">
        <f t="shared" si="1"/>
        <v>0</v>
      </c>
      <c r="AO55" s="238" t="str">
        <f t="shared" si="2"/>
        <v>SG30</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39" priority="4" stopIfTrue="1">
      <formula>AND($B14="NU",F14&lt;0)</formula>
    </cfRule>
  </conditionalFormatting>
  <conditionalFormatting sqref="B14:B55">
    <cfRule type="expression" dxfId="238" priority="5" stopIfTrue="1">
      <formula>OR(AND($B14="NU",F14&lt;0),AND($B14="NU",I14&lt;0))</formula>
    </cfRule>
  </conditionalFormatting>
  <conditionalFormatting sqref="G14:H55 J14:L55">
    <cfRule type="expression" dxfId="237" priority="6" stopIfTrue="1">
      <formula>$R14</formula>
    </cfRule>
  </conditionalFormatting>
  <conditionalFormatting sqref="I2:K4">
    <cfRule type="cellIs" dxfId="236" priority="7" stopIfTrue="1" operator="equal">
      <formula>""</formula>
    </cfRule>
  </conditionalFormatting>
  <conditionalFormatting sqref="I14:I55">
    <cfRule type="expression" dxfId="235" priority="8" stopIfTrue="1">
      <formula>OR($R14,$B14="CZ",AND($B14="NU",I14&lt;0))</formula>
    </cfRule>
  </conditionalFormatting>
  <conditionalFormatting sqref="A14:A55">
    <cfRule type="expression" dxfId="234" priority="3">
      <formula>NOT($P14)</formula>
    </cfRule>
  </conditionalFormatting>
  <conditionalFormatting sqref="B14:D55">
    <cfRule type="expression" dxfId="2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32" priority="9">
      <formula>AND(NOT($P14),$T$1)</formula>
    </cfRule>
    <cfRule type="expression" dxfId="231" priority="10">
      <formula>AND($AP14,$S$1="M")</formula>
    </cfRule>
  </conditionalFormatting>
  <conditionalFormatting sqref="L14:L55">
    <cfRule type="expression" dxfId="2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80FE1061-180F-420E-8F8C-AE2CEB2F815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CE4CF06-E94E-459A-B772-96D47122833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83AF9E2B-4DD2-4148-B296-37F5970C883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01986E6-12F7-41E7-9F86-D23067060546}">
      <formula1>IF($CA$14,$CA$16:$CA$21,$CB$16:$CB$19)</formula1>
    </dataValidation>
    <dataValidation type="list" allowBlank="1" showErrorMessage="1" errorTitle="Invalid Type" error="You MUST select a Type from the dropdown list provided._x000a__x000a_Also, make sure your Cap Lock is turned on." sqref="B14:B55" xr:uid="{EB155600-EEFD-4FFE-AA53-0BCFAAF59FEF}">
      <formula1>$BF$15:$BU$15</formula1>
    </dataValidation>
    <dataValidation allowBlank="1" showInputMessage="1" errorTitle="Invalid Load Case" error="You MUST use a Load Case from the list provided." sqref="M14:M55" xr:uid="{3176D649-A6DF-4443-88B2-5161F394692E}"/>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81603-5FB2-4FAB-B1B7-2C4D9816EA5E}">
  <sheetPr codeName="Sheet5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6000</v>
      </c>
      <c r="G14" s="1507">
        <v>23</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6000</v>
      </c>
      <c r="G15" s="1515">
        <v>31</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6000</v>
      </c>
      <c r="G16" s="1515">
        <v>39</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6000</v>
      </c>
      <c r="G17" s="1515">
        <v>47</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456</v>
      </c>
      <c r="G18" s="1515">
        <v>7</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456</v>
      </c>
      <c r="G19" s="1515">
        <v>15</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456</v>
      </c>
      <c r="G20" s="1515">
        <v>23</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456</v>
      </c>
      <c r="G21" s="1515">
        <v>31</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456</v>
      </c>
      <c r="G22" s="1515">
        <v>39</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456</v>
      </c>
      <c r="G23" s="1515">
        <v>47</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t="s">
        <v>1982</v>
      </c>
      <c r="B24" s="1512" t="s">
        <v>155</v>
      </c>
      <c r="C24" s="1512" t="s">
        <v>165</v>
      </c>
      <c r="D24" s="1512" t="s">
        <v>145</v>
      </c>
      <c r="E24" s="1513"/>
      <c r="F24" s="1514">
        <v>250</v>
      </c>
      <c r="G24" s="1515"/>
      <c r="H24" s="1516"/>
      <c r="I24" s="1514"/>
      <c r="J24" s="1515"/>
      <c r="K24" s="1516"/>
      <c r="L24" s="1517" t="s">
        <v>116</v>
      </c>
      <c r="M24" s="1518" t="s">
        <v>1393</v>
      </c>
      <c r="N24" s="1519"/>
      <c r="O24" s="1646"/>
      <c r="P24" s="245" t="b">
        <f t="shared" si="3"/>
        <v>0</v>
      </c>
      <c r="R24" s="245" t="b">
        <f t="shared" si="1"/>
        <v>1</v>
      </c>
      <c r="AO24" s="238" t="str">
        <f t="shared" si="2"/>
        <v>SG31</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155</v>
      </c>
      <c r="C25" s="1512" t="s">
        <v>165</v>
      </c>
      <c r="D25" s="1512" t="s">
        <v>159</v>
      </c>
      <c r="E25" s="1513"/>
      <c r="F25" s="1514">
        <v>250</v>
      </c>
      <c r="G25" s="1515"/>
      <c r="H25" s="1516"/>
      <c r="I25" s="1514"/>
      <c r="J25" s="1515"/>
      <c r="K25" s="1516"/>
      <c r="L25" s="1517" t="s">
        <v>116</v>
      </c>
      <c r="M25" s="1518" t="s">
        <v>1393</v>
      </c>
      <c r="N25" s="1519"/>
      <c r="O25" s="1646"/>
      <c r="P25" s="245" t="b">
        <f t="shared" si="3"/>
        <v>0</v>
      </c>
      <c r="R25" s="245" t="b">
        <f t="shared" si="1"/>
        <v>1</v>
      </c>
      <c r="AO25" s="238" t="str">
        <f t="shared" si="2"/>
        <v>SG31</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154</v>
      </c>
      <c r="C26" s="1512" t="s">
        <v>165</v>
      </c>
      <c r="D26" s="1512" t="s">
        <v>145</v>
      </c>
      <c r="E26" s="1513"/>
      <c r="F26" s="1514">
        <v>1500</v>
      </c>
      <c r="G26" s="1515"/>
      <c r="H26" s="1516"/>
      <c r="I26" s="1514"/>
      <c r="J26" s="1515"/>
      <c r="K26" s="1516"/>
      <c r="L26" s="1517" t="s">
        <v>116</v>
      </c>
      <c r="M26" s="1518" t="s">
        <v>1393</v>
      </c>
      <c r="N26" s="1519"/>
      <c r="O26" s="1646"/>
      <c r="P26" s="245" t="b">
        <f t="shared" si="3"/>
        <v>0</v>
      </c>
      <c r="R26" s="245" t="b">
        <f t="shared" si="1"/>
        <v>1</v>
      </c>
      <c r="AO26" s="238" t="str">
        <f t="shared" si="2"/>
        <v>SG31</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6000</v>
      </c>
      <c r="G27" s="1515">
        <v>3</v>
      </c>
      <c r="H27" s="1516">
        <v>10</v>
      </c>
      <c r="I27" s="1514"/>
      <c r="J27" s="1515"/>
      <c r="K27" s="1516"/>
      <c r="L27" s="1517" t="s">
        <v>703</v>
      </c>
      <c r="M27" s="1518" t="s">
        <v>1393</v>
      </c>
      <c r="N27" s="1519"/>
      <c r="O27" s="1646"/>
      <c r="P27" s="245" t="b">
        <f t="shared" si="3"/>
        <v>0</v>
      </c>
      <c r="R27" s="245" t="b">
        <f t="shared" si="1"/>
        <v>0</v>
      </c>
      <c r="AO27" s="238" t="str">
        <f t="shared" si="2"/>
        <v>SG31</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6000</v>
      </c>
      <c r="G28" s="1515">
        <v>11</v>
      </c>
      <c r="H28" s="1516">
        <v>10</v>
      </c>
      <c r="I28" s="1514"/>
      <c r="J28" s="1515"/>
      <c r="K28" s="1516"/>
      <c r="L28" s="1517" t="s">
        <v>703</v>
      </c>
      <c r="M28" s="1518" t="s">
        <v>1393</v>
      </c>
      <c r="N28" s="1689"/>
      <c r="O28" s="1645"/>
      <c r="P28" s="245" t="b">
        <f t="shared" si="3"/>
        <v>0</v>
      </c>
      <c r="R28" s="245" t="b">
        <f t="shared" si="1"/>
        <v>0</v>
      </c>
      <c r="AO28" s="238" t="str">
        <f t="shared" si="2"/>
        <v>SG31</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6000</v>
      </c>
      <c r="G29" s="1515">
        <v>19</v>
      </c>
      <c r="H29" s="1516">
        <v>10</v>
      </c>
      <c r="I29" s="1514"/>
      <c r="J29" s="1515"/>
      <c r="K29" s="1516"/>
      <c r="L29" s="1517" t="s">
        <v>703</v>
      </c>
      <c r="M29" s="1518" t="s">
        <v>1393</v>
      </c>
      <c r="N29" s="1689"/>
      <c r="O29" s="1645"/>
      <c r="P29" s="245" t="b">
        <f t="shared" si="3"/>
        <v>0</v>
      </c>
      <c r="R29" s="245" t="b">
        <f t="shared" si="1"/>
        <v>0</v>
      </c>
      <c r="AO29" s="238" t="str">
        <f t="shared" si="2"/>
        <v>SG31</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6000</v>
      </c>
      <c r="G30" s="1515">
        <v>27</v>
      </c>
      <c r="H30" s="1516">
        <v>10</v>
      </c>
      <c r="I30" s="1514"/>
      <c r="J30" s="1515"/>
      <c r="K30" s="1516"/>
      <c r="L30" s="1517" t="s">
        <v>703</v>
      </c>
      <c r="M30" s="1518" t="s">
        <v>1393</v>
      </c>
      <c r="N30" s="1689" t="s">
        <v>116</v>
      </c>
      <c r="O30" s="1645"/>
      <c r="P30" s="245" t="b">
        <f t="shared" si="3"/>
        <v>0</v>
      </c>
      <c r="R30" s="245" t="b">
        <f t="shared" si="1"/>
        <v>0</v>
      </c>
      <c r="AO30" s="238" t="str">
        <f t="shared" si="2"/>
        <v>SG31</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6000</v>
      </c>
      <c r="G31" s="1515">
        <v>35</v>
      </c>
      <c r="H31" s="1516">
        <v>10</v>
      </c>
      <c r="I31" s="1514"/>
      <c r="J31" s="1515"/>
      <c r="K31" s="1516"/>
      <c r="L31" s="1517" t="s">
        <v>703</v>
      </c>
      <c r="M31" s="1517" t="s">
        <v>1393</v>
      </c>
      <c r="N31" s="1689" t="s">
        <v>116</v>
      </c>
      <c r="O31" s="1645"/>
      <c r="P31" s="245" t="b">
        <f t="shared" si="3"/>
        <v>0</v>
      </c>
      <c r="R31" s="245" t="b">
        <f t="shared" si="1"/>
        <v>0</v>
      </c>
      <c r="AO31" s="238" t="str">
        <f t="shared" si="2"/>
        <v>SG31</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6000</v>
      </c>
      <c r="G32" s="1515">
        <v>43</v>
      </c>
      <c r="H32" s="1516">
        <v>10</v>
      </c>
      <c r="I32" s="1514"/>
      <c r="J32" s="1515"/>
      <c r="K32" s="1516"/>
      <c r="L32" s="1517" t="s">
        <v>703</v>
      </c>
      <c r="M32" s="1517" t="s">
        <v>1393</v>
      </c>
      <c r="N32" s="1689" t="s">
        <v>116</v>
      </c>
      <c r="O32" s="1645"/>
      <c r="P32" s="245" t="b">
        <f t="shared" si="3"/>
        <v>0</v>
      </c>
      <c r="R32" s="245" t="b">
        <f t="shared" si="1"/>
        <v>0</v>
      </c>
      <c r="AO32" s="238" t="str">
        <f t="shared" si="2"/>
        <v>SG31</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456</v>
      </c>
      <c r="G33" s="1515">
        <v>3</v>
      </c>
      <c r="H33" s="1516">
        <v>10</v>
      </c>
      <c r="I33" s="1514"/>
      <c r="J33" s="1515"/>
      <c r="K33" s="1516"/>
      <c r="L33" s="1517" t="s">
        <v>703</v>
      </c>
      <c r="M33" s="1517" t="s">
        <v>1393</v>
      </c>
      <c r="N33" s="1689" t="s">
        <v>116</v>
      </c>
      <c r="O33" s="1645"/>
      <c r="P33" s="245" t="b">
        <f t="shared" si="3"/>
        <v>0</v>
      </c>
      <c r="R33" s="245" t="b">
        <f t="shared" si="1"/>
        <v>0</v>
      </c>
      <c r="AO33" s="238" t="str">
        <f t="shared" si="2"/>
        <v>SG31</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456</v>
      </c>
      <c r="G34" s="1515">
        <v>11</v>
      </c>
      <c r="H34" s="1516">
        <v>10</v>
      </c>
      <c r="I34" s="1514"/>
      <c r="J34" s="1515"/>
      <c r="K34" s="1516"/>
      <c r="L34" s="1517" t="s">
        <v>703</v>
      </c>
      <c r="M34" s="1517" t="s">
        <v>1393</v>
      </c>
      <c r="N34" s="1689" t="s">
        <v>116</v>
      </c>
      <c r="O34" s="1645"/>
      <c r="P34" s="245" t="b">
        <f t="shared" si="3"/>
        <v>0</v>
      </c>
      <c r="R34" s="245" t="b">
        <f t="shared" si="1"/>
        <v>0</v>
      </c>
      <c r="AO34" s="238" t="str">
        <f t="shared" si="2"/>
        <v>SG31</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456</v>
      </c>
      <c r="G35" s="1515">
        <v>19</v>
      </c>
      <c r="H35" s="1516">
        <v>10</v>
      </c>
      <c r="I35" s="1514"/>
      <c r="J35" s="1515"/>
      <c r="K35" s="1516"/>
      <c r="L35" s="1517" t="s">
        <v>703</v>
      </c>
      <c r="M35" s="1517" t="s">
        <v>1393</v>
      </c>
      <c r="N35" s="1689" t="s">
        <v>116</v>
      </c>
      <c r="O35" s="1645"/>
      <c r="P35" s="245" t="b">
        <f t="shared" si="3"/>
        <v>0</v>
      </c>
      <c r="R35" s="245" t="b">
        <f t="shared" si="1"/>
        <v>0</v>
      </c>
      <c r="AO35" s="238" t="str">
        <f t="shared" si="2"/>
        <v>SG31</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456</v>
      </c>
      <c r="G36" s="1515">
        <v>27</v>
      </c>
      <c r="H36" s="1516">
        <v>10</v>
      </c>
      <c r="I36" s="1514"/>
      <c r="J36" s="1515"/>
      <c r="K36" s="1516"/>
      <c r="L36" s="1517" t="s">
        <v>703</v>
      </c>
      <c r="M36" s="1517" t="s">
        <v>1393</v>
      </c>
      <c r="N36" s="1689" t="s">
        <v>116</v>
      </c>
      <c r="O36" s="1645"/>
      <c r="P36" s="245" t="b">
        <f t="shared" si="3"/>
        <v>0</v>
      </c>
      <c r="R36" s="245" t="b">
        <f t="shared" si="1"/>
        <v>0</v>
      </c>
      <c r="AO36" s="238" t="str">
        <f t="shared" si="2"/>
        <v>SG31</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456</v>
      </c>
      <c r="G37" s="1515">
        <v>35</v>
      </c>
      <c r="H37" s="1516">
        <v>10</v>
      </c>
      <c r="I37" s="1514"/>
      <c r="J37" s="1515"/>
      <c r="K37" s="1516"/>
      <c r="L37" s="1517" t="s">
        <v>703</v>
      </c>
      <c r="M37" s="1517" t="s">
        <v>1393</v>
      </c>
      <c r="N37" s="1689" t="s">
        <v>116</v>
      </c>
      <c r="O37" s="1645"/>
      <c r="P37" s="245" t="b">
        <f t="shared" si="3"/>
        <v>0</v>
      </c>
      <c r="R37" s="245" t="b">
        <f t="shared" si="1"/>
        <v>0</v>
      </c>
      <c r="AO37" s="238" t="str">
        <f t="shared" si="2"/>
        <v>SG31</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456</v>
      </c>
      <c r="G38" s="1515">
        <v>43</v>
      </c>
      <c r="H38" s="1516">
        <v>10</v>
      </c>
      <c r="I38" s="1514"/>
      <c r="J38" s="1515"/>
      <c r="K38" s="1516"/>
      <c r="L38" s="1517" t="s">
        <v>703</v>
      </c>
      <c r="M38" s="1517" t="s">
        <v>1393</v>
      </c>
      <c r="N38" s="1689" t="s">
        <v>116</v>
      </c>
      <c r="O38" s="1645"/>
      <c r="P38" s="245" t="b">
        <f t="shared" si="3"/>
        <v>0</v>
      </c>
      <c r="R38" s="245" t="b">
        <f t="shared" si="1"/>
        <v>0</v>
      </c>
      <c r="AO38" s="238" t="str">
        <f t="shared" si="2"/>
        <v>SG31</v>
      </c>
      <c r="AP38" s="945" t="b">
        <v>0</v>
      </c>
      <c r="AQ38" s="1323"/>
      <c r="AR38" s="1324"/>
      <c r="AS38" s="1324"/>
      <c r="AT38" s="1324"/>
      <c r="AU38" s="1324"/>
      <c r="AV38" s="1324"/>
      <c r="AW38" s="1324"/>
      <c r="AX38" s="1324"/>
      <c r="AY38" s="1324"/>
      <c r="AZ38" s="1324"/>
      <c r="BA38" s="1533"/>
      <c r="BB38" s="1533"/>
      <c r="BC38" s="1534"/>
    </row>
    <row r="39" spans="1:55" ht="14.1" customHeight="1" x14ac:dyDescent="0.2">
      <c r="A39" s="1511" t="s">
        <v>1983</v>
      </c>
      <c r="B39" s="1512" t="s">
        <v>155</v>
      </c>
      <c r="C39" s="1512" t="s">
        <v>165</v>
      </c>
      <c r="D39" s="1512" t="s">
        <v>145</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SG32</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155</v>
      </c>
      <c r="C40" s="1512" t="s">
        <v>165</v>
      </c>
      <c r="D40" s="1512" t="s">
        <v>159</v>
      </c>
      <c r="E40" s="1513"/>
      <c r="F40" s="1514">
        <v>250</v>
      </c>
      <c r="G40" s="1515"/>
      <c r="H40" s="1516"/>
      <c r="I40" s="1514"/>
      <c r="J40" s="1515"/>
      <c r="K40" s="1516"/>
      <c r="L40" s="1517" t="s">
        <v>116</v>
      </c>
      <c r="M40" s="1517" t="s">
        <v>1393</v>
      </c>
      <c r="N40" s="1689" t="s">
        <v>116</v>
      </c>
      <c r="O40" s="1645"/>
      <c r="P40" s="245" t="b">
        <f t="shared" si="3"/>
        <v>0</v>
      </c>
      <c r="R40" s="245" t="b">
        <f t="shared" si="1"/>
        <v>1</v>
      </c>
      <c r="AO40" s="238" t="str">
        <f t="shared" si="2"/>
        <v>SG32</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1500</v>
      </c>
      <c r="G41" s="1515"/>
      <c r="H41" s="1516"/>
      <c r="I41" s="1514"/>
      <c r="J41" s="1515"/>
      <c r="K41" s="1516"/>
      <c r="L41" s="1517" t="s">
        <v>116</v>
      </c>
      <c r="M41" s="1517" t="s">
        <v>1393</v>
      </c>
      <c r="N41" s="1689" t="s">
        <v>116</v>
      </c>
      <c r="O41" s="1645"/>
      <c r="P41" s="245" t="b">
        <f t="shared" si="3"/>
        <v>0</v>
      </c>
      <c r="R41" s="245" t="b">
        <f t="shared" si="1"/>
        <v>1</v>
      </c>
      <c r="AO41" s="238" t="str">
        <f t="shared" si="2"/>
        <v>SG32</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6000</v>
      </c>
      <c r="G42" s="1515">
        <v>7</v>
      </c>
      <c r="H42" s="1516">
        <v>10</v>
      </c>
      <c r="I42" s="1514"/>
      <c r="J42" s="1515"/>
      <c r="K42" s="1516"/>
      <c r="L42" s="1517" t="s">
        <v>703</v>
      </c>
      <c r="M42" s="1517" t="s">
        <v>1393</v>
      </c>
      <c r="N42" s="1689" t="s">
        <v>116</v>
      </c>
      <c r="O42" s="1645"/>
      <c r="P42" s="245" t="b">
        <f t="shared" si="3"/>
        <v>0</v>
      </c>
      <c r="R42" s="245" t="b">
        <f t="shared" si="1"/>
        <v>0</v>
      </c>
      <c r="AO42" s="238" t="str">
        <f t="shared" si="2"/>
        <v>SG32</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6000</v>
      </c>
      <c r="G43" s="1515">
        <v>15</v>
      </c>
      <c r="H43" s="1516">
        <v>10</v>
      </c>
      <c r="I43" s="1514"/>
      <c r="J43" s="1515"/>
      <c r="K43" s="1516"/>
      <c r="L43" s="1517" t="s">
        <v>703</v>
      </c>
      <c r="M43" s="1517" t="s">
        <v>1393</v>
      </c>
      <c r="N43" s="1689" t="s">
        <v>116</v>
      </c>
      <c r="O43" s="1645"/>
      <c r="P43" s="245" t="b">
        <f t="shared" si="3"/>
        <v>0</v>
      </c>
      <c r="R43" s="245" t="b">
        <f t="shared" si="1"/>
        <v>0</v>
      </c>
      <c r="AO43" s="238" t="str">
        <f t="shared" si="2"/>
        <v>SG32</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6000</v>
      </c>
      <c r="G44" s="1515">
        <v>23</v>
      </c>
      <c r="H44" s="1516">
        <v>10</v>
      </c>
      <c r="I44" s="1514"/>
      <c r="J44" s="1515"/>
      <c r="K44" s="1516"/>
      <c r="L44" s="1517" t="s">
        <v>703</v>
      </c>
      <c r="M44" s="1517" t="s">
        <v>1393</v>
      </c>
      <c r="N44" s="1689" t="s">
        <v>116</v>
      </c>
      <c r="O44" s="1645"/>
      <c r="P44" s="245" t="b">
        <f t="shared" si="3"/>
        <v>0</v>
      </c>
      <c r="R44" s="245" t="b">
        <f t="shared" si="1"/>
        <v>0</v>
      </c>
      <c r="AO44" s="238" t="str">
        <f t="shared" si="2"/>
        <v>SG32</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6000</v>
      </c>
      <c r="G45" s="1515">
        <v>31</v>
      </c>
      <c r="H45" s="1516">
        <v>10</v>
      </c>
      <c r="I45" s="1514"/>
      <c r="J45" s="1515"/>
      <c r="K45" s="1516"/>
      <c r="L45" s="1517" t="s">
        <v>703</v>
      </c>
      <c r="M45" s="1517" t="s">
        <v>1393</v>
      </c>
      <c r="N45" s="1689" t="s">
        <v>116</v>
      </c>
      <c r="O45" s="1645"/>
      <c r="P45" s="245" t="b">
        <f t="shared" si="3"/>
        <v>0</v>
      </c>
      <c r="R45" s="245" t="b">
        <f t="shared" si="1"/>
        <v>0</v>
      </c>
      <c r="AO45" s="238" t="str">
        <f t="shared" si="2"/>
        <v>SG32</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6000</v>
      </c>
      <c r="G46" s="1515">
        <v>39</v>
      </c>
      <c r="H46" s="1516">
        <v>10</v>
      </c>
      <c r="I46" s="1514"/>
      <c r="J46" s="1515"/>
      <c r="K46" s="1516"/>
      <c r="L46" s="1517" t="s">
        <v>703</v>
      </c>
      <c r="M46" s="1517" t="s">
        <v>1393</v>
      </c>
      <c r="N46" s="1689" t="s">
        <v>116</v>
      </c>
      <c r="O46" s="1645"/>
      <c r="P46" s="245" t="b">
        <f t="shared" si="3"/>
        <v>0</v>
      </c>
      <c r="R46" s="245" t="b">
        <f t="shared" si="1"/>
        <v>0</v>
      </c>
      <c r="AO46" s="238" t="str">
        <f t="shared" si="2"/>
        <v>SG32</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6000</v>
      </c>
      <c r="G47" s="1515">
        <v>47</v>
      </c>
      <c r="H47" s="1516">
        <v>10</v>
      </c>
      <c r="I47" s="1514"/>
      <c r="J47" s="1515"/>
      <c r="K47" s="1516"/>
      <c r="L47" s="1517" t="s">
        <v>703</v>
      </c>
      <c r="M47" s="1517" t="s">
        <v>1393</v>
      </c>
      <c r="N47" s="1689" t="s">
        <v>116</v>
      </c>
      <c r="O47" s="1645"/>
      <c r="P47" s="245" t="b">
        <f t="shared" si="3"/>
        <v>0</v>
      </c>
      <c r="R47" s="245" t="b">
        <f t="shared" si="1"/>
        <v>0</v>
      </c>
      <c r="AO47" s="238" t="str">
        <f t="shared" si="2"/>
        <v>SG32</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456</v>
      </c>
      <c r="G48" s="1515">
        <v>7</v>
      </c>
      <c r="H48" s="1516">
        <v>10</v>
      </c>
      <c r="I48" s="1514"/>
      <c r="J48" s="1515"/>
      <c r="K48" s="1516"/>
      <c r="L48" s="1517" t="s">
        <v>703</v>
      </c>
      <c r="M48" s="1517" t="s">
        <v>1393</v>
      </c>
      <c r="N48" s="1689" t="s">
        <v>116</v>
      </c>
      <c r="O48" s="1645"/>
      <c r="P48" s="245" t="b">
        <f t="shared" si="3"/>
        <v>0</v>
      </c>
      <c r="R48" s="245" t="b">
        <f t="shared" si="1"/>
        <v>0</v>
      </c>
      <c r="AO48" s="238" t="str">
        <f t="shared" si="2"/>
        <v>SG32</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456</v>
      </c>
      <c r="G49" s="1515">
        <v>15</v>
      </c>
      <c r="H49" s="1516">
        <v>10</v>
      </c>
      <c r="I49" s="1514"/>
      <c r="J49" s="1515"/>
      <c r="K49" s="1516"/>
      <c r="L49" s="1517" t="s">
        <v>703</v>
      </c>
      <c r="M49" s="1517" t="s">
        <v>1393</v>
      </c>
      <c r="N49" s="1689" t="s">
        <v>116</v>
      </c>
      <c r="O49" s="1645"/>
      <c r="P49" s="245" t="b">
        <f t="shared" si="3"/>
        <v>0</v>
      </c>
      <c r="R49" s="245" t="b">
        <f t="shared" si="1"/>
        <v>0</v>
      </c>
      <c r="AO49" s="238" t="str">
        <f t="shared" si="2"/>
        <v>SG32</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456</v>
      </c>
      <c r="G50" s="1515">
        <v>23</v>
      </c>
      <c r="H50" s="1516">
        <v>10</v>
      </c>
      <c r="I50" s="1514"/>
      <c r="J50" s="1515"/>
      <c r="K50" s="1516"/>
      <c r="L50" s="1517" t="s">
        <v>703</v>
      </c>
      <c r="M50" s="1517" t="s">
        <v>1393</v>
      </c>
      <c r="N50" s="1689" t="s">
        <v>116</v>
      </c>
      <c r="O50" s="1645"/>
      <c r="P50" s="245" t="b">
        <f t="shared" si="3"/>
        <v>0</v>
      </c>
      <c r="R50" s="245" t="b">
        <f t="shared" si="1"/>
        <v>0</v>
      </c>
      <c r="AO50" s="238" t="str">
        <f t="shared" si="2"/>
        <v>SG32</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456</v>
      </c>
      <c r="G51" s="1515">
        <v>31</v>
      </c>
      <c r="H51" s="1516">
        <v>10</v>
      </c>
      <c r="I51" s="1514"/>
      <c r="J51" s="1515"/>
      <c r="K51" s="1516"/>
      <c r="L51" s="1517" t="s">
        <v>703</v>
      </c>
      <c r="M51" s="1517" t="s">
        <v>1393</v>
      </c>
      <c r="N51" s="1689" t="s">
        <v>116</v>
      </c>
      <c r="O51" s="1645"/>
      <c r="P51" s="245" t="b">
        <f t="shared" si="3"/>
        <v>0</v>
      </c>
      <c r="R51" s="245" t="b">
        <f t="shared" si="1"/>
        <v>0</v>
      </c>
      <c r="AO51" s="238" t="str">
        <f t="shared" si="2"/>
        <v>SG32</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456</v>
      </c>
      <c r="G52" s="1515">
        <v>39</v>
      </c>
      <c r="H52" s="1516">
        <v>10</v>
      </c>
      <c r="I52" s="1514"/>
      <c r="J52" s="1515"/>
      <c r="K52" s="1516"/>
      <c r="L52" s="1517" t="s">
        <v>703</v>
      </c>
      <c r="M52" s="1517" t="s">
        <v>1393</v>
      </c>
      <c r="N52" s="1689" t="s">
        <v>116</v>
      </c>
      <c r="O52" s="1645"/>
      <c r="P52" s="245" t="b">
        <f t="shared" si="3"/>
        <v>0</v>
      </c>
      <c r="R52" s="245" t="b">
        <f t="shared" si="1"/>
        <v>0</v>
      </c>
      <c r="AO52" s="238" t="str">
        <f t="shared" si="2"/>
        <v>SG32</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456</v>
      </c>
      <c r="G53" s="1515">
        <v>47</v>
      </c>
      <c r="H53" s="1516">
        <v>10</v>
      </c>
      <c r="I53" s="1514"/>
      <c r="J53" s="1515"/>
      <c r="K53" s="1516"/>
      <c r="L53" s="1517" t="s">
        <v>703</v>
      </c>
      <c r="M53" s="1517" t="s">
        <v>1393</v>
      </c>
      <c r="N53" s="1689" t="s">
        <v>116</v>
      </c>
      <c r="O53" s="1645"/>
      <c r="P53" s="245" t="b">
        <f t="shared" si="3"/>
        <v>0</v>
      </c>
      <c r="R53" s="245" t="b">
        <f t="shared" si="1"/>
        <v>0</v>
      </c>
      <c r="AO53" s="238" t="str">
        <f t="shared" si="2"/>
        <v>SG32</v>
      </c>
      <c r="AP53" s="945" t="b">
        <v>0</v>
      </c>
      <c r="AQ53" s="1323"/>
      <c r="AR53" s="1324"/>
      <c r="AS53" s="1324"/>
      <c r="AT53" s="1324"/>
      <c r="AU53" s="1324"/>
      <c r="AV53" s="1324"/>
      <c r="AW53" s="1324"/>
      <c r="AX53" s="1324"/>
      <c r="AY53" s="1324"/>
      <c r="AZ53" s="1324"/>
      <c r="BA53" s="1533"/>
      <c r="BB53" s="1533"/>
      <c r="BC53" s="1534"/>
    </row>
    <row r="54" spans="1:55" ht="14.1" customHeight="1" x14ac:dyDescent="0.2">
      <c r="A54" s="1511" t="s">
        <v>1984</v>
      </c>
      <c r="B54" s="1512" t="s">
        <v>155</v>
      </c>
      <c r="C54" s="1512" t="s">
        <v>165</v>
      </c>
      <c r="D54" s="1512" t="s">
        <v>145</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SG33</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155</v>
      </c>
      <c r="C55" s="1521" t="s">
        <v>165</v>
      </c>
      <c r="D55" s="1521" t="s">
        <v>159</v>
      </c>
      <c r="E55" s="1522"/>
      <c r="F55" s="1523">
        <v>250</v>
      </c>
      <c r="G55" s="1524"/>
      <c r="H55" s="1525"/>
      <c r="I55" s="1523"/>
      <c r="J55" s="1524"/>
      <c r="K55" s="1525"/>
      <c r="L55" s="1526" t="s">
        <v>116</v>
      </c>
      <c r="M55" s="1526" t="s">
        <v>1393</v>
      </c>
      <c r="N55" s="1690"/>
      <c r="O55" s="1645"/>
      <c r="P55" s="245" t="b">
        <f t="shared" si="3"/>
        <v>0</v>
      </c>
      <c r="R55" s="245" t="b">
        <f t="shared" si="1"/>
        <v>1</v>
      </c>
      <c r="AO55" s="238" t="str">
        <f t="shared" si="2"/>
        <v>SG33</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29" priority="4" stopIfTrue="1">
      <formula>AND($B14="NU",F14&lt;0)</formula>
    </cfRule>
  </conditionalFormatting>
  <conditionalFormatting sqref="B14:B55">
    <cfRule type="expression" dxfId="228" priority="5" stopIfTrue="1">
      <formula>OR(AND($B14="NU",F14&lt;0),AND($B14="NU",I14&lt;0))</formula>
    </cfRule>
  </conditionalFormatting>
  <conditionalFormatting sqref="G14:H55 J14:L55">
    <cfRule type="expression" dxfId="227" priority="6" stopIfTrue="1">
      <formula>$R14</formula>
    </cfRule>
  </conditionalFormatting>
  <conditionalFormatting sqref="I2:K4">
    <cfRule type="cellIs" dxfId="226" priority="7" stopIfTrue="1" operator="equal">
      <formula>""</formula>
    </cfRule>
  </conditionalFormatting>
  <conditionalFormatting sqref="I14:I55">
    <cfRule type="expression" dxfId="225" priority="8" stopIfTrue="1">
      <formula>OR($R14,$B14="CZ",AND($B14="NU",I14&lt;0))</formula>
    </cfRule>
  </conditionalFormatting>
  <conditionalFormatting sqref="A14:A55">
    <cfRule type="expression" dxfId="224" priority="3">
      <formula>NOT($P14)</formula>
    </cfRule>
  </conditionalFormatting>
  <conditionalFormatting sqref="B14:D55">
    <cfRule type="expression" dxfId="2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22" priority="9">
      <formula>AND(NOT($P14),$T$1)</formula>
    </cfRule>
    <cfRule type="expression" dxfId="221" priority="10">
      <formula>AND($AP14,$S$1="M")</formula>
    </cfRule>
  </conditionalFormatting>
  <conditionalFormatting sqref="L14:L55">
    <cfRule type="expression" dxfId="2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9AF538D-2CD9-4F8D-B5EA-DC665BDE4ECC}">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F47BDF2B-B68D-496C-B54D-44D07C07F28B}">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27D9F331-2540-4436-85DC-2956B726B968}">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6B66B99B-02D5-4D4E-81BD-80E72FDEFE42}">
      <formula1>IF($CA$14,$CA$16:$CA$21,$CB$16:$CB$19)</formula1>
    </dataValidation>
    <dataValidation type="list" allowBlank="1" showErrorMessage="1" errorTitle="Invalid Type" error="You MUST select a Type from the dropdown list provided._x000a__x000a_Also, make sure your Cap Lock is turned on." sqref="B14:B55" xr:uid="{7BE1CA11-8A8F-4BEB-A496-408C09EF478F}">
      <formula1>$BF$15:$BU$15</formula1>
    </dataValidation>
    <dataValidation allowBlank="1" showInputMessage="1" errorTitle="Invalid Load Case" error="You MUST use a Load Case from the list provided." sqref="M14:M55" xr:uid="{4B611C05-FCA3-424D-A5D9-94DF9084BF6B}"/>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A650F-5B34-4890-83C0-839B9D5FEE25}">
  <sheetPr codeName="Sheet5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154</v>
      </c>
      <c r="C14" s="1505" t="s">
        <v>165</v>
      </c>
      <c r="D14" s="1505" t="s">
        <v>145</v>
      </c>
      <c r="E14" s="1688"/>
      <c r="F14" s="1506">
        <v>1500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154</v>
      </c>
      <c r="C15" s="1512" t="s">
        <v>165</v>
      </c>
      <c r="D15" s="1512" t="s">
        <v>145</v>
      </c>
      <c r="E15" s="1513"/>
      <c r="F15" s="1514">
        <v>2220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6000</v>
      </c>
      <c r="G16" s="1515">
        <v>7</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6000</v>
      </c>
      <c r="G17" s="1515">
        <v>15</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6000</v>
      </c>
      <c r="G18" s="1515">
        <v>23</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6000</v>
      </c>
      <c r="G19" s="1515">
        <v>31</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6000</v>
      </c>
      <c r="G20" s="1515">
        <v>39</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6000</v>
      </c>
      <c r="G21" s="1515">
        <v>47</v>
      </c>
      <c r="H21" s="1516">
        <v>10</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456</v>
      </c>
      <c r="G22" s="1515">
        <v>7</v>
      </c>
      <c r="H22" s="1516">
        <v>10</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456</v>
      </c>
      <c r="G23" s="1515">
        <v>15</v>
      </c>
      <c r="H23" s="1516">
        <v>10</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456</v>
      </c>
      <c r="G24" s="1515">
        <v>23</v>
      </c>
      <c r="H24" s="1516">
        <v>10</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456</v>
      </c>
      <c r="G25" s="1515">
        <v>31</v>
      </c>
      <c r="H25" s="1516">
        <v>10</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456</v>
      </c>
      <c r="G26" s="1515">
        <v>39</v>
      </c>
      <c r="H26" s="1516">
        <v>10</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456</v>
      </c>
      <c r="G27" s="1515">
        <v>47</v>
      </c>
      <c r="H27" s="1516">
        <v>10</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t="s">
        <v>1985</v>
      </c>
      <c r="B28" s="1512" t="s">
        <v>155</v>
      </c>
      <c r="C28" s="1512" t="s">
        <v>165</v>
      </c>
      <c r="D28" s="1512" t="s">
        <v>145</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SG34</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155</v>
      </c>
      <c r="C29" s="1512" t="s">
        <v>165</v>
      </c>
      <c r="D29" s="1512" t="s">
        <v>159</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SG34</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1500</v>
      </c>
      <c r="G30" s="1515"/>
      <c r="H30" s="1516"/>
      <c r="I30" s="1514"/>
      <c r="J30" s="1515"/>
      <c r="K30" s="1516"/>
      <c r="L30" s="1517" t="s">
        <v>116</v>
      </c>
      <c r="M30" s="1518" t="s">
        <v>1393</v>
      </c>
      <c r="N30" s="1689" t="s">
        <v>116</v>
      </c>
      <c r="O30" s="1645"/>
      <c r="P30" s="245" t="b">
        <f t="shared" si="3"/>
        <v>0</v>
      </c>
      <c r="R30" s="245" t="b">
        <f t="shared" si="1"/>
        <v>1</v>
      </c>
      <c r="AO30" s="238" t="str">
        <f t="shared" si="2"/>
        <v>SG34</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6000</v>
      </c>
      <c r="G31" s="1515">
        <v>7</v>
      </c>
      <c r="H31" s="1516">
        <v>10</v>
      </c>
      <c r="I31" s="1514"/>
      <c r="J31" s="1515"/>
      <c r="K31" s="1516"/>
      <c r="L31" s="1517" t="s">
        <v>703</v>
      </c>
      <c r="M31" s="1517" t="s">
        <v>1393</v>
      </c>
      <c r="N31" s="1689" t="s">
        <v>116</v>
      </c>
      <c r="O31" s="1645"/>
      <c r="P31" s="245" t="b">
        <f t="shared" si="3"/>
        <v>0</v>
      </c>
      <c r="R31" s="245" t="b">
        <f t="shared" si="1"/>
        <v>0</v>
      </c>
      <c r="AO31" s="238" t="str">
        <f t="shared" si="2"/>
        <v>SG34</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6000</v>
      </c>
      <c r="G32" s="1515">
        <v>15</v>
      </c>
      <c r="H32" s="1516">
        <v>10</v>
      </c>
      <c r="I32" s="1514"/>
      <c r="J32" s="1515"/>
      <c r="K32" s="1516"/>
      <c r="L32" s="1517" t="s">
        <v>703</v>
      </c>
      <c r="M32" s="1517" t="s">
        <v>1393</v>
      </c>
      <c r="N32" s="1689" t="s">
        <v>116</v>
      </c>
      <c r="O32" s="1645"/>
      <c r="P32" s="245" t="b">
        <f t="shared" si="3"/>
        <v>0</v>
      </c>
      <c r="R32" s="245" t="b">
        <f t="shared" si="1"/>
        <v>0</v>
      </c>
      <c r="AO32" s="238" t="str">
        <f t="shared" si="2"/>
        <v>SG34</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6000</v>
      </c>
      <c r="G33" s="1515">
        <v>23</v>
      </c>
      <c r="H33" s="1516">
        <v>10</v>
      </c>
      <c r="I33" s="1514"/>
      <c r="J33" s="1515"/>
      <c r="K33" s="1516"/>
      <c r="L33" s="1517" t="s">
        <v>703</v>
      </c>
      <c r="M33" s="1517" t="s">
        <v>1393</v>
      </c>
      <c r="N33" s="1689" t="s">
        <v>116</v>
      </c>
      <c r="O33" s="1645"/>
      <c r="P33" s="245" t="b">
        <f t="shared" si="3"/>
        <v>0</v>
      </c>
      <c r="R33" s="245" t="b">
        <f t="shared" si="1"/>
        <v>0</v>
      </c>
      <c r="AO33" s="238" t="str">
        <f t="shared" si="2"/>
        <v>SG34</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6000</v>
      </c>
      <c r="G34" s="1515">
        <v>31</v>
      </c>
      <c r="H34" s="1516">
        <v>10</v>
      </c>
      <c r="I34" s="1514"/>
      <c r="J34" s="1515"/>
      <c r="K34" s="1516"/>
      <c r="L34" s="1517" t="s">
        <v>703</v>
      </c>
      <c r="M34" s="1517" t="s">
        <v>1393</v>
      </c>
      <c r="N34" s="1689" t="s">
        <v>116</v>
      </c>
      <c r="O34" s="1645"/>
      <c r="P34" s="245" t="b">
        <f t="shared" si="3"/>
        <v>0</v>
      </c>
      <c r="R34" s="245" t="b">
        <f t="shared" si="1"/>
        <v>0</v>
      </c>
      <c r="AO34" s="238" t="str">
        <f t="shared" si="2"/>
        <v>SG34</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6000</v>
      </c>
      <c r="G35" s="1515">
        <v>39</v>
      </c>
      <c r="H35" s="1516">
        <v>10</v>
      </c>
      <c r="I35" s="1514"/>
      <c r="J35" s="1515"/>
      <c r="K35" s="1516"/>
      <c r="L35" s="1517" t="s">
        <v>703</v>
      </c>
      <c r="M35" s="1517" t="s">
        <v>1393</v>
      </c>
      <c r="N35" s="1689" t="s">
        <v>116</v>
      </c>
      <c r="O35" s="1645"/>
      <c r="P35" s="245" t="b">
        <f t="shared" si="3"/>
        <v>0</v>
      </c>
      <c r="R35" s="245" t="b">
        <f t="shared" si="1"/>
        <v>0</v>
      </c>
      <c r="AO35" s="238" t="str">
        <f t="shared" si="2"/>
        <v>SG34</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6000</v>
      </c>
      <c r="G36" s="1515">
        <v>47</v>
      </c>
      <c r="H36" s="1516">
        <v>10</v>
      </c>
      <c r="I36" s="1514"/>
      <c r="J36" s="1515"/>
      <c r="K36" s="1516"/>
      <c r="L36" s="1517" t="s">
        <v>703</v>
      </c>
      <c r="M36" s="1517" t="s">
        <v>1393</v>
      </c>
      <c r="N36" s="1689" t="s">
        <v>116</v>
      </c>
      <c r="O36" s="1645"/>
      <c r="P36" s="245" t="b">
        <f t="shared" si="3"/>
        <v>0</v>
      </c>
      <c r="R36" s="245" t="b">
        <f t="shared" si="1"/>
        <v>0</v>
      </c>
      <c r="AO36" s="238" t="str">
        <f t="shared" si="2"/>
        <v>SG34</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456</v>
      </c>
      <c r="G37" s="1515">
        <v>7</v>
      </c>
      <c r="H37" s="1516">
        <v>10</v>
      </c>
      <c r="I37" s="1514"/>
      <c r="J37" s="1515"/>
      <c r="K37" s="1516"/>
      <c r="L37" s="1517" t="s">
        <v>703</v>
      </c>
      <c r="M37" s="1517" t="s">
        <v>1393</v>
      </c>
      <c r="N37" s="1689" t="s">
        <v>116</v>
      </c>
      <c r="O37" s="1645"/>
      <c r="P37" s="245" t="b">
        <f t="shared" si="3"/>
        <v>0</v>
      </c>
      <c r="R37" s="245" t="b">
        <f t="shared" si="1"/>
        <v>0</v>
      </c>
      <c r="AO37" s="238" t="str">
        <f t="shared" si="2"/>
        <v>SG34</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456</v>
      </c>
      <c r="G38" s="1515">
        <v>15</v>
      </c>
      <c r="H38" s="1516">
        <v>10</v>
      </c>
      <c r="I38" s="1514"/>
      <c r="J38" s="1515"/>
      <c r="K38" s="1516"/>
      <c r="L38" s="1517" t="s">
        <v>703</v>
      </c>
      <c r="M38" s="1517" t="s">
        <v>1393</v>
      </c>
      <c r="N38" s="1689" t="s">
        <v>116</v>
      </c>
      <c r="O38" s="1645"/>
      <c r="P38" s="245" t="b">
        <f t="shared" si="3"/>
        <v>0</v>
      </c>
      <c r="R38" s="245" t="b">
        <f t="shared" si="1"/>
        <v>0</v>
      </c>
      <c r="AO38" s="238" t="str">
        <f t="shared" si="2"/>
        <v>SG34</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456</v>
      </c>
      <c r="G39" s="1515">
        <v>23</v>
      </c>
      <c r="H39" s="1516">
        <v>10</v>
      </c>
      <c r="I39" s="1514"/>
      <c r="J39" s="1515"/>
      <c r="K39" s="1516"/>
      <c r="L39" s="1517" t="s">
        <v>703</v>
      </c>
      <c r="M39" s="1517" t="s">
        <v>1393</v>
      </c>
      <c r="N39" s="1689" t="s">
        <v>116</v>
      </c>
      <c r="O39" s="1645"/>
      <c r="P39" s="245" t="b">
        <f t="shared" si="3"/>
        <v>0</v>
      </c>
      <c r="R39" s="245" t="b">
        <f t="shared" si="1"/>
        <v>0</v>
      </c>
      <c r="AO39" s="238" t="str">
        <f t="shared" si="2"/>
        <v>SG34</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456</v>
      </c>
      <c r="G40" s="1515">
        <v>31</v>
      </c>
      <c r="H40" s="1516">
        <v>10</v>
      </c>
      <c r="I40" s="1514"/>
      <c r="J40" s="1515"/>
      <c r="K40" s="1516"/>
      <c r="L40" s="1517" t="s">
        <v>703</v>
      </c>
      <c r="M40" s="1517" t="s">
        <v>1393</v>
      </c>
      <c r="N40" s="1689" t="s">
        <v>116</v>
      </c>
      <c r="O40" s="1645"/>
      <c r="P40" s="245" t="b">
        <f t="shared" si="3"/>
        <v>0</v>
      </c>
      <c r="R40" s="245" t="b">
        <f t="shared" si="1"/>
        <v>0</v>
      </c>
      <c r="AO40" s="238" t="str">
        <f t="shared" si="2"/>
        <v>SG34</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456</v>
      </c>
      <c r="G41" s="1515">
        <v>39</v>
      </c>
      <c r="H41" s="1516">
        <v>10</v>
      </c>
      <c r="I41" s="1514"/>
      <c r="J41" s="1515"/>
      <c r="K41" s="1516"/>
      <c r="L41" s="1517" t="s">
        <v>703</v>
      </c>
      <c r="M41" s="1517" t="s">
        <v>1393</v>
      </c>
      <c r="N41" s="1689" t="s">
        <v>116</v>
      </c>
      <c r="O41" s="1645"/>
      <c r="P41" s="245" t="b">
        <f t="shared" si="3"/>
        <v>0</v>
      </c>
      <c r="R41" s="245" t="b">
        <f t="shared" si="1"/>
        <v>0</v>
      </c>
      <c r="AO41" s="238" t="str">
        <f t="shared" si="2"/>
        <v>SG34</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456</v>
      </c>
      <c r="G42" s="1515">
        <v>47</v>
      </c>
      <c r="H42" s="1516">
        <v>10</v>
      </c>
      <c r="I42" s="1514"/>
      <c r="J42" s="1515"/>
      <c r="K42" s="1516"/>
      <c r="L42" s="1517" t="s">
        <v>703</v>
      </c>
      <c r="M42" s="1517" t="s">
        <v>1393</v>
      </c>
      <c r="N42" s="1689" t="s">
        <v>116</v>
      </c>
      <c r="O42" s="1645"/>
      <c r="P42" s="245" t="b">
        <f t="shared" si="3"/>
        <v>0</v>
      </c>
      <c r="R42" s="245" t="b">
        <f t="shared" si="1"/>
        <v>0</v>
      </c>
      <c r="AO42" s="238" t="str">
        <f t="shared" si="2"/>
        <v>SG34</v>
      </c>
      <c r="AP42" s="945" t="b">
        <v>0</v>
      </c>
      <c r="AQ42" s="1323"/>
      <c r="AR42" s="1324"/>
      <c r="AS42" s="1324"/>
      <c r="AT42" s="1324"/>
      <c r="AU42" s="1324"/>
      <c r="AV42" s="1324"/>
      <c r="AW42" s="1324"/>
      <c r="AX42" s="1324"/>
      <c r="AY42" s="1324"/>
      <c r="AZ42" s="1324"/>
      <c r="BA42" s="1533"/>
      <c r="BB42" s="1533"/>
      <c r="BC42" s="1534"/>
    </row>
    <row r="43" spans="1:55" ht="14.1" customHeight="1" x14ac:dyDescent="0.2">
      <c r="A43" s="1511" t="s">
        <v>1986</v>
      </c>
      <c r="B43" s="1512" t="s">
        <v>155</v>
      </c>
      <c r="C43" s="1512" t="s">
        <v>165</v>
      </c>
      <c r="D43" s="1512" t="s">
        <v>145</v>
      </c>
      <c r="E43" s="1513"/>
      <c r="F43" s="1514">
        <v>250</v>
      </c>
      <c r="G43" s="1515"/>
      <c r="H43" s="1516"/>
      <c r="I43" s="1514"/>
      <c r="J43" s="1515"/>
      <c r="K43" s="1516"/>
      <c r="L43" s="1517" t="s">
        <v>116</v>
      </c>
      <c r="M43" s="1517" t="s">
        <v>1393</v>
      </c>
      <c r="N43" s="1689" t="s">
        <v>116</v>
      </c>
      <c r="O43" s="1645"/>
      <c r="P43" s="245" t="b">
        <f t="shared" si="3"/>
        <v>0</v>
      </c>
      <c r="R43" s="245" t="b">
        <f t="shared" si="1"/>
        <v>1</v>
      </c>
      <c r="AO43" s="238" t="str">
        <f t="shared" si="2"/>
        <v>SG35</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155</v>
      </c>
      <c r="C44" s="1512" t="s">
        <v>165</v>
      </c>
      <c r="D44" s="1512" t="s">
        <v>159</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SG35</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154</v>
      </c>
      <c r="C45" s="1512" t="s">
        <v>165</v>
      </c>
      <c r="D45" s="1512" t="s">
        <v>145</v>
      </c>
      <c r="E45" s="1513"/>
      <c r="F45" s="1514">
        <v>1500</v>
      </c>
      <c r="G45" s="1515"/>
      <c r="H45" s="1516"/>
      <c r="I45" s="1514"/>
      <c r="J45" s="1515"/>
      <c r="K45" s="1516"/>
      <c r="L45" s="1517" t="s">
        <v>116</v>
      </c>
      <c r="M45" s="1517" t="s">
        <v>1393</v>
      </c>
      <c r="N45" s="1689" t="s">
        <v>116</v>
      </c>
      <c r="O45" s="1645"/>
      <c r="P45" s="245" t="b">
        <f t="shared" si="3"/>
        <v>0</v>
      </c>
      <c r="R45" s="245" t="b">
        <f t="shared" si="1"/>
        <v>1</v>
      </c>
      <c r="AO45" s="238" t="str">
        <f t="shared" si="2"/>
        <v>SG35</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720</v>
      </c>
      <c r="G46" s="1515"/>
      <c r="H46" s="1516"/>
      <c r="I46" s="1514"/>
      <c r="J46" s="1515"/>
      <c r="K46" s="1516"/>
      <c r="L46" s="1517" t="s">
        <v>116</v>
      </c>
      <c r="M46" s="1517" t="s">
        <v>1393</v>
      </c>
      <c r="N46" s="1689" t="s">
        <v>116</v>
      </c>
      <c r="O46" s="1645"/>
      <c r="P46" s="245" t="b">
        <f t="shared" si="3"/>
        <v>0</v>
      </c>
      <c r="R46" s="245" t="b">
        <f t="shared" si="1"/>
        <v>1</v>
      </c>
      <c r="AO46" s="238" t="str">
        <f t="shared" si="2"/>
        <v>SG35</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6000</v>
      </c>
      <c r="G47" s="1515">
        <v>3</v>
      </c>
      <c r="H47" s="1516">
        <v>10</v>
      </c>
      <c r="I47" s="1514"/>
      <c r="J47" s="1515"/>
      <c r="K47" s="1516"/>
      <c r="L47" s="1517" t="s">
        <v>703</v>
      </c>
      <c r="M47" s="1517" t="s">
        <v>1393</v>
      </c>
      <c r="N47" s="1689" t="s">
        <v>116</v>
      </c>
      <c r="O47" s="1645"/>
      <c r="P47" s="245" t="b">
        <f t="shared" si="3"/>
        <v>0</v>
      </c>
      <c r="R47" s="245" t="b">
        <f t="shared" si="1"/>
        <v>0</v>
      </c>
      <c r="AO47" s="238" t="str">
        <f t="shared" si="2"/>
        <v>SG35</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6000</v>
      </c>
      <c r="G48" s="1515">
        <v>11</v>
      </c>
      <c r="H48" s="1516">
        <v>10</v>
      </c>
      <c r="I48" s="1514"/>
      <c r="J48" s="1515"/>
      <c r="K48" s="1516"/>
      <c r="L48" s="1517" t="s">
        <v>703</v>
      </c>
      <c r="M48" s="1517" t="s">
        <v>1393</v>
      </c>
      <c r="N48" s="1689" t="s">
        <v>116</v>
      </c>
      <c r="O48" s="1645"/>
      <c r="P48" s="245" t="b">
        <f t="shared" si="3"/>
        <v>0</v>
      </c>
      <c r="R48" s="245" t="b">
        <f t="shared" si="1"/>
        <v>0</v>
      </c>
      <c r="AO48" s="238" t="str">
        <f t="shared" si="2"/>
        <v>SG35</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6000</v>
      </c>
      <c r="G49" s="1515">
        <v>19</v>
      </c>
      <c r="H49" s="1516">
        <v>10</v>
      </c>
      <c r="I49" s="1514"/>
      <c r="J49" s="1515"/>
      <c r="K49" s="1516"/>
      <c r="L49" s="1517" t="s">
        <v>703</v>
      </c>
      <c r="M49" s="1517" t="s">
        <v>1393</v>
      </c>
      <c r="N49" s="1689" t="s">
        <v>116</v>
      </c>
      <c r="O49" s="1645"/>
      <c r="P49" s="245" t="b">
        <f t="shared" si="3"/>
        <v>0</v>
      </c>
      <c r="R49" s="245" t="b">
        <f t="shared" si="1"/>
        <v>0</v>
      </c>
      <c r="AO49" s="238" t="str">
        <f t="shared" si="2"/>
        <v>SG35</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6000</v>
      </c>
      <c r="G50" s="1515">
        <v>27</v>
      </c>
      <c r="H50" s="1516">
        <v>10</v>
      </c>
      <c r="I50" s="1514"/>
      <c r="J50" s="1515"/>
      <c r="K50" s="1516"/>
      <c r="L50" s="1517" t="s">
        <v>703</v>
      </c>
      <c r="M50" s="1517" t="s">
        <v>1393</v>
      </c>
      <c r="N50" s="1689" t="s">
        <v>116</v>
      </c>
      <c r="O50" s="1645"/>
      <c r="P50" s="245" t="b">
        <f t="shared" si="3"/>
        <v>0</v>
      </c>
      <c r="R50" s="245" t="b">
        <f t="shared" si="1"/>
        <v>0</v>
      </c>
      <c r="AO50" s="238" t="str">
        <f t="shared" si="2"/>
        <v>SG35</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6000</v>
      </c>
      <c r="G51" s="1515">
        <v>35</v>
      </c>
      <c r="H51" s="1516">
        <v>10</v>
      </c>
      <c r="I51" s="1514"/>
      <c r="J51" s="1515"/>
      <c r="K51" s="1516"/>
      <c r="L51" s="1517" t="s">
        <v>703</v>
      </c>
      <c r="M51" s="1517" t="s">
        <v>1393</v>
      </c>
      <c r="N51" s="1689" t="s">
        <v>116</v>
      </c>
      <c r="O51" s="1645"/>
      <c r="P51" s="245" t="b">
        <f t="shared" si="3"/>
        <v>0</v>
      </c>
      <c r="R51" s="245" t="b">
        <f t="shared" si="1"/>
        <v>0</v>
      </c>
      <c r="AO51" s="238" t="str">
        <f t="shared" si="2"/>
        <v>SG35</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6000</v>
      </c>
      <c r="G52" s="1515">
        <v>43</v>
      </c>
      <c r="H52" s="1516">
        <v>10</v>
      </c>
      <c r="I52" s="1514"/>
      <c r="J52" s="1515"/>
      <c r="K52" s="1516"/>
      <c r="L52" s="1517" t="s">
        <v>703</v>
      </c>
      <c r="M52" s="1517" t="s">
        <v>1393</v>
      </c>
      <c r="N52" s="1689" t="s">
        <v>116</v>
      </c>
      <c r="O52" s="1645"/>
      <c r="P52" s="245" t="b">
        <f t="shared" si="3"/>
        <v>0</v>
      </c>
      <c r="R52" s="245" t="b">
        <f t="shared" si="1"/>
        <v>0</v>
      </c>
      <c r="AO52" s="238" t="str">
        <f t="shared" si="2"/>
        <v>SG35</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456</v>
      </c>
      <c r="G53" s="1515">
        <v>3</v>
      </c>
      <c r="H53" s="1516">
        <v>10</v>
      </c>
      <c r="I53" s="1514"/>
      <c r="J53" s="1515"/>
      <c r="K53" s="1516"/>
      <c r="L53" s="1517" t="s">
        <v>703</v>
      </c>
      <c r="M53" s="1517" t="s">
        <v>1393</v>
      </c>
      <c r="N53" s="1689" t="s">
        <v>116</v>
      </c>
      <c r="O53" s="1645"/>
      <c r="P53" s="245" t="b">
        <f t="shared" si="3"/>
        <v>0</v>
      </c>
      <c r="R53" s="245" t="b">
        <f t="shared" si="1"/>
        <v>0</v>
      </c>
      <c r="AO53" s="238" t="str">
        <f t="shared" si="2"/>
        <v>SG35</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456</v>
      </c>
      <c r="G54" s="1515">
        <v>11</v>
      </c>
      <c r="H54" s="1516">
        <v>10</v>
      </c>
      <c r="I54" s="1514"/>
      <c r="J54" s="1515"/>
      <c r="K54" s="1516"/>
      <c r="L54" s="1517" t="s">
        <v>703</v>
      </c>
      <c r="M54" s="1517" t="s">
        <v>1393</v>
      </c>
      <c r="N54" s="1689" t="s">
        <v>116</v>
      </c>
      <c r="O54" s="1645"/>
      <c r="P54" s="245" t="b">
        <f t="shared" si="3"/>
        <v>0</v>
      </c>
      <c r="R54" s="245" t="b">
        <f t="shared" si="1"/>
        <v>0</v>
      </c>
      <c r="AO54" s="238" t="str">
        <f t="shared" si="2"/>
        <v>SG35</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456</v>
      </c>
      <c r="G55" s="1524">
        <v>19</v>
      </c>
      <c r="H55" s="1525">
        <v>10</v>
      </c>
      <c r="I55" s="1523"/>
      <c r="J55" s="1524"/>
      <c r="K55" s="1525"/>
      <c r="L55" s="1526" t="s">
        <v>703</v>
      </c>
      <c r="M55" s="1526" t="s">
        <v>1393</v>
      </c>
      <c r="N55" s="1690"/>
      <c r="O55" s="1645"/>
      <c r="P55" s="245" t="b">
        <f t="shared" si="3"/>
        <v>0</v>
      </c>
      <c r="R55" s="245" t="b">
        <f t="shared" si="1"/>
        <v>0</v>
      </c>
      <c r="AO55" s="238" t="str">
        <f t="shared" si="2"/>
        <v>SG35</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19" priority="4" stopIfTrue="1">
      <formula>AND($B14="NU",F14&lt;0)</formula>
    </cfRule>
  </conditionalFormatting>
  <conditionalFormatting sqref="B14:B55">
    <cfRule type="expression" dxfId="218" priority="5" stopIfTrue="1">
      <formula>OR(AND($B14="NU",F14&lt;0),AND($B14="NU",I14&lt;0))</formula>
    </cfRule>
  </conditionalFormatting>
  <conditionalFormatting sqref="G14:H55 J14:L55">
    <cfRule type="expression" dxfId="217" priority="6" stopIfTrue="1">
      <formula>$R14</formula>
    </cfRule>
  </conditionalFormatting>
  <conditionalFormatting sqref="I2:K4">
    <cfRule type="cellIs" dxfId="216" priority="7" stopIfTrue="1" operator="equal">
      <formula>""</formula>
    </cfRule>
  </conditionalFormatting>
  <conditionalFormatting sqref="I14:I55">
    <cfRule type="expression" dxfId="215" priority="8" stopIfTrue="1">
      <formula>OR($R14,$B14="CZ",AND($B14="NU",I14&lt;0))</formula>
    </cfRule>
  </conditionalFormatting>
  <conditionalFormatting sqref="A14:A55">
    <cfRule type="expression" dxfId="214" priority="3">
      <formula>NOT($P14)</formula>
    </cfRule>
  </conditionalFormatting>
  <conditionalFormatting sqref="B14:D55">
    <cfRule type="expression" dxfId="2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12" priority="9">
      <formula>AND(NOT($P14),$T$1)</formula>
    </cfRule>
    <cfRule type="expression" dxfId="211" priority="10">
      <formula>AND($AP14,$S$1="M")</formula>
    </cfRule>
  </conditionalFormatting>
  <conditionalFormatting sqref="L14:L55">
    <cfRule type="expression" dxfId="2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351FA3A-FD41-40F8-8734-A762012E08E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A308ED8-A69F-4559-8CDD-796BB155606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24332A0-0C4A-43B5-B8BE-F417503963C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7C79F35-9C8B-429A-916A-A1725EA9B958}">
      <formula1>IF($CA$14,$CA$16:$CA$21,$CB$16:$CB$19)</formula1>
    </dataValidation>
    <dataValidation type="list" allowBlank="1" showErrorMessage="1" errorTitle="Invalid Type" error="You MUST select a Type from the dropdown list provided._x000a__x000a_Also, make sure your Cap Lock is turned on." sqref="B14:B55" xr:uid="{7926C271-759C-477F-A25C-90CEEFC09290}">
      <formula1>$BF$15:$BU$15</formula1>
    </dataValidation>
    <dataValidation allowBlank="1" showInputMessage="1" errorTitle="Invalid Load Case" error="You MUST use a Load Case from the list provided." sqref="M14:M55" xr:uid="{5C2CD4B0-0F37-4FC5-9702-DA3309979265}"/>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7593F-951A-4C56-AABD-E88F74D263BA}">
  <sheetPr codeName="Sheet5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456</v>
      </c>
      <c r="G14" s="1507">
        <v>27</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456</v>
      </c>
      <c r="G15" s="1515">
        <v>35</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456</v>
      </c>
      <c r="G16" s="1515">
        <v>43</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1987</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SG36</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SG36</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SG36</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6000</v>
      </c>
      <c r="G20" s="1515">
        <v>7</v>
      </c>
      <c r="H20" s="1516">
        <v>10</v>
      </c>
      <c r="I20" s="1514"/>
      <c r="J20" s="1515"/>
      <c r="K20" s="1516"/>
      <c r="L20" s="1517" t="s">
        <v>703</v>
      </c>
      <c r="M20" s="1518" t="s">
        <v>1393</v>
      </c>
      <c r="N20" s="1519"/>
      <c r="O20" s="1646"/>
      <c r="P20" s="245" t="b">
        <f t="shared" si="3"/>
        <v>0</v>
      </c>
      <c r="R20" s="245" t="b">
        <f t="shared" si="1"/>
        <v>0</v>
      </c>
      <c r="AO20" s="238" t="str">
        <f t="shared" si="2"/>
        <v>SG36</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6000</v>
      </c>
      <c r="G21" s="1515">
        <v>15</v>
      </c>
      <c r="H21" s="1516">
        <v>10</v>
      </c>
      <c r="I21" s="1514"/>
      <c r="J21" s="1515"/>
      <c r="K21" s="1516"/>
      <c r="L21" s="1517" t="s">
        <v>703</v>
      </c>
      <c r="M21" s="1518" t="s">
        <v>1393</v>
      </c>
      <c r="N21" s="1519"/>
      <c r="O21" s="1646"/>
      <c r="P21" s="245" t="b">
        <f t="shared" si="3"/>
        <v>0</v>
      </c>
      <c r="R21" s="245" t="b">
        <f t="shared" si="1"/>
        <v>0</v>
      </c>
      <c r="AO21" s="238" t="str">
        <f t="shared" si="2"/>
        <v>SG36</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6000</v>
      </c>
      <c r="G22" s="1515">
        <v>23</v>
      </c>
      <c r="H22" s="1516">
        <v>10</v>
      </c>
      <c r="I22" s="1514"/>
      <c r="J22" s="1515"/>
      <c r="K22" s="1516"/>
      <c r="L22" s="1517" t="s">
        <v>703</v>
      </c>
      <c r="M22" s="1518" t="s">
        <v>1393</v>
      </c>
      <c r="N22" s="1519"/>
      <c r="O22" s="1646"/>
      <c r="P22" s="245" t="b">
        <f t="shared" si="3"/>
        <v>0</v>
      </c>
      <c r="R22" s="245" t="b">
        <f t="shared" si="1"/>
        <v>0</v>
      </c>
      <c r="AO22" s="238" t="str">
        <f t="shared" si="2"/>
        <v>SG36</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6000</v>
      </c>
      <c r="G23" s="1515">
        <v>31</v>
      </c>
      <c r="H23" s="1516">
        <v>10</v>
      </c>
      <c r="I23" s="1514"/>
      <c r="J23" s="1515"/>
      <c r="K23" s="1516"/>
      <c r="L23" s="1517" t="s">
        <v>703</v>
      </c>
      <c r="M23" s="1518" t="s">
        <v>1393</v>
      </c>
      <c r="N23" s="1519"/>
      <c r="O23" s="1646"/>
      <c r="P23" s="245" t="b">
        <f t="shared" si="3"/>
        <v>0</v>
      </c>
      <c r="R23" s="245" t="b">
        <f t="shared" si="1"/>
        <v>0</v>
      </c>
      <c r="AO23" s="238" t="str">
        <f t="shared" si="2"/>
        <v>SG36</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6000</v>
      </c>
      <c r="G24" s="1515">
        <v>39</v>
      </c>
      <c r="H24" s="1516">
        <v>10</v>
      </c>
      <c r="I24" s="1514"/>
      <c r="J24" s="1515"/>
      <c r="K24" s="1516"/>
      <c r="L24" s="1517" t="s">
        <v>703</v>
      </c>
      <c r="M24" s="1518" t="s">
        <v>1393</v>
      </c>
      <c r="N24" s="1519"/>
      <c r="O24" s="1646"/>
      <c r="P24" s="245" t="b">
        <f t="shared" si="3"/>
        <v>0</v>
      </c>
      <c r="R24" s="245" t="b">
        <f t="shared" si="1"/>
        <v>0</v>
      </c>
      <c r="AO24" s="238" t="str">
        <f t="shared" si="2"/>
        <v>SG36</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6000</v>
      </c>
      <c r="G25" s="1515">
        <v>47</v>
      </c>
      <c r="H25" s="1516">
        <v>10</v>
      </c>
      <c r="I25" s="1514"/>
      <c r="J25" s="1515"/>
      <c r="K25" s="1516"/>
      <c r="L25" s="1517" t="s">
        <v>703</v>
      </c>
      <c r="M25" s="1518" t="s">
        <v>1393</v>
      </c>
      <c r="N25" s="1519"/>
      <c r="O25" s="1646"/>
      <c r="P25" s="245" t="b">
        <f t="shared" si="3"/>
        <v>0</v>
      </c>
      <c r="R25" s="245" t="b">
        <f t="shared" si="1"/>
        <v>0</v>
      </c>
      <c r="AO25" s="238" t="str">
        <f t="shared" si="2"/>
        <v>SG36</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456</v>
      </c>
      <c r="G26" s="1515">
        <v>7</v>
      </c>
      <c r="H26" s="1516">
        <v>10</v>
      </c>
      <c r="I26" s="1514"/>
      <c r="J26" s="1515"/>
      <c r="K26" s="1516"/>
      <c r="L26" s="1517" t="s">
        <v>703</v>
      </c>
      <c r="M26" s="1518" t="s">
        <v>1393</v>
      </c>
      <c r="N26" s="1519"/>
      <c r="O26" s="1646"/>
      <c r="P26" s="245" t="b">
        <f t="shared" si="3"/>
        <v>0</v>
      </c>
      <c r="R26" s="245" t="b">
        <f t="shared" si="1"/>
        <v>0</v>
      </c>
      <c r="AO26" s="238" t="str">
        <f t="shared" si="2"/>
        <v>SG36</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456</v>
      </c>
      <c r="G27" s="1515">
        <v>15</v>
      </c>
      <c r="H27" s="1516">
        <v>10</v>
      </c>
      <c r="I27" s="1514"/>
      <c r="J27" s="1515"/>
      <c r="K27" s="1516"/>
      <c r="L27" s="1517" t="s">
        <v>703</v>
      </c>
      <c r="M27" s="1518" t="s">
        <v>1393</v>
      </c>
      <c r="N27" s="1519"/>
      <c r="O27" s="1646"/>
      <c r="P27" s="245" t="b">
        <f t="shared" si="3"/>
        <v>0</v>
      </c>
      <c r="R27" s="245" t="b">
        <f t="shared" si="1"/>
        <v>0</v>
      </c>
      <c r="AO27" s="238" t="str">
        <f t="shared" si="2"/>
        <v>SG36</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456</v>
      </c>
      <c r="G28" s="1515">
        <v>23</v>
      </c>
      <c r="H28" s="1516">
        <v>10</v>
      </c>
      <c r="I28" s="1514"/>
      <c r="J28" s="1515"/>
      <c r="K28" s="1516"/>
      <c r="L28" s="1517" t="s">
        <v>703</v>
      </c>
      <c r="M28" s="1518" t="s">
        <v>1393</v>
      </c>
      <c r="N28" s="1689"/>
      <c r="O28" s="1645"/>
      <c r="P28" s="245" t="b">
        <f t="shared" si="3"/>
        <v>0</v>
      </c>
      <c r="R28" s="245" t="b">
        <f t="shared" si="1"/>
        <v>0</v>
      </c>
      <c r="AO28" s="238" t="str">
        <f t="shared" si="2"/>
        <v>SG36</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456</v>
      </c>
      <c r="G29" s="1515">
        <v>31</v>
      </c>
      <c r="H29" s="1516">
        <v>10</v>
      </c>
      <c r="I29" s="1514"/>
      <c r="J29" s="1515"/>
      <c r="K29" s="1516"/>
      <c r="L29" s="1517" t="s">
        <v>703</v>
      </c>
      <c r="M29" s="1518" t="s">
        <v>1393</v>
      </c>
      <c r="N29" s="1689"/>
      <c r="O29" s="1645"/>
      <c r="P29" s="245" t="b">
        <f t="shared" si="3"/>
        <v>0</v>
      </c>
      <c r="R29" s="245" t="b">
        <f t="shared" si="1"/>
        <v>0</v>
      </c>
      <c r="AO29" s="238" t="str">
        <f t="shared" si="2"/>
        <v>SG36</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456</v>
      </c>
      <c r="G30" s="1515">
        <v>39</v>
      </c>
      <c r="H30" s="1516">
        <v>10</v>
      </c>
      <c r="I30" s="1514"/>
      <c r="J30" s="1515"/>
      <c r="K30" s="1516"/>
      <c r="L30" s="1517" t="s">
        <v>703</v>
      </c>
      <c r="M30" s="1518" t="s">
        <v>1393</v>
      </c>
      <c r="N30" s="1689" t="s">
        <v>116</v>
      </c>
      <c r="O30" s="1645"/>
      <c r="P30" s="245" t="b">
        <f t="shared" si="3"/>
        <v>0</v>
      </c>
      <c r="R30" s="245" t="b">
        <f t="shared" si="1"/>
        <v>0</v>
      </c>
      <c r="AO30" s="238" t="str">
        <f t="shared" si="2"/>
        <v>SG36</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456</v>
      </c>
      <c r="G31" s="1515">
        <v>47</v>
      </c>
      <c r="H31" s="1516">
        <v>10</v>
      </c>
      <c r="I31" s="1514"/>
      <c r="J31" s="1515"/>
      <c r="K31" s="1516"/>
      <c r="L31" s="1517" t="s">
        <v>703</v>
      </c>
      <c r="M31" s="1517" t="s">
        <v>1393</v>
      </c>
      <c r="N31" s="1689" t="s">
        <v>116</v>
      </c>
      <c r="O31" s="1645"/>
      <c r="P31" s="245" t="b">
        <f t="shared" si="3"/>
        <v>0</v>
      </c>
      <c r="R31" s="245" t="b">
        <f t="shared" si="1"/>
        <v>0</v>
      </c>
      <c r="AO31" s="238" t="str">
        <f t="shared" si="2"/>
        <v>SG36</v>
      </c>
      <c r="AP31" s="945" t="b">
        <v>0</v>
      </c>
      <c r="AQ31" s="1323"/>
      <c r="AR31" s="1324"/>
      <c r="AS31" s="1324"/>
      <c r="AT31" s="1324"/>
      <c r="AU31" s="1324"/>
      <c r="AV31" s="1324"/>
      <c r="AW31" s="1324"/>
      <c r="AX31" s="1324"/>
      <c r="AY31" s="1324"/>
      <c r="AZ31" s="1324"/>
      <c r="BA31" s="1533"/>
      <c r="BB31" s="1533"/>
      <c r="BC31" s="1534"/>
    </row>
    <row r="32" spans="1:81" ht="14.1" customHeight="1" x14ac:dyDescent="0.2">
      <c r="A32" s="1511" t="s">
        <v>1988</v>
      </c>
      <c r="B32" s="1512" t="s">
        <v>155</v>
      </c>
      <c r="C32" s="1512" t="s">
        <v>165</v>
      </c>
      <c r="D32" s="1512" t="s">
        <v>145</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SG37</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155</v>
      </c>
      <c r="C33" s="1512" t="s">
        <v>165</v>
      </c>
      <c r="D33" s="1512" t="s">
        <v>159</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SG37</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154</v>
      </c>
      <c r="C34" s="1512" t="s">
        <v>165</v>
      </c>
      <c r="D34" s="1512" t="s">
        <v>145</v>
      </c>
      <c r="E34" s="1513"/>
      <c r="F34" s="1514">
        <v>1500</v>
      </c>
      <c r="G34" s="1515"/>
      <c r="H34" s="1516"/>
      <c r="I34" s="1514"/>
      <c r="J34" s="1515"/>
      <c r="K34" s="1516"/>
      <c r="L34" s="1517" t="s">
        <v>116</v>
      </c>
      <c r="M34" s="1517" t="s">
        <v>1393</v>
      </c>
      <c r="N34" s="1689" t="s">
        <v>116</v>
      </c>
      <c r="O34" s="1645"/>
      <c r="P34" s="245" t="b">
        <f t="shared" si="3"/>
        <v>0</v>
      </c>
      <c r="R34" s="245" t="b">
        <f t="shared" si="1"/>
        <v>1</v>
      </c>
      <c r="AO34" s="238" t="str">
        <f t="shared" si="2"/>
        <v>SG37</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6000</v>
      </c>
      <c r="G35" s="1515">
        <v>3</v>
      </c>
      <c r="H35" s="1516">
        <v>10</v>
      </c>
      <c r="I35" s="1514"/>
      <c r="J35" s="1515"/>
      <c r="K35" s="1516"/>
      <c r="L35" s="1517" t="s">
        <v>703</v>
      </c>
      <c r="M35" s="1517" t="s">
        <v>1393</v>
      </c>
      <c r="N35" s="1689" t="s">
        <v>116</v>
      </c>
      <c r="O35" s="1645"/>
      <c r="P35" s="245" t="b">
        <f t="shared" si="3"/>
        <v>0</v>
      </c>
      <c r="R35" s="245" t="b">
        <f t="shared" si="1"/>
        <v>0</v>
      </c>
      <c r="AO35" s="238" t="str">
        <f t="shared" si="2"/>
        <v>SG37</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6000</v>
      </c>
      <c r="G36" s="1515">
        <v>11</v>
      </c>
      <c r="H36" s="1516">
        <v>10</v>
      </c>
      <c r="I36" s="1514"/>
      <c r="J36" s="1515"/>
      <c r="K36" s="1516"/>
      <c r="L36" s="1517" t="s">
        <v>703</v>
      </c>
      <c r="M36" s="1517" t="s">
        <v>1393</v>
      </c>
      <c r="N36" s="1689" t="s">
        <v>116</v>
      </c>
      <c r="O36" s="1645"/>
      <c r="P36" s="245" t="b">
        <f t="shared" si="3"/>
        <v>0</v>
      </c>
      <c r="R36" s="245" t="b">
        <f t="shared" si="1"/>
        <v>0</v>
      </c>
      <c r="AO36" s="238" t="str">
        <f t="shared" si="2"/>
        <v>SG37</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6000</v>
      </c>
      <c r="G37" s="1515">
        <v>19</v>
      </c>
      <c r="H37" s="1516">
        <v>10</v>
      </c>
      <c r="I37" s="1514"/>
      <c r="J37" s="1515"/>
      <c r="K37" s="1516"/>
      <c r="L37" s="1517" t="s">
        <v>703</v>
      </c>
      <c r="M37" s="1517" t="s">
        <v>1393</v>
      </c>
      <c r="N37" s="1689" t="s">
        <v>116</v>
      </c>
      <c r="O37" s="1645"/>
      <c r="P37" s="245" t="b">
        <f t="shared" si="3"/>
        <v>0</v>
      </c>
      <c r="R37" s="245" t="b">
        <f t="shared" si="1"/>
        <v>0</v>
      </c>
      <c r="AO37" s="238" t="str">
        <f t="shared" si="2"/>
        <v>SG37</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6000</v>
      </c>
      <c r="G38" s="1515">
        <v>27</v>
      </c>
      <c r="H38" s="1516">
        <v>10</v>
      </c>
      <c r="I38" s="1514"/>
      <c r="J38" s="1515"/>
      <c r="K38" s="1516"/>
      <c r="L38" s="1517" t="s">
        <v>703</v>
      </c>
      <c r="M38" s="1517" t="s">
        <v>1393</v>
      </c>
      <c r="N38" s="1689" t="s">
        <v>116</v>
      </c>
      <c r="O38" s="1645"/>
      <c r="P38" s="245" t="b">
        <f t="shared" si="3"/>
        <v>0</v>
      </c>
      <c r="R38" s="245" t="b">
        <f t="shared" si="1"/>
        <v>0</v>
      </c>
      <c r="AO38" s="238" t="str">
        <f t="shared" si="2"/>
        <v>SG37</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6000</v>
      </c>
      <c r="G39" s="1515">
        <v>35</v>
      </c>
      <c r="H39" s="1516">
        <v>10</v>
      </c>
      <c r="I39" s="1514"/>
      <c r="J39" s="1515"/>
      <c r="K39" s="1516"/>
      <c r="L39" s="1517" t="s">
        <v>703</v>
      </c>
      <c r="M39" s="1517" t="s">
        <v>1393</v>
      </c>
      <c r="N39" s="1689" t="s">
        <v>116</v>
      </c>
      <c r="O39" s="1645"/>
      <c r="P39" s="245" t="b">
        <f t="shared" si="3"/>
        <v>0</v>
      </c>
      <c r="R39" s="245" t="b">
        <f t="shared" si="1"/>
        <v>0</v>
      </c>
      <c r="AO39" s="238" t="str">
        <f t="shared" si="2"/>
        <v>SG37</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6000</v>
      </c>
      <c r="G40" s="1515">
        <v>43</v>
      </c>
      <c r="H40" s="1516">
        <v>10</v>
      </c>
      <c r="I40" s="1514"/>
      <c r="J40" s="1515"/>
      <c r="K40" s="1516"/>
      <c r="L40" s="1517" t="s">
        <v>703</v>
      </c>
      <c r="M40" s="1517" t="s">
        <v>1393</v>
      </c>
      <c r="N40" s="1689" t="s">
        <v>116</v>
      </c>
      <c r="O40" s="1645"/>
      <c r="P40" s="245" t="b">
        <f t="shared" si="3"/>
        <v>0</v>
      </c>
      <c r="R40" s="245" t="b">
        <f t="shared" si="1"/>
        <v>0</v>
      </c>
      <c r="AO40" s="238" t="str">
        <f t="shared" si="2"/>
        <v>SG37</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456</v>
      </c>
      <c r="G41" s="1515">
        <v>3</v>
      </c>
      <c r="H41" s="1516">
        <v>10</v>
      </c>
      <c r="I41" s="1514"/>
      <c r="J41" s="1515"/>
      <c r="K41" s="1516"/>
      <c r="L41" s="1517" t="s">
        <v>703</v>
      </c>
      <c r="M41" s="1517" t="s">
        <v>1393</v>
      </c>
      <c r="N41" s="1689" t="s">
        <v>116</v>
      </c>
      <c r="O41" s="1645"/>
      <c r="P41" s="245" t="b">
        <f t="shared" si="3"/>
        <v>0</v>
      </c>
      <c r="R41" s="245" t="b">
        <f t="shared" si="1"/>
        <v>0</v>
      </c>
      <c r="AO41" s="238" t="str">
        <f t="shared" si="2"/>
        <v>SG37</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456</v>
      </c>
      <c r="G42" s="1515">
        <v>11</v>
      </c>
      <c r="H42" s="1516">
        <v>10</v>
      </c>
      <c r="I42" s="1514"/>
      <c r="J42" s="1515"/>
      <c r="K42" s="1516"/>
      <c r="L42" s="1517" t="s">
        <v>703</v>
      </c>
      <c r="M42" s="1517" t="s">
        <v>1393</v>
      </c>
      <c r="N42" s="1689" t="s">
        <v>116</v>
      </c>
      <c r="O42" s="1645"/>
      <c r="P42" s="245" t="b">
        <f t="shared" si="3"/>
        <v>0</v>
      </c>
      <c r="R42" s="245" t="b">
        <f t="shared" si="1"/>
        <v>0</v>
      </c>
      <c r="AO42" s="238" t="str">
        <f t="shared" si="2"/>
        <v>SG37</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456</v>
      </c>
      <c r="G43" s="1515">
        <v>19</v>
      </c>
      <c r="H43" s="1516">
        <v>10</v>
      </c>
      <c r="I43" s="1514"/>
      <c r="J43" s="1515"/>
      <c r="K43" s="1516"/>
      <c r="L43" s="1517" t="s">
        <v>703</v>
      </c>
      <c r="M43" s="1517" t="s">
        <v>1393</v>
      </c>
      <c r="N43" s="1689" t="s">
        <v>116</v>
      </c>
      <c r="O43" s="1645"/>
      <c r="P43" s="245" t="b">
        <f t="shared" si="3"/>
        <v>0</v>
      </c>
      <c r="R43" s="245" t="b">
        <f t="shared" si="1"/>
        <v>0</v>
      </c>
      <c r="AO43" s="238" t="str">
        <f t="shared" si="2"/>
        <v>SG37</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456</v>
      </c>
      <c r="G44" s="1515">
        <v>27</v>
      </c>
      <c r="H44" s="1516">
        <v>10</v>
      </c>
      <c r="I44" s="1514"/>
      <c r="J44" s="1515"/>
      <c r="K44" s="1516"/>
      <c r="L44" s="1517" t="s">
        <v>703</v>
      </c>
      <c r="M44" s="1517" t="s">
        <v>1393</v>
      </c>
      <c r="N44" s="1689" t="s">
        <v>116</v>
      </c>
      <c r="O44" s="1645"/>
      <c r="P44" s="245" t="b">
        <f t="shared" si="3"/>
        <v>0</v>
      </c>
      <c r="R44" s="245" t="b">
        <f t="shared" si="1"/>
        <v>0</v>
      </c>
      <c r="AO44" s="238" t="str">
        <f t="shared" si="2"/>
        <v>SG37</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456</v>
      </c>
      <c r="G45" s="1515">
        <v>35</v>
      </c>
      <c r="H45" s="1516">
        <v>10</v>
      </c>
      <c r="I45" s="1514"/>
      <c r="J45" s="1515"/>
      <c r="K45" s="1516"/>
      <c r="L45" s="1517" t="s">
        <v>703</v>
      </c>
      <c r="M45" s="1517" t="s">
        <v>1393</v>
      </c>
      <c r="N45" s="1689" t="s">
        <v>116</v>
      </c>
      <c r="O45" s="1645"/>
      <c r="P45" s="245" t="b">
        <f t="shared" si="3"/>
        <v>0</v>
      </c>
      <c r="R45" s="245" t="b">
        <f t="shared" si="1"/>
        <v>0</v>
      </c>
      <c r="AO45" s="238" t="str">
        <f t="shared" si="2"/>
        <v>SG37</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456</v>
      </c>
      <c r="G46" s="1515">
        <v>43</v>
      </c>
      <c r="H46" s="1516">
        <v>10</v>
      </c>
      <c r="I46" s="1514"/>
      <c r="J46" s="1515"/>
      <c r="K46" s="1516"/>
      <c r="L46" s="1517" t="s">
        <v>703</v>
      </c>
      <c r="M46" s="1517" t="s">
        <v>1393</v>
      </c>
      <c r="N46" s="1689" t="s">
        <v>116</v>
      </c>
      <c r="O46" s="1645"/>
      <c r="P46" s="245" t="b">
        <f t="shared" si="3"/>
        <v>0</v>
      </c>
      <c r="R46" s="245" t="b">
        <f t="shared" si="1"/>
        <v>0</v>
      </c>
      <c r="AO46" s="238" t="str">
        <f t="shared" si="2"/>
        <v>SG37</v>
      </c>
      <c r="AP46" s="945" t="b">
        <v>0</v>
      </c>
      <c r="AQ46" s="1323"/>
      <c r="AR46" s="1324"/>
      <c r="AS46" s="1324"/>
      <c r="AT46" s="1324"/>
      <c r="AU46" s="1324"/>
      <c r="AV46" s="1324"/>
      <c r="AW46" s="1324"/>
      <c r="AX46" s="1324"/>
      <c r="AY46" s="1324"/>
      <c r="AZ46" s="1324"/>
      <c r="BA46" s="1533"/>
      <c r="BB46" s="1533"/>
      <c r="BC46" s="1534"/>
    </row>
    <row r="47" spans="1:55" ht="14.1" customHeight="1" x14ac:dyDescent="0.2">
      <c r="A47" s="1511" t="s">
        <v>1989</v>
      </c>
      <c r="B47" s="1512" t="s">
        <v>155</v>
      </c>
      <c r="C47" s="1512" t="s">
        <v>165</v>
      </c>
      <c r="D47" s="1512" t="s">
        <v>145</v>
      </c>
      <c r="E47" s="1513"/>
      <c r="F47" s="1514">
        <v>250</v>
      </c>
      <c r="G47" s="1515"/>
      <c r="H47" s="1516"/>
      <c r="I47" s="1514"/>
      <c r="J47" s="1515"/>
      <c r="K47" s="1516"/>
      <c r="L47" s="1517" t="s">
        <v>116</v>
      </c>
      <c r="M47" s="1517" t="s">
        <v>1393</v>
      </c>
      <c r="N47" s="1689" t="s">
        <v>116</v>
      </c>
      <c r="O47" s="1645"/>
      <c r="P47" s="245" t="b">
        <f t="shared" si="3"/>
        <v>0</v>
      </c>
      <c r="R47" s="245" t="b">
        <f t="shared" si="1"/>
        <v>1</v>
      </c>
      <c r="AO47" s="238" t="str">
        <f t="shared" si="2"/>
        <v>SG38</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155</v>
      </c>
      <c r="C48" s="1512" t="s">
        <v>165</v>
      </c>
      <c r="D48" s="1512" t="s">
        <v>159</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SG38</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154</v>
      </c>
      <c r="C49" s="1512" t="s">
        <v>165</v>
      </c>
      <c r="D49" s="1512" t="s">
        <v>145</v>
      </c>
      <c r="E49" s="1513"/>
      <c r="F49" s="1514">
        <v>1500</v>
      </c>
      <c r="G49" s="1515"/>
      <c r="H49" s="1516"/>
      <c r="I49" s="1514"/>
      <c r="J49" s="1515"/>
      <c r="K49" s="1516"/>
      <c r="L49" s="1517" t="s">
        <v>116</v>
      </c>
      <c r="M49" s="1517" t="s">
        <v>1393</v>
      </c>
      <c r="N49" s="1689" t="s">
        <v>116</v>
      </c>
      <c r="O49" s="1645"/>
      <c r="P49" s="245" t="b">
        <f t="shared" si="3"/>
        <v>0</v>
      </c>
      <c r="R49" s="245" t="b">
        <f t="shared" si="1"/>
        <v>1</v>
      </c>
      <c r="AO49" s="238" t="str">
        <f t="shared" si="2"/>
        <v>SG38</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154</v>
      </c>
      <c r="C50" s="1512" t="s">
        <v>165</v>
      </c>
      <c r="D50" s="1512" t="s">
        <v>145</v>
      </c>
      <c r="E50" s="1513"/>
      <c r="F50" s="1514">
        <v>2220</v>
      </c>
      <c r="G50" s="1515"/>
      <c r="H50" s="1516"/>
      <c r="I50" s="1514"/>
      <c r="J50" s="1515"/>
      <c r="K50" s="1516"/>
      <c r="L50" s="1517" t="s">
        <v>116</v>
      </c>
      <c r="M50" s="1517" t="s">
        <v>1393</v>
      </c>
      <c r="N50" s="1689" t="s">
        <v>116</v>
      </c>
      <c r="O50" s="1645"/>
      <c r="P50" s="245" t="b">
        <f t="shared" si="3"/>
        <v>0</v>
      </c>
      <c r="R50" s="245" t="b">
        <f t="shared" si="1"/>
        <v>1</v>
      </c>
      <c r="AO50" s="238" t="str">
        <f t="shared" si="2"/>
        <v>SG38</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6000</v>
      </c>
      <c r="G51" s="1515">
        <v>7</v>
      </c>
      <c r="H51" s="1516">
        <v>10</v>
      </c>
      <c r="I51" s="1514"/>
      <c r="J51" s="1515"/>
      <c r="K51" s="1516"/>
      <c r="L51" s="1517" t="s">
        <v>703</v>
      </c>
      <c r="M51" s="1517" t="s">
        <v>1393</v>
      </c>
      <c r="N51" s="1689" t="s">
        <v>116</v>
      </c>
      <c r="O51" s="1645"/>
      <c r="P51" s="245" t="b">
        <f t="shared" si="3"/>
        <v>0</v>
      </c>
      <c r="R51" s="245" t="b">
        <f t="shared" si="1"/>
        <v>0</v>
      </c>
      <c r="AO51" s="238" t="str">
        <f t="shared" si="2"/>
        <v>SG38</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6000</v>
      </c>
      <c r="G52" s="1515">
        <v>15</v>
      </c>
      <c r="H52" s="1516">
        <v>10</v>
      </c>
      <c r="I52" s="1514"/>
      <c r="J52" s="1515"/>
      <c r="K52" s="1516"/>
      <c r="L52" s="1517" t="s">
        <v>703</v>
      </c>
      <c r="M52" s="1517" t="s">
        <v>1393</v>
      </c>
      <c r="N52" s="1689" t="s">
        <v>116</v>
      </c>
      <c r="O52" s="1645"/>
      <c r="P52" s="245" t="b">
        <f t="shared" si="3"/>
        <v>0</v>
      </c>
      <c r="R52" s="245" t="b">
        <f t="shared" si="1"/>
        <v>0</v>
      </c>
      <c r="AO52" s="238" t="str">
        <f t="shared" si="2"/>
        <v>SG38</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6000</v>
      </c>
      <c r="G53" s="1515">
        <v>23</v>
      </c>
      <c r="H53" s="1516">
        <v>10</v>
      </c>
      <c r="I53" s="1514"/>
      <c r="J53" s="1515"/>
      <c r="K53" s="1516"/>
      <c r="L53" s="1517" t="s">
        <v>703</v>
      </c>
      <c r="M53" s="1517" t="s">
        <v>1393</v>
      </c>
      <c r="N53" s="1689" t="s">
        <v>116</v>
      </c>
      <c r="O53" s="1645"/>
      <c r="P53" s="245" t="b">
        <f t="shared" si="3"/>
        <v>0</v>
      </c>
      <c r="R53" s="245" t="b">
        <f t="shared" si="1"/>
        <v>0</v>
      </c>
      <c r="AO53" s="238" t="str">
        <f t="shared" si="2"/>
        <v>SG38</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6000</v>
      </c>
      <c r="G54" s="1515">
        <v>31</v>
      </c>
      <c r="H54" s="1516">
        <v>10</v>
      </c>
      <c r="I54" s="1514"/>
      <c r="J54" s="1515"/>
      <c r="K54" s="1516"/>
      <c r="L54" s="1517" t="s">
        <v>703</v>
      </c>
      <c r="M54" s="1517" t="s">
        <v>1393</v>
      </c>
      <c r="N54" s="1689" t="s">
        <v>116</v>
      </c>
      <c r="O54" s="1645"/>
      <c r="P54" s="245" t="b">
        <f t="shared" si="3"/>
        <v>0</v>
      </c>
      <c r="R54" s="245" t="b">
        <f t="shared" si="1"/>
        <v>0</v>
      </c>
      <c r="AO54" s="238" t="str">
        <f t="shared" si="2"/>
        <v>SG38</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6000</v>
      </c>
      <c r="G55" s="1524">
        <v>39</v>
      </c>
      <c r="H55" s="1525">
        <v>10</v>
      </c>
      <c r="I55" s="1523"/>
      <c r="J55" s="1524"/>
      <c r="K55" s="1525"/>
      <c r="L55" s="1526" t="s">
        <v>703</v>
      </c>
      <c r="M55" s="1526" t="s">
        <v>1393</v>
      </c>
      <c r="N55" s="1690"/>
      <c r="O55" s="1645"/>
      <c r="P55" s="245" t="b">
        <f t="shared" si="3"/>
        <v>0</v>
      </c>
      <c r="R55" s="245" t="b">
        <f t="shared" si="1"/>
        <v>0</v>
      </c>
      <c r="AO55" s="238" t="str">
        <f t="shared" si="2"/>
        <v>SG38</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09" priority="4" stopIfTrue="1">
      <formula>AND($B14="NU",F14&lt;0)</formula>
    </cfRule>
  </conditionalFormatting>
  <conditionalFormatting sqref="B14:B55">
    <cfRule type="expression" dxfId="208" priority="5" stopIfTrue="1">
      <formula>OR(AND($B14="NU",F14&lt;0),AND($B14="NU",I14&lt;0))</formula>
    </cfRule>
  </conditionalFormatting>
  <conditionalFormatting sqref="G14:H55 J14:L55">
    <cfRule type="expression" dxfId="207" priority="6" stopIfTrue="1">
      <formula>$R14</formula>
    </cfRule>
  </conditionalFormatting>
  <conditionalFormatting sqref="I2:K4">
    <cfRule type="cellIs" dxfId="206" priority="7" stopIfTrue="1" operator="equal">
      <formula>""</formula>
    </cfRule>
  </conditionalFormatting>
  <conditionalFormatting sqref="I14:I55">
    <cfRule type="expression" dxfId="205" priority="8" stopIfTrue="1">
      <formula>OR($R14,$B14="CZ",AND($B14="NU",I14&lt;0))</formula>
    </cfRule>
  </conditionalFormatting>
  <conditionalFormatting sqref="A14:A55">
    <cfRule type="expression" dxfId="204" priority="3">
      <formula>NOT($P14)</formula>
    </cfRule>
  </conditionalFormatting>
  <conditionalFormatting sqref="B14:D55">
    <cfRule type="expression" dxfId="20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02" priority="9">
      <formula>AND(NOT($P14),$T$1)</formula>
    </cfRule>
    <cfRule type="expression" dxfId="201" priority="10">
      <formula>AND($AP14,$S$1="M")</formula>
    </cfRule>
  </conditionalFormatting>
  <conditionalFormatting sqref="L14:L55">
    <cfRule type="expression" dxfId="20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4AE4C76-68C8-415C-8B6F-6C2B1FFC9260}">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F1FEDCE8-D2BF-46AC-B090-120800CE4A53}">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1372BFD4-05B0-47B6-9C54-3F5DD8211C9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046D3BD3-7F33-4B94-9C44-5B0F44128DF2}">
      <formula1>IF($CA$14,$CA$16:$CA$21,$CB$16:$CB$19)</formula1>
    </dataValidation>
    <dataValidation type="list" allowBlank="1" showErrorMessage="1" errorTitle="Invalid Type" error="You MUST select a Type from the dropdown list provided._x000a__x000a_Also, make sure your Cap Lock is turned on." sqref="B14:B55" xr:uid="{F4ABFC67-9910-4BAE-B407-A85457C43CAA}">
      <formula1>$BF$15:$BU$15</formula1>
    </dataValidation>
    <dataValidation allowBlank="1" showInputMessage="1" errorTitle="Invalid Load Case" error="You MUST use a Load Case from the list provided." sqref="M14:M55" xr:uid="{E429F589-EE2F-4ABA-A97F-0B10E3303679}"/>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CC6FA-5E0D-46F3-A025-D3D86961FFCF}">
  <sheetPr codeName="Sheet5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6000</v>
      </c>
      <c r="G14" s="1507">
        <v>47</v>
      </c>
      <c r="H14" s="1508">
        <v>10</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456</v>
      </c>
      <c r="G15" s="1515">
        <v>7</v>
      </c>
      <c r="H15" s="1516">
        <v>10</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456</v>
      </c>
      <c r="G16" s="1515">
        <v>15</v>
      </c>
      <c r="H16" s="1516">
        <v>10</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456</v>
      </c>
      <c r="G17" s="1515">
        <v>23</v>
      </c>
      <c r="H17" s="1516">
        <v>10</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456</v>
      </c>
      <c r="G18" s="1515">
        <v>31</v>
      </c>
      <c r="H18" s="1516">
        <v>10</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456</v>
      </c>
      <c r="G19" s="1515">
        <v>39</v>
      </c>
      <c r="H19" s="1516">
        <v>10</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456</v>
      </c>
      <c r="G20" s="1515">
        <v>47</v>
      </c>
      <c r="H20" s="1516">
        <v>10</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t="s">
        <v>1990</v>
      </c>
      <c r="B21" s="1512" t="s">
        <v>155</v>
      </c>
      <c r="C21" s="1512" t="s">
        <v>165</v>
      </c>
      <c r="D21" s="1512" t="s">
        <v>145</v>
      </c>
      <c r="E21" s="1513"/>
      <c r="F21" s="1514">
        <v>250</v>
      </c>
      <c r="G21" s="1515"/>
      <c r="H21" s="1516"/>
      <c r="I21" s="1514"/>
      <c r="J21" s="1515"/>
      <c r="K21" s="1516"/>
      <c r="L21" s="1517" t="s">
        <v>116</v>
      </c>
      <c r="M21" s="1518" t="s">
        <v>1393</v>
      </c>
      <c r="N21" s="1519"/>
      <c r="O21" s="1646"/>
      <c r="P21" s="245" t="b">
        <f t="shared" si="3"/>
        <v>0</v>
      </c>
      <c r="R21" s="245" t="b">
        <f t="shared" si="1"/>
        <v>1</v>
      </c>
      <c r="AO21" s="238" t="str">
        <f t="shared" si="2"/>
        <v>SG39</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155</v>
      </c>
      <c r="C22" s="1512" t="s">
        <v>165</v>
      </c>
      <c r="D22" s="1512" t="s">
        <v>159</v>
      </c>
      <c r="E22" s="1513"/>
      <c r="F22" s="1514">
        <v>250</v>
      </c>
      <c r="G22" s="1515"/>
      <c r="H22" s="1516"/>
      <c r="I22" s="1514"/>
      <c r="J22" s="1515"/>
      <c r="K22" s="1516"/>
      <c r="L22" s="1517" t="s">
        <v>116</v>
      </c>
      <c r="M22" s="1518" t="s">
        <v>1393</v>
      </c>
      <c r="N22" s="1519"/>
      <c r="O22" s="1646"/>
      <c r="P22" s="245" t="b">
        <f t="shared" si="3"/>
        <v>0</v>
      </c>
      <c r="R22" s="245" t="b">
        <f t="shared" si="1"/>
        <v>1</v>
      </c>
      <c r="AO22" s="238" t="str">
        <f t="shared" si="2"/>
        <v>SG39</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154</v>
      </c>
      <c r="C23" s="1512" t="s">
        <v>165</v>
      </c>
      <c r="D23" s="1512" t="s">
        <v>145</v>
      </c>
      <c r="E23" s="1513"/>
      <c r="F23" s="1514">
        <v>1500</v>
      </c>
      <c r="G23" s="1515"/>
      <c r="H23" s="1516"/>
      <c r="I23" s="1514"/>
      <c r="J23" s="1515"/>
      <c r="K23" s="1516"/>
      <c r="L23" s="1517" t="s">
        <v>116</v>
      </c>
      <c r="M23" s="1518" t="s">
        <v>1393</v>
      </c>
      <c r="N23" s="1519"/>
      <c r="O23" s="1646"/>
      <c r="P23" s="245" t="b">
        <f t="shared" si="3"/>
        <v>0</v>
      </c>
      <c r="R23" s="245" t="b">
        <f t="shared" si="1"/>
        <v>1</v>
      </c>
      <c r="AO23" s="238" t="str">
        <f t="shared" si="2"/>
        <v>SG39</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154</v>
      </c>
      <c r="C24" s="1512" t="s">
        <v>165</v>
      </c>
      <c r="D24" s="1512" t="s">
        <v>145</v>
      </c>
      <c r="E24" s="1513"/>
      <c r="F24" s="1514">
        <v>2220</v>
      </c>
      <c r="G24" s="1515"/>
      <c r="H24" s="1516"/>
      <c r="I24" s="1514"/>
      <c r="J24" s="1515"/>
      <c r="K24" s="1516"/>
      <c r="L24" s="1517" t="s">
        <v>116</v>
      </c>
      <c r="M24" s="1518" t="s">
        <v>1393</v>
      </c>
      <c r="N24" s="1519"/>
      <c r="O24" s="1646"/>
      <c r="P24" s="245" t="b">
        <f t="shared" si="3"/>
        <v>0</v>
      </c>
      <c r="R24" s="245" t="b">
        <f t="shared" si="1"/>
        <v>1</v>
      </c>
      <c r="AO24" s="238" t="str">
        <f t="shared" si="2"/>
        <v>SG39</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6000</v>
      </c>
      <c r="G25" s="1515">
        <v>3</v>
      </c>
      <c r="H25" s="1516">
        <v>10</v>
      </c>
      <c r="I25" s="1514"/>
      <c r="J25" s="1515"/>
      <c r="K25" s="1516"/>
      <c r="L25" s="1517" t="s">
        <v>703</v>
      </c>
      <c r="M25" s="1518" t="s">
        <v>1393</v>
      </c>
      <c r="N25" s="1519"/>
      <c r="O25" s="1646"/>
      <c r="P25" s="245" t="b">
        <f t="shared" si="3"/>
        <v>0</v>
      </c>
      <c r="R25" s="245" t="b">
        <f t="shared" si="1"/>
        <v>0</v>
      </c>
      <c r="AO25" s="238" t="str">
        <f t="shared" si="2"/>
        <v>SG39</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6000</v>
      </c>
      <c r="G26" s="1515">
        <v>11</v>
      </c>
      <c r="H26" s="1516">
        <v>10</v>
      </c>
      <c r="I26" s="1514"/>
      <c r="J26" s="1515"/>
      <c r="K26" s="1516"/>
      <c r="L26" s="1517" t="s">
        <v>703</v>
      </c>
      <c r="M26" s="1518" t="s">
        <v>1393</v>
      </c>
      <c r="N26" s="1519"/>
      <c r="O26" s="1646"/>
      <c r="P26" s="245" t="b">
        <f t="shared" si="3"/>
        <v>0</v>
      </c>
      <c r="R26" s="245" t="b">
        <f t="shared" si="1"/>
        <v>0</v>
      </c>
      <c r="AO26" s="238" t="str">
        <f t="shared" si="2"/>
        <v>SG39</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6000</v>
      </c>
      <c r="G27" s="1515">
        <v>19</v>
      </c>
      <c r="H27" s="1516">
        <v>10</v>
      </c>
      <c r="I27" s="1514"/>
      <c r="J27" s="1515"/>
      <c r="K27" s="1516"/>
      <c r="L27" s="1517" t="s">
        <v>703</v>
      </c>
      <c r="M27" s="1518" t="s">
        <v>1393</v>
      </c>
      <c r="N27" s="1519"/>
      <c r="O27" s="1646"/>
      <c r="P27" s="245" t="b">
        <f t="shared" si="3"/>
        <v>0</v>
      </c>
      <c r="R27" s="245" t="b">
        <f t="shared" si="1"/>
        <v>0</v>
      </c>
      <c r="AO27" s="238" t="str">
        <f t="shared" si="2"/>
        <v>SG39</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6000</v>
      </c>
      <c r="G28" s="1515">
        <v>27</v>
      </c>
      <c r="H28" s="1516">
        <v>10</v>
      </c>
      <c r="I28" s="1514"/>
      <c r="J28" s="1515"/>
      <c r="K28" s="1516"/>
      <c r="L28" s="1517" t="s">
        <v>703</v>
      </c>
      <c r="M28" s="1518" t="s">
        <v>1393</v>
      </c>
      <c r="N28" s="1689"/>
      <c r="O28" s="1645"/>
      <c r="P28" s="245" t="b">
        <f t="shared" si="3"/>
        <v>0</v>
      </c>
      <c r="R28" s="245" t="b">
        <f t="shared" si="1"/>
        <v>0</v>
      </c>
      <c r="AO28" s="238" t="str">
        <f t="shared" si="2"/>
        <v>SG39</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6000</v>
      </c>
      <c r="G29" s="1515">
        <v>35</v>
      </c>
      <c r="H29" s="1516">
        <v>10</v>
      </c>
      <c r="I29" s="1514"/>
      <c r="J29" s="1515"/>
      <c r="K29" s="1516"/>
      <c r="L29" s="1517" t="s">
        <v>703</v>
      </c>
      <c r="M29" s="1518" t="s">
        <v>1393</v>
      </c>
      <c r="N29" s="1689"/>
      <c r="O29" s="1645"/>
      <c r="P29" s="245" t="b">
        <f t="shared" si="3"/>
        <v>0</v>
      </c>
      <c r="R29" s="245" t="b">
        <f t="shared" si="1"/>
        <v>0</v>
      </c>
      <c r="AO29" s="238" t="str">
        <f t="shared" si="2"/>
        <v>SG39</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6000</v>
      </c>
      <c r="G30" s="1515">
        <v>43</v>
      </c>
      <c r="H30" s="1516">
        <v>10</v>
      </c>
      <c r="I30" s="1514"/>
      <c r="J30" s="1515"/>
      <c r="K30" s="1516"/>
      <c r="L30" s="1517" t="s">
        <v>703</v>
      </c>
      <c r="M30" s="1518" t="s">
        <v>1393</v>
      </c>
      <c r="N30" s="1689" t="s">
        <v>116</v>
      </c>
      <c r="O30" s="1645"/>
      <c r="P30" s="245" t="b">
        <f t="shared" si="3"/>
        <v>0</v>
      </c>
      <c r="R30" s="245" t="b">
        <f t="shared" si="1"/>
        <v>0</v>
      </c>
      <c r="AO30" s="238" t="str">
        <f t="shared" si="2"/>
        <v>SG39</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456</v>
      </c>
      <c r="G31" s="1515">
        <v>3</v>
      </c>
      <c r="H31" s="1516">
        <v>10</v>
      </c>
      <c r="I31" s="1514"/>
      <c r="J31" s="1515"/>
      <c r="K31" s="1516"/>
      <c r="L31" s="1517" t="s">
        <v>703</v>
      </c>
      <c r="M31" s="1517" t="s">
        <v>1393</v>
      </c>
      <c r="N31" s="1689" t="s">
        <v>116</v>
      </c>
      <c r="O31" s="1645"/>
      <c r="P31" s="245" t="b">
        <f t="shared" si="3"/>
        <v>0</v>
      </c>
      <c r="R31" s="245" t="b">
        <f t="shared" si="1"/>
        <v>0</v>
      </c>
      <c r="AO31" s="238" t="str">
        <f t="shared" si="2"/>
        <v>SG39</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456</v>
      </c>
      <c r="G32" s="1515">
        <v>11</v>
      </c>
      <c r="H32" s="1516">
        <v>10</v>
      </c>
      <c r="I32" s="1514"/>
      <c r="J32" s="1515"/>
      <c r="K32" s="1516"/>
      <c r="L32" s="1517" t="s">
        <v>703</v>
      </c>
      <c r="M32" s="1517" t="s">
        <v>1393</v>
      </c>
      <c r="N32" s="1689" t="s">
        <v>116</v>
      </c>
      <c r="O32" s="1645"/>
      <c r="P32" s="245" t="b">
        <f t="shared" si="3"/>
        <v>0</v>
      </c>
      <c r="R32" s="245" t="b">
        <f t="shared" si="1"/>
        <v>0</v>
      </c>
      <c r="AO32" s="238" t="str">
        <f t="shared" si="2"/>
        <v>SG39</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456</v>
      </c>
      <c r="G33" s="1515">
        <v>19</v>
      </c>
      <c r="H33" s="1516">
        <v>10</v>
      </c>
      <c r="I33" s="1514"/>
      <c r="J33" s="1515"/>
      <c r="K33" s="1516"/>
      <c r="L33" s="1517" t="s">
        <v>703</v>
      </c>
      <c r="M33" s="1517" t="s">
        <v>1393</v>
      </c>
      <c r="N33" s="1689" t="s">
        <v>116</v>
      </c>
      <c r="O33" s="1645"/>
      <c r="P33" s="245" t="b">
        <f t="shared" si="3"/>
        <v>0</v>
      </c>
      <c r="R33" s="245" t="b">
        <f t="shared" si="1"/>
        <v>0</v>
      </c>
      <c r="AO33" s="238" t="str">
        <f t="shared" si="2"/>
        <v>SG39</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456</v>
      </c>
      <c r="G34" s="1515">
        <v>27</v>
      </c>
      <c r="H34" s="1516">
        <v>10</v>
      </c>
      <c r="I34" s="1514"/>
      <c r="J34" s="1515"/>
      <c r="K34" s="1516"/>
      <c r="L34" s="1517" t="s">
        <v>703</v>
      </c>
      <c r="M34" s="1517" t="s">
        <v>1393</v>
      </c>
      <c r="N34" s="1689" t="s">
        <v>116</v>
      </c>
      <c r="O34" s="1645"/>
      <c r="P34" s="245" t="b">
        <f t="shared" si="3"/>
        <v>0</v>
      </c>
      <c r="R34" s="245" t="b">
        <f t="shared" si="1"/>
        <v>0</v>
      </c>
      <c r="AO34" s="238" t="str">
        <f t="shared" si="2"/>
        <v>SG39</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456</v>
      </c>
      <c r="G35" s="1515">
        <v>35</v>
      </c>
      <c r="H35" s="1516">
        <v>10</v>
      </c>
      <c r="I35" s="1514"/>
      <c r="J35" s="1515"/>
      <c r="K35" s="1516"/>
      <c r="L35" s="1517" t="s">
        <v>703</v>
      </c>
      <c r="M35" s="1517" t="s">
        <v>1393</v>
      </c>
      <c r="N35" s="1689" t="s">
        <v>116</v>
      </c>
      <c r="O35" s="1645"/>
      <c r="P35" s="245" t="b">
        <f t="shared" si="3"/>
        <v>0</v>
      </c>
      <c r="R35" s="245" t="b">
        <f t="shared" si="1"/>
        <v>0</v>
      </c>
      <c r="AO35" s="238" t="str">
        <f t="shared" si="2"/>
        <v>SG39</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456</v>
      </c>
      <c r="G36" s="1515">
        <v>43</v>
      </c>
      <c r="H36" s="1516">
        <v>10</v>
      </c>
      <c r="I36" s="1514"/>
      <c r="J36" s="1515"/>
      <c r="K36" s="1516"/>
      <c r="L36" s="1517" t="s">
        <v>703</v>
      </c>
      <c r="M36" s="1517" t="s">
        <v>1393</v>
      </c>
      <c r="N36" s="1689" t="s">
        <v>116</v>
      </c>
      <c r="O36" s="1645"/>
      <c r="P36" s="245" t="b">
        <f t="shared" si="3"/>
        <v>0</v>
      </c>
      <c r="R36" s="245" t="b">
        <f t="shared" si="1"/>
        <v>0</v>
      </c>
      <c r="AO36" s="238" t="str">
        <f t="shared" si="2"/>
        <v>SG39</v>
      </c>
      <c r="AP36" s="945" t="b">
        <v>0</v>
      </c>
      <c r="AQ36" s="1323"/>
      <c r="AR36" s="1324"/>
      <c r="AS36" s="1324"/>
      <c r="AT36" s="1324"/>
      <c r="AU36" s="1324"/>
      <c r="AV36" s="1324"/>
      <c r="AW36" s="1324"/>
      <c r="AX36" s="1324"/>
      <c r="AY36" s="1324"/>
      <c r="AZ36" s="1324"/>
      <c r="BA36" s="1533"/>
      <c r="BB36" s="1533"/>
      <c r="BC36" s="1534"/>
    </row>
    <row r="37" spans="1:55" ht="14.1" customHeight="1" x14ac:dyDescent="0.2">
      <c r="A37" s="1511" t="s">
        <v>1991</v>
      </c>
      <c r="B37" s="1512" t="s">
        <v>155</v>
      </c>
      <c r="C37" s="1512" t="s">
        <v>165</v>
      </c>
      <c r="D37" s="1512" t="s">
        <v>145</v>
      </c>
      <c r="E37" s="1513"/>
      <c r="F37" s="1514">
        <v>250</v>
      </c>
      <c r="G37" s="1515"/>
      <c r="H37" s="1516"/>
      <c r="I37" s="1514"/>
      <c r="J37" s="1515"/>
      <c r="K37" s="1516"/>
      <c r="L37" s="1517" t="s">
        <v>116</v>
      </c>
      <c r="M37" s="1517" t="s">
        <v>1393</v>
      </c>
      <c r="N37" s="1689" t="s">
        <v>116</v>
      </c>
      <c r="O37" s="1645"/>
      <c r="P37" s="245" t="b">
        <f t="shared" si="3"/>
        <v>0</v>
      </c>
      <c r="R37" s="245" t="b">
        <f t="shared" si="1"/>
        <v>1</v>
      </c>
      <c r="AO37" s="238" t="str">
        <f t="shared" si="2"/>
        <v>SG40</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155</v>
      </c>
      <c r="C38" s="1512" t="s">
        <v>165</v>
      </c>
      <c r="D38" s="1512" t="s">
        <v>159</v>
      </c>
      <c r="E38" s="1513"/>
      <c r="F38" s="1514">
        <v>250</v>
      </c>
      <c r="G38" s="1515"/>
      <c r="H38" s="1516"/>
      <c r="I38" s="1514"/>
      <c r="J38" s="1515"/>
      <c r="K38" s="1516"/>
      <c r="L38" s="1517" t="s">
        <v>116</v>
      </c>
      <c r="M38" s="1517" t="s">
        <v>1393</v>
      </c>
      <c r="N38" s="1689" t="s">
        <v>116</v>
      </c>
      <c r="O38" s="1645"/>
      <c r="P38" s="245" t="b">
        <f t="shared" si="3"/>
        <v>0</v>
      </c>
      <c r="R38" s="245" t="b">
        <f t="shared" si="1"/>
        <v>1</v>
      </c>
      <c r="AO38" s="238" t="str">
        <f t="shared" si="2"/>
        <v>SG40</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154</v>
      </c>
      <c r="C39" s="1512" t="s">
        <v>165</v>
      </c>
      <c r="D39" s="1512" t="s">
        <v>145</v>
      </c>
      <c r="E39" s="1513"/>
      <c r="F39" s="1514">
        <v>1500</v>
      </c>
      <c r="G39" s="1515"/>
      <c r="H39" s="1516"/>
      <c r="I39" s="1514"/>
      <c r="J39" s="1515"/>
      <c r="K39" s="1516"/>
      <c r="L39" s="1517" t="s">
        <v>116</v>
      </c>
      <c r="M39" s="1517" t="s">
        <v>1393</v>
      </c>
      <c r="N39" s="1689" t="s">
        <v>116</v>
      </c>
      <c r="O39" s="1645"/>
      <c r="P39" s="245" t="b">
        <f t="shared" si="3"/>
        <v>0</v>
      </c>
      <c r="R39" s="245" t="b">
        <f t="shared" si="1"/>
        <v>1</v>
      </c>
      <c r="AO39" s="238" t="str">
        <f t="shared" si="2"/>
        <v>SG40</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154</v>
      </c>
      <c r="C40" s="1512" t="s">
        <v>165</v>
      </c>
      <c r="D40" s="1512" t="s">
        <v>145</v>
      </c>
      <c r="E40" s="1513"/>
      <c r="F40" s="1514">
        <v>720</v>
      </c>
      <c r="G40" s="1515"/>
      <c r="H40" s="1516"/>
      <c r="I40" s="1514"/>
      <c r="J40" s="1515"/>
      <c r="K40" s="1516"/>
      <c r="L40" s="1517" t="s">
        <v>116</v>
      </c>
      <c r="M40" s="1517" t="s">
        <v>1393</v>
      </c>
      <c r="N40" s="1689" t="s">
        <v>116</v>
      </c>
      <c r="O40" s="1645"/>
      <c r="P40" s="245" t="b">
        <f t="shared" si="3"/>
        <v>0</v>
      </c>
      <c r="R40" s="245" t="b">
        <f t="shared" si="1"/>
        <v>1</v>
      </c>
      <c r="AO40" s="238" t="str">
        <f t="shared" si="2"/>
        <v>SG40</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6000</v>
      </c>
      <c r="G41" s="1515">
        <v>3</v>
      </c>
      <c r="H41" s="1516">
        <v>10</v>
      </c>
      <c r="I41" s="1514"/>
      <c r="J41" s="1515"/>
      <c r="K41" s="1516"/>
      <c r="L41" s="1517" t="s">
        <v>703</v>
      </c>
      <c r="M41" s="1517" t="s">
        <v>1393</v>
      </c>
      <c r="N41" s="1689" t="s">
        <v>116</v>
      </c>
      <c r="O41" s="1645"/>
      <c r="P41" s="245" t="b">
        <f t="shared" si="3"/>
        <v>0</v>
      </c>
      <c r="R41" s="245" t="b">
        <f t="shared" si="1"/>
        <v>0</v>
      </c>
      <c r="AO41" s="238" t="str">
        <f t="shared" si="2"/>
        <v>SG40</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6000</v>
      </c>
      <c r="G42" s="1515">
        <v>11</v>
      </c>
      <c r="H42" s="1516">
        <v>10</v>
      </c>
      <c r="I42" s="1514"/>
      <c r="J42" s="1515"/>
      <c r="K42" s="1516"/>
      <c r="L42" s="1517" t="s">
        <v>703</v>
      </c>
      <c r="M42" s="1517" t="s">
        <v>1393</v>
      </c>
      <c r="N42" s="1689" t="s">
        <v>116</v>
      </c>
      <c r="O42" s="1645"/>
      <c r="P42" s="245" t="b">
        <f t="shared" si="3"/>
        <v>0</v>
      </c>
      <c r="R42" s="245" t="b">
        <f t="shared" si="1"/>
        <v>0</v>
      </c>
      <c r="AO42" s="238" t="str">
        <f t="shared" si="2"/>
        <v>SG40</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6000</v>
      </c>
      <c r="G43" s="1515">
        <v>19</v>
      </c>
      <c r="H43" s="1516">
        <v>10</v>
      </c>
      <c r="I43" s="1514"/>
      <c r="J43" s="1515"/>
      <c r="K43" s="1516"/>
      <c r="L43" s="1517" t="s">
        <v>703</v>
      </c>
      <c r="M43" s="1517" t="s">
        <v>1393</v>
      </c>
      <c r="N43" s="1689" t="s">
        <v>116</v>
      </c>
      <c r="O43" s="1645"/>
      <c r="P43" s="245" t="b">
        <f t="shared" si="3"/>
        <v>0</v>
      </c>
      <c r="R43" s="245" t="b">
        <f t="shared" si="1"/>
        <v>0</v>
      </c>
      <c r="AO43" s="238" t="str">
        <f t="shared" si="2"/>
        <v>SG40</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6000</v>
      </c>
      <c r="G44" s="1515">
        <v>27</v>
      </c>
      <c r="H44" s="1516">
        <v>10</v>
      </c>
      <c r="I44" s="1514"/>
      <c r="J44" s="1515"/>
      <c r="K44" s="1516"/>
      <c r="L44" s="1517" t="s">
        <v>703</v>
      </c>
      <c r="M44" s="1517" t="s">
        <v>1393</v>
      </c>
      <c r="N44" s="1689" t="s">
        <v>116</v>
      </c>
      <c r="O44" s="1645"/>
      <c r="P44" s="245" t="b">
        <f t="shared" si="3"/>
        <v>0</v>
      </c>
      <c r="R44" s="245" t="b">
        <f t="shared" si="1"/>
        <v>0</v>
      </c>
      <c r="AO44" s="238" t="str">
        <f t="shared" si="2"/>
        <v>SG40</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6000</v>
      </c>
      <c r="G45" s="1515">
        <v>35</v>
      </c>
      <c r="H45" s="1516">
        <v>10</v>
      </c>
      <c r="I45" s="1514"/>
      <c r="J45" s="1515"/>
      <c r="K45" s="1516"/>
      <c r="L45" s="1517" t="s">
        <v>703</v>
      </c>
      <c r="M45" s="1517" t="s">
        <v>1393</v>
      </c>
      <c r="N45" s="1689" t="s">
        <v>116</v>
      </c>
      <c r="O45" s="1645"/>
      <c r="P45" s="245" t="b">
        <f t="shared" si="3"/>
        <v>0</v>
      </c>
      <c r="R45" s="245" t="b">
        <f t="shared" si="1"/>
        <v>0</v>
      </c>
      <c r="AO45" s="238" t="str">
        <f t="shared" si="2"/>
        <v>SG40</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6000</v>
      </c>
      <c r="G46" s="1515">
        <v>43</v>
      </c>
      <c r="H46" s="1516">
        <v>10</v>
      </c>
      <c r="I46" s="1514"/>
      <c r="J46" s="1515"/>
      <c r="K46" s="1516"/>
      <c r="L46" s="1517" t="s">
        <v>703</v>
      </c>
      <c r="M46" s="1517" t="s">
        <v>1393</v>
      </c>
      <c r="N46" s="1689" t="s">
        <v>116</v>
      </c>
      <c r="O46" s="1645"/>
      <c r="P46" s="245" t="b">
        <f t="shared" si="3"/>
        <v>0</v>
      </c>
      <c r="R46" s="245" t="b">
        <f t="shared" si="1"/>
        <v>0</v>
      </c>
      <c r="AO46" s="238" t="str">
        <f t="shared" si="2"/>
        <v>SG40</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456</v>
      </c>
      <c r="G47" s="1515">
        <v>3</v>
      </c>
      <c r="H47" s="1516">
        <v>10</v>
      </c>
      <c r="I47" s="1514"/>
      <c r="J47" s="1515"/>
      <c r="K47" s="1516"/>
      <c r="L47" s="1517" t="s">
        <v>703</v>
      </c>
      <c r="M47" s="1517" t="s">
        <v>1393</v>
      </c>
      <c r="N47" s="1689" t="s">
        <v>116</v>
      </c>
      <c r="O47" s="1645"/>
      <c r="P47" s="245" t="b">
        <f t="shared" si="3"/>
        <v>0</v>
      </c>
      <c r="R47" s="245" t="b">
        <f t="shared" si="1"/>
        <v>0</v>
      </c>
      <c r="AO47" s="238" t="str">
        <f t="shared" si="2"/>
        <v>SG40</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456</v>
      </c>
      <c r="G48" s="1515">
        <v>11</v>
      </c>
      <c r="H48" s="1516">
        <v>10</v>
      </c>
      <c r="I48" s="1514"/>
      <c r="J48" s="1515"/>
      <c r="K48" s="1516"/>
      <c r="L48" s="1517" t="s">
        <v>703</v>
      </c>
      <c r="M48" s="1517" t="s">
        <v>1393</v>
      </c>
      <c r="N48" s="1689" t="s">
        <v>116</v>
      </c>
      <c r="O48" s="1645"/>
      <c r="P48" s="245" t="b">
        <f t="shared" si="3"/>
        <v>0</v>
      </c>
      <c r="R48" s="245" t="b">
        <f t="shared" si="1"/>
        <v>0</v>
      </c>
      <c r="AO48" s="238" t="str">
        <f t="shared" si="2"/>
        <v>SG40</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456</v>
      </c>
      <c r="G49" s="1515">
        <v>19</v>
      </c>
      <c r="H49" s="1516">
        <v>10</v>
      </c>
      <c r="I49" s="1514"/>
      <c r="J49" s="1515"/>
      <c r="K49" s="1516"/>
      <c r="L49" s="1517" t="s">
        <v>703</v>
      </c>
      <c r="M49" s="1517" t="s">
        <v>1393</v>
      </c>
      <c r="N49" s="1689" t="s">
        <v>116</v>
      </c>
      <c r="O49" s="1645"/>
      <c r="P49" s="245" t="b">
        <f t="shared" si="3"/>
        <v>0</v>
      </c>
      <c r="R49" s="245" t="b">
        <f t="shared" si="1"/>
        <v>0</v>
      </c>
      <c r="AO49" s="238" t="str">
        <f t="shared" si="2"/>
        <v>SG40</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456</v>
      </c>
      <c r="G50" s="1515">
        <v>27</v>
      </c>
      <c r="H50" s="1516">
        <v>10</v>
      </c>
      <c r="I50" s="1514"/>
      <c r="J50" s="1515"/>
      <c r="K50" s="1516"/>
      <c r="L50" s="1517" t="s">
        <v>703</v>
      </c>
      <c r="M50" s="1517" t="s">
        <v>1393</v>
      </c>
      <c r="N50" s="1689" t="s">
        <v>116</v>
      </c>
      <c r="O50" s="1645"/>
      <c r="P50" s="245" t="b">
        <f t="shared" si="3"/>
        <v>0</v>
      </c>
      <c r="R50" s="245" t="b">
        <f t="shared" si="1"/>
        <v>0</v>
      </c>
      <c r="AO50" s="238" t="str">
        <f t="shared" si="2"/>
        <v>SG40</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456</v>
      </c>
      <c r="G51" s="1515">
        <v>35</v>
      </c>
      <c r="H51" s="1516">
        <v>10</v>
      </c>
      <c r="I51" s="1514"/>
      <c r="J51" s="1515"/>
      <c r="K51" s="1516"/>
      <c r="L51" s="1517" t="s">
        <v>703</v>
      </c>
      <c r="M51" s="1517" t="s">
        <v>1393</v>
      </c>
      <c r="N51" s="1689" t="s">
        <v>116</v>
      </c>
      <c r="O51" s="1645"/>
      <c r="P51" s="245" t="b">
        <f t="shared" si="3"/>
        <v>0</v>
      </c>
      <c r="R51" s="245" t="b">
        <f t="shared" si="1"/>
        <v>0</v>
      </c>
      <c r="AO51" s="238" t="str">
        <f t="shared" si="2"/>
        <v>SG40</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456</v>
      </c>
      <c r="G52" s="1515">
        <v>43</v>
      </c>
      <c r="H52" s="1516">
        <v>10</v>
      </c>
      <c r="I52" s="1514"/>
      <c r="J52" s="1515"/>
      <c r="K52" s="1516"/>
      <c r="L52" s="1517" t="s">
        <v>703</v>
      </c>
      <c r="M52" s="1517" t="s">
        <v>1393</v>
      </c>
      <c r="N52" s="1689" t="s">
        <v>116</v>
      </c>
      <c r="O52" s="1645"/>
      <c r="P52" s="245" t="b">
        <f t="shared" si="3"/>
        <v>0</v>
      </c>
      <c r="R52" s="245" t="b">
        <f t="shared" si="1"/>
        <v>0</v>
      </c>
      <c r="AO52" s="238" t="str">
        <f t="shared" si="2"/>
        <v>SG40</v>
      </c>
      <c r="AP52" s="945" t="b">
        <v>0</v>
      </c>
      <c r="AQ52" s="1323"/>
      <c r="AR52" s="1324"/>
      <c r="AS52" s="1324"/>
      <c r="AT52" s="1324"/>
      <c r="AU52" s="1324"/>
      <c r="AV52" s="1324"/>
      <c r="AW52" s="1324"/>
      <c r="AX52" s="1324"/>
      <c r="AY52" s="1324"/>
      <c r="AZ52" s="1324"/>
      <c r="BA52" s="1533"/>
      <c r="BB52" s="1533"/>
      <c r="BC52" s="1534"/>
    </row>
    <row r="53" spans="1:55" ht="14.1" customHeight="1" x14ac:dyDescent="0.2">
      <c r="A53" s="1511" t="s">
        <v>1992</v>
      </c>
      <c r="B53" s="1512" t="s">
        <v>155</v>
      </c>
      <c r="C53" s="1512" t="s">
        <v>165</v>
      </c>
      <c r="D53" s="1512" t="s">
        <v>145</v>
      </c>
      <c r="E53" s="1513"/>
      <c r="F53" s="1514">
        <v>250</v>
      </c>
      <c r="G53" s="1515"/>
      <c r="H53" s="1516"/>
      <c r="I53" s="1514"/>
      <c r="J53" s="1515"/>
      <c r="K53" s="1516"/>
      <c r="L53" s="1517" t="s">
        <v>116</v>
      </c>
      <c r="M53" s="1517" t="s">
        <v>1393</v>
      </c>
      <c r="N53" s="1689" t="s">
        <v>116</v>
      </c>
      <c r="O53" s="1645"/>
      <c r="P53" s="245" t="b">
        <f t="shared" si="3"/>
        <v>0</v>
      </c>
      <c r="R53" s="245" t="b">
        <f t="shared" si="1"/>
        <v>1</v>
      </c>
      <c r="AO53" s="238" t="str">
        <f t="shared" si="2"/>
        <v>SG41</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155</v>
      </c>
      <c r="C54" s="1512" t="s">
        <v>165</v>
      </c>
      <c r="D54" s="1512" t="s">
        <v>159</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SG41</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154</v>
      </c>
      <c r="C55" s="1521" t="s">
        <v>165</v>
      </c>
      <c r="D55" s="1521" t="s">
        <v>145</v>
      </c>
      <c r="E55" s="1522"/>
      <c r="F55" s="1523">
        <v>1500</v>
      </c>
      <c r="G55" s="1524"/>
      <c r="H55" s="1525"/>
      <c r="I55" s="1523"/>
      <c r="J55" s="1524"/>
      <c r="K55" s="1525"/>
      <c r="L55" s="1526" t="s">
        <v>116</v>
      </c>
      <c r="M55" s="1526" t="s">
        <v>1393</v>
      </c>
      <c r="N55" s="1690"/>
      <c r="O55" s="1645"/>
      <c r="P55" s="245" t="b">
        <f t="shared" si="3"/>
        <v>0</v>
      </c>
      <c r="R55" s="245" t="b">
        <f t="shared" si="1"/>
        <v>1</v>
      </c>
      <c r="AO55" s="238" t="str">
        <f t="shared" si="2"/>
        <v>SG41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99" priority="4" stopIfTrue="1">
      <formula>AND($B14="NU",F14&lt;0)</formula>
    </cfRule>
  </conditionalFormatting>
  <conditionalFormatting sqref="B14:B55">
    <cfRule type="expression" dxfId="198" priority="5" stopIfTrue="1">
      <formula>OR(AND($B14="NU",F14&lt;0),AND($B14="NU",I14&lt;0))</formula>
    </cfRule>
  </conditionalFormatting>
  <conditionalFormatting sqref="G14:H55 J14:L55">
    <cfRule type="expression" dxfId="197" priority="6" stopIfTrue="1">
      <formula>$R14</formula>
    </cfRule>
  </conditionalFormatting>
  <conditionalFormatting sqref="I2:K4">
    <cfRule type="cellIs" dxfId="196" priority="7" stopIfTrue="1" operator="equal">
      <formula>""</formula>
    </cfRule>
  </conditionalFormatting>
  <conditionalFormatting sqref="I14:I55">
    <cfRule type="expression" dxfId="195" priority="8" stopIfTrue="1">
      <formula>OR($R14,$B14="CZ",AND($B14="NU",I14&lt;0))</formula>
    </cfRule>
  </conditionalFormatting>
  <conditionalFormatting sqref="A14:A55">
    <cfRule type="expression" dxfId="194" priority="3">
      <formula>NOT($P14)</formula>
    </cfRule>
  </conditionalFormatting>
  <conditionalFormatting sqref="B14:D55">
    <cfRule type="expression" dxfId="19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92" priority="9">
      <formula>AND(NOT($P14),$T$1)</formula>
    </cfRule>
    <cfRule type="expression" dxfId="191" priority="10">
      <formula>AND($AP14,$S$1="M")</formula>
    </cfRule>
  </conditionalFormatting>
  <conditionalFormatting sqref="L14:L55">
    <cfRule type="expression" dxfId="19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07E98D8-1D61-4828-8EA7-0CA6F3A0A8E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57E8D2F-1929-41CC-8CB3-E4B864C480C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49143CA-D7A4-46A6-A556-982715DD7A6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16F13B0D-93EB-43AA-BE79-35403840C0D7}">
      <formula1>IF($CA$14,$CA$16:$CA$21,$CB$16:$CB$19)</formula1>
    </dataValidation>
    <dataValidation type="list" allowBlank="1" showErrorMessage="1" errorTitle="Invalid Type" error="You MUST select a Type from the dropdown list provided._x000a__x000a_Also, make sure your Cap Lock is turned on." sqref="B14:B55" xr:uid="{BA2B3F54-C7E7-45ED-9927-9FD15E3655C2}">
      <formula1>$BF$15:$BU$15</formula1>
    </dataValidation>
    <dataValidation allowBlank="1" showInputMessage="1" errorTitle="Invalid Load Case" error="You MUST use a Load Case from the list provided." sqref="M14:M55" xr:uid="{32A05AEB-D976-4ECA-9447-44E125E9A87B}"/>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02236-741E-4A1E-9619-903AEE3DE440}">
  <sheetPr codeName="Sheet55">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154</v>
      </c>
      <c r="C14" s="1505" t="s">
        <v>165</v>
      </c>
      <c r="D14" s="1505" t="s">
        <v>145</v>
      </c>
      <c r="E14" s="1688"/>
      <c r="F14" s="1506">
        <v>720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3</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11</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19</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27</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35</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43</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51</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3</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11</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19</v>
      </c>
      <c r="H24" s="1516">
        <v>9</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27</v>
      </c>
      <c r="H25" s="1516">
        <v>9</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35</v>
      </c>
      <c r="H26" s="1516">
        <v>9</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43</v>
      </c>
      <c r="H27" s="1516">
        <v>9</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51</v>
      </c>
      <c r="H28" s="1516">
        <v>9</v>
      </c>
      <c r="I28" s="1514"/>
      <c r="J28" s="1515"/>
      <c r="K28" s="1516"/>
      <c r="L28" s="1517" t="s">
        <v>703</v>
      </c>
      <c r="M28" s="1518" t="s">
        <v>1393</v>
      </c>
      <c r="N28" s="1689"/>
      <c r="O28" s="1645"/>
      <c r="P28" s="245" t="b">
        <f t="shared" si="3"/>
        <v>0</v>
      </c>
      <c r="R28" s="245" t="b">
        <f t="shared" si="1"/>
        <v>0</v>
      </c>
      <c r="AO28" s="238" t="str">
        <f t="shared" si="2"/>
        <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t="s">
        <v>1993</v>
      </c>
      <c r="B29" s="1512" t="s">
        <v>155</v>
      </c>
      <c r="C29" s="1512" t="s">
        <v>165</v>
      </c>
      <c r="D29" s="1512" t="s">
        <v>145</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SG42</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155</v>
      </c>
      <c r="C30" s="1512" t="s">
        <v>165</v>
      </c>
      <c r="D30" s="1512" t="s">
        <v>159</v>
      </c>
      <c r="E30" s="1513"/>
      <c r="F30" s="1514">
        <v>250</v>
      </c>
      <c r="G30" s="1515"/>
      <c r="H30" s="1516"/>
      <c r="I30" s="1514"/>
      <c r="J30" s="1515"/>
      <c r="K30" s="1516"/>
      <c r="L30" s="1517" t="s">
        <v>116</v>
      </c>
      <c r="M30" s="1518" t="s">
        <v>1393</v>
      </c>
      <c r="N30" s="1689" t="s">
        <v>116</v>
      </c>
      <c r="O30" s="1645"/>
      <c r="P30" s="245" t="b">
        <f t="shared" si="3"/>
        <v>0</v>
      </c>
      <c r="R30" s="245" t="b">
        <f t="shared" si="1"/>
        <v>1</v>
      </c>
      <c r="AO30" s="238" t="str">
        <f t="shared" si="2"/>
        <v>SG42</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154</v>
      </c>
      <c r="C31" s="1512" t="s">
        <v>165</v>
      </c>
      <c r="D31" s="1512" t="s">
        <v>145</v>
      </c>
      <c r="E31" s="1513"/>
      <c r="F31" s="1514">
        <v>1500</v>
      </c>
      <c r="G31" s="1515"/>
      <c r="H31" s="1516"/>
      <c r="I31" s="1514"/>
      <c r="J31" s="1515"/>
      <c r="K31" s="1516"/>
      <c r="L31" s="1517" t="s">
        <v>116</v>
      </c>
      <c r="M31" s="1517" t="s">
        <v>1393</v>
      </c>
      <c r="N31" s="1689" t="s">
        <v>116</v>
      </c>
      <c r="O31" s="1645"/>
      <c r="P31" s="245" t="b">
        <f t="shared" si="3"/>
        <v>0</v>
      </c>
      <c r="R31" s="245" t="b">
        <f t="shared" si="1"/>
        <v>1</v>
      </c>
      <c r="AO31" s="238" t="str">
        <f t="shared" si="2"/>
        <v>SG42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3</v>
      </c>
      <c r="H32" s="1516">
        <v>9</v>
      </c>
      <c r="I32" s="1514"/>
      <c r="J32" s="1515"/>
      <c r="K32" s="1516"/>
      <c r="L32" s="1517" t="s">
        <v>703</v>
      </c>
      <c r="M32" s="1517" t="s">
        <v>1393</v>
      </c>
      <c r="N32" s="1689" t="s">
        <v>116</v>
      </c>
      <c r="O32" s="1645"/>
      <c r="P32" s="245" t="b">
        <f t="shared" si="3"/>
        <v>0</v>
      </c>
      <c r="R32" s="245" t="b">
        <f t="shared" si="1"/>
        <v>0</v>
      </c>
      <c r="AO32" s="238" t="str">
        <f t="shared" si="2"/>
        <v>SG42</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11</v>
      </c>
      <c r="H33" s="1516">
        <v>9</v>
      </c>
      <c r="I33" s="1514"/>
      <c r="J33" s="1515"/>
      <c r="K33" s="1516"/>
      <c r="L33" s="1517" t="s">
        <v>703</v>
      </c>
      <c r="M33" s="1517" t="s">
        <v>1393</v>
      </c>
      <c r="N33" s="1689" t="s">
        <v>116</v>
      </c>
      <c r="O33" s="1645"/>
      <c r="P33" s="245" t="b">
        <f t="shared" si="3"/>
        <v>0</v>
      </c>
      <c r="R33" s="245" t="b">
        <f t="shared" si="1"/>
        <v>0</v>
      </c>
      <c r="AO33" s="238" t="str">
        <f t="shared" si="2"/>
        <v>SG42</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19</v>
      </c>
      <c r="H34" s="1516">
        <v>9</v>
      </c>
      <c r="I34" s="1514"/>
      <c r="J34" s="1515"/>
      <c r="K34" s="1516"/>
      <c r="L34" s="1517" t="s">
        <v>703</v>
      </c>
      <c r="M34" s="1517" t="s">
        <v>1393</v>
      </c>
      <c r="N34" s="1689" t="s">
        <v>116</v>
      </c>
      <c r="O34" s="1645"/>
      <c r="P34" s="245" t="b">
        <f t="shared" si="3"/>
        <v>0</v>
      </c>
      <c r="R34" s="245" t="b">
        <f t="shared" si="1"/>
        <v>0</v>
      </c>
      <c r="AO34" s="238" t="str">
        <f t="shared" si="2"/>
        <v>SG42</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27</v>
      </c>
      <c r="H35" s="1516">
        <v>9</v>
      </c>
      <c r="I35" s="1514"/>
      <c r="J35" s="1515"/>
      <c r="K35" s="1516"/>
      <c r="L35" s="1517" t="s">
        <v>703</v>
      </c>
      <c r="M35" s="1517" t="s">
        <v>1393</v>
      </c>
      <c r="N35" s="1689" t="s">
        <v>116</v>
      </c>
      <c r="O35" s="1645"/>
      <c r="P35" s="245" t="b">
        <f t="shared" si="3"/>
        <v>0</v>
      </c>
      <c r="R35" s="245" t="b">
        <f t="shared" si="1"/>
        <v>0</v>
      </c>
      <c r="AO35" s="238" t="str">
        <f t="shared" si="2"/>
        <v>SG42</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35</v>
      </c>
      <c r="H36" s="1516">
        <v>9</v>
      </c>
      <c r="I36" s="1514"/>
      <c r="J36" s="1515"/>
      <c r="K36" s="1516"/>
      <c r="L36" s="1517" t="s">
        <v>703</v>
      </c>
      <c r="M36" s="1517" t="s">
        <v>1393</v>
      </c>
      <c r="N36" s="1689" t="s">
        <v>116</v>
      </c>
      <c r="O36" s="1645"/>
      <c r="P36" s="245" t="b">
        <f t="shared" si="3"/>
        <v>0</v>
      </c>
      <c r="R36" s="245" t="b">
        <f t="shared" si="1"/>
        <v>0</v>
      </c>
      <c r="AO36" s="238" t="str">
        <f t="shared" si="2"/>
        <v>SG42</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43</v>
      </c>
      <c r="H37" s="1516">
        <v>9</v>
      </c>
      <c r="I37" s="1514"/>
      <c r="J37" s="1515"/>
      <c r="K37" s="1516"/>
      <c r="L37" s="1517" t="s">
        <v>703</v>
      </c>
      <c r="M37" s="1517" t="s">
        <v>1393</v>
      </c>
      <c r="N37" s="1689" t="s">
        <v>116</v>
      </c>
      <c r="O37" s="1645"/>
      <c r="P37" s="245" t="b">
        <f t="shared" si="3"/>
        <v>0</v>
      </c>
      <c r="R37" s="245" t="b">
        <f t="shared" si="1"/>
        <v>0</v>
      </c>
      <c r="AO37" s="238" t="str">
        <f t="shared" si="2"/>
        <v>SG42</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51</v>
      </c>
      <c r="H38" s="1516">
        <v>9</v>
      </c>
      <c r="I38" s="1514"/>
      <c r="J38" s="1515"/>
      <c r="K38" s="1516"/>
      <c r="L38" s="1517" t="s">
        <v>703</v>
      </c>
      <c r="M38" s="1517" t="s">
        <v>1393</v>
      </c>
      <c r="N38" s="1689" t="s">
        <v>116</v>
      </c>
      <c r="O38" s="1645"/>
      <c r="P38" s="245" t="b">
        <f t="shared" si="3"/>
        <v>0</v>
      </c>
      <c r="R38" s="245" t="b">
        <f t="shared" si="1"/>
        <v>0</v>
      </c>
      <c r="AO38" s="238" t="str">
        <f t="shared" si="2"/>
        <v>SG42</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3</v>
      </c>
      <c r="H39" s="1516">
        <v>9</v>
      </c>
      <c r="I39" s="1514"/>
      <c r="J39" s="1515"/>
      <c r="K39" s="1516"/>
      <c r="L39" s="1517" t="s">
        <v>703</v>
      </c>
      <c r="M39" s="1517" t="s">
        <v>1393</v>
      </c>
      <c r="N39" s="1689" t="s">
        <v>116</v>
      </c>
      <c r="O39" s="1645"/>
      <c r="P39" s="245" t="b">
        <f t="shared" si="3"/>
        <v>0</v>
      </c>
      <c r="R39" s="245" t="b">
        <f t="shared" si="1"/>
        <v>0</v>
      </c>
      <c r="AO39" s="238" t="str">
        <f t="shared" si="2"/>
        <v>SG42</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11</v>
      </c>
      <c r="H40" s="1516">
        <v>9</v>
      </c>
      <c r="I40" s="1514"/>
      <c r="J40" s="1515"/>
      <c r="K40" s="1516"/>
      <c r="L40" s="1517" t="s">
        <v>703</v>
      </c>
      <c r="M40" s="1517" t="s">
        <v>1393</v>
      </c>
      <c r="N40" s="1689" t="s">
        <v>116</v>
      </c>
      <c r="O40" s="1645"/>
      <c r="P40" s="245" t="b">
        <f t="shared" si="3"/>
        <v>0</v>
      </c>
      <c r="R40" s="245" t="b">
        <f t="shared" si="1"/>
        <v>0</v>
      </c>
      <c r="AO40" s="238" t="str">
        <f t="shared" si="2"/>
        <v>SG42</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19</v>
      </c>
      <c r="H41" s="1516">
        <v>9</v>
      </c>
      <c r="I41" s="1514"/>
      <c r="J41" s="1515"/>
      <c r="K41" s="1516"/>
      <c r="L41" s="1517" t="s">
        <v>703</v>
      </c>
      <c r="M41" s="1517" t="s">
        <v>1393</v>
      </c>
      <c r="N41" s="1689" t="s">
        <v>116</v>
      </c>
      <c r="O41" s="1645"/>
      <c r="P41" s="245" t="b">
        <f t="shared" si="3"/>
        <v>0</v>
      </c>
      <c r="R41" s="245" t="b">
        <f t="shared" si="1"/>
        <v>0</v>
      </c>
      <c r="AO41" s="238" t="str">
        <f t="shared" si="2"/>
        <v>SG42</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27</v>
      </c>
      <c r="H42" s="1516">
        <v>9</v>
      </c>
      <c r="I42" s="1514"/>
      <c r="J42" s="1515"/>
      <c r="K42" s="1516"/>
      <c r="L42" s="1517" t="s">
        <v>703</v>
      </c>
      <c r="M42" s="1517" t="s">
        <v>1393</v>
      </c>
      <c r="N42" s="1689" t="s">
        <v>116</v>
      </c>
      <c r="O42" s="1645"/>
      <c r="P42" s="245" t="b">
        <f t="shared" si="3"/>
        <v>0</v>
      </c>
      <c r="R42" s="245" t="b">
        <f t="shared" si="1"/>
        <v>0</v>
      </c>
      <c r="AO42" s="238" t="str">
        <f t="shared" si="2"/>
        <v>SG42</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35</v>
      </c>
      <c r="H43" s="1516">
        <v>9</v>
      </c>
      <c r="I43" s="1514"/>
      <c r="J43" s="1515"/>
      <c r="K43" s="1516"/>
      <c r="L43" s="1517" t="s">
        <v>703</v>
      </c>
      <c r="M43" s="1517" t="s">
        <v>1393</v>
      </c>
      <c r="N43" s="1689" t="s">
        <v>116</v>
      </c>
      <c r="O43" s="1645"/>
      <c r="P43" s="245" t="b">
        <f t="shared" si="3"/>
        <v>0</v>
      </c>
      <c r="R43" s="245" t="b">
        <f t="shared" si="1"/>
        <v>0</v>
      </c>
      <c r="AO43" s="238" t="str">
        <f t="shared" si="2"/>
        <v>SG42</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43</v>
      </c>
      <c r="H44" s="1516">
        <v>9</v>
      </c>
      <c r="I44" s="1514"/>
      <c r="J44" s="1515"/>
      <c r="K44" s="1516"/>
      <c r="L44" s="1517" t="s">
        <v>703</v>
      </c>
      <c r="M44" s="1517" t="s">
        <v>1393</v>
      </c>
      <c r="N44" s="1689" t="s">
        <v>116</v>
      </c>
      <c r="O44" s="1645"/>
      <c r="P44" s="245" t="b">
        <f t="shared" si="3"/>
        <v>0</v>
      </c>
      <c r="R44" s="245" t="b">
        <f t="shared" si="1"/>
        <v>0</v>
      </c>
      <c r="AO44" s="238" t="str">
        <f t="shared" si="2"/>
        <v>SG42</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51</v>
      </c>
      <c r="H45" s="1516">
        <v>9</v>
      </c>
      <c r="I45" s="1514"/>
      <c r="J45" s="1515"/>
      <c r="K45" s="1516"/>
      <c r="L45" s="1517" t="s">
        <v>703</v>
      </c>
      <c r="M45" s="1517" t="s">
        <v>1393</v>
      </c>
      <c r="N45" s="1689" t="s">
        <v>116</v>
      </c>
      <c r="O45" s="1645"/>
      <c r="P45" s="245" t="b">
        <f t="shared" si="3"/>
        <v>0</v>
      </c>
      <c r="R45" s="245" t="b">
        <f t="shared" si="1"/>
        <v>0</v>
      </c>
      <c r="AO45" s="238" t="str">
        <f t="shared" si="2"/>
        <v>SG42</v>
      </c>
      <c r="AP45" s="945" t="b">
        <v>0</v>
      </c>
      <c r="AQ45" s="1323"/>
      <c r="AR45" s="1324"/>
      <c r="AS45" s="1324"/>
      <c r="AT45" s="1324"/>
      <c r="AU45" s="1324"/>
      <c r="AV45" s="1324"/>
      <c r="AW45" s="1324"/>
      <c r="AX45" s="1324"/>
      <c r="AY45" s="1324"/>
      <c r="AZ45" s="1324"/>
      <c r="BA45" s="1533"/>
      <c r="BB45" s="1533"/>
      <c r="BC45" s="1534"/>
    </row>
    <row r="46" spans="1:55" ht="14.1" customHeight="1" x14ac:dyDescent="0.2">
      <c r="A46" s="1511" t="s">
        <v>1994</v>
      </c>
      <c r="B46" s="1512" t="s">
        <v>155</v>
      </c>
      <c r="C46" s="1512" t="s">
        <v>165</v>
      </c>
      <c r="D46" s="1512" t="s">
        <v>145</v>
      </c>
      <c r="E46" s="1513"/>
      <c r="F46" s="1514">
        <v>250</v>
      </c>
      <c r="G46" s="1515"/>
      <c r="H46" s="1516"/>
      <c r="I46" s="1514"/>
      <c r="J46" s="1515"/>
      <c r="K46" s="1516"/>
      <c r="L46" s="1517" t="s">
        <v>116</v>
      </c>
      <c r="M46" s="1517" t="s">
        <v>1393</v>
      </c>
      <c r="N46" s="1689" t="s">
        <v>116</v>
      </c>
      <c r="O46" s="1645"/>
      <c r="P46" s="245" t="b">
        <f t="shared" si="3"/>
        <v>0</v>
      </c>
      <c r="R46" s="245" t="b">
        <f t="shared" si="1"/>
        <v>1</v>
      </c>
      <c r="AO46" s="238" t="str">
        <f t="shared" si="2"/>
        <v>SG43</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155</v>
      </c>
      <c r="C47" s="1512" t="s">
        <v>165</v>
      </c>
      <c r="D47" s="1512" t="s">
        <v>159</v>
      </c>
      <c r="E47" s="1513"/>
      <c r="F47" s="1514">
        <v>250</v>
      </c>
      <c r="G47" s="1515"/>
      <c r="H47" s="1516"/>
      <c r="I47" s="1514"/>
      <c r="J47" s="1515"/>
      <c r="K47" s="1516"/>
      <c r="L47" s="1517" t="s">
        <v>116</v>
      </c>
      <c r="M47" s="1517" t="s">
        <v>1393</v>
      </c>
      <c r="N47" s="1689" t="s">
        <v>116</v>
      </c>
      <c r="O47" s="1645"/>
      <c r="P47" s="245" t="b">
        <f t="shared" si="3"/>
        <v>0</v>
      </c>
      <c r="R47" s="245" t="b">
        <f t="shared" si="1"/>
        <v>1</v>
      </c>
      <c r="AO47" s="238" t="str">
        <f t="shared" si="2"/>
        <v>SG43</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154</v>
      </c>
      <c r="C48" s="1512" t="s">
        <v>165</v>
      </c>
      <c r="D48" s="1512" t="s">
        <v>145</v>
      </c>
      <c r="E48" s="1513"/>
      <c r="F48" s="1514">
        <v>1500</v>
      </c>
      <c r="G48" s="1515"/>
      <c r="H48" s="1516"/>
      <c r="I48" s="1514"/>
      <c r="J48" s="1515"/>
      <c r="K48" s="1516"/>
      <c r="L48" s="1517" t="s">
        <v>116</v>
      </c>
      <c r="M48" s="1517" t="s">
        <v>1393</v>
      </c>
      <c r="N48" s="1689" t="s">
        <v>116</v>
      </c>
      <c r="O48" s="1645"/>
      <c r="P48" s="245" t="b">
        <f t="shared" si="3"/>
        <v>0</v>
      </c>
      <c r="R48" s="245" t="b">
        <f t="shared" si="1"/>
        <v>1</v>
      </c>
      <c r="AO48" s="238" t="str">
        <f t="shared" si="2"/>
        <v>SG43</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7</v>
      </c>
      <c r="H49" s="1516">
        <v>9</v>
      </c>
      <c r="I49" s="1514"/>
      <c r="J49" s="1515"/>
      <c r="K49" s="1516"/>
      <c r="L49" s="1517" t="s">
        <v>703</v>
      </c>
      <c r="M49" s="1517" t="s">
        <v>1393</v>
      </c>
      <c r="N49" s="1689" t="s">
        <v>116</v>
      </c>
      <c r="O49" s="1645"/>
      <c r="P49" s="245" t="b">
        <f t="shared" si="3"/>
        <v>0</v>
      </c>
      <c r="R49" s="245" t="b">
        <f t="shared" si="1"/>
        <v>0</v>
      </c>
      <c r="AO49" s="238" t="str">
        <f t="shared" si="2"/>
        <v>SG43</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15</v>
      </c>
      <c r="H50" s="1516">
        <v>9</v>
      </c>
      <c r="I50" s="1514"/>
      <c r="J50" s="1515"/>
      <c r="K50" s="1516"/>
      <c r="L50" s="1517" t="s">
        <v>703</v>
      </c>
      <c r="M50" s="1517" t="s">
        <v>1393</v>
      </c>
      <c r="N50" s="1689" t="s">
        <v>116</v>
      </c>
      <c r="O50" s="1645"/>
      <c r="P50" s="245" t="b">
        <f t="shared" si="3"/>
        <v>0</v>
      </c>
      <c r="R50" s="245" t="b">
        <f t="shared" si="1"/>
        <v>0</v>
      </c>
      <c r="AO50" s="238" t="str">
        <f t="shared" si="2"/>
        <v>SG43</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23</v>
      </c>
      <c r="H51" s="1516">
        <v>9</v>
      </c>
      <c r="I51" s="1514"/>
      <c r="J51" s="1515"/>
      <c r="K51" s="1516"/>
      <c r="L51" s="1517" t="s">
        <v>703</v>
      </c>
      <c r="M51" s="1517" t="s">
        <v>1393</v>
      </c>
      <c r="N51" s="1689" t="s">
        <v>116</v>
      </c>
      <c r="O51" s="1645"/>
      <c r="P51" s="245" t="b">
        <f t="shared" si="3"/>
        <v>0</v>
      </c>
      <c r="R51" s="245" t="b">
        <f t="shared" si="1"/>
        <v>0</v>
      </c>
      <c r="AO51" s="238" t="str">
        <f t="shared" si="2"/>
        <v>SG43</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31</v>
      </c>
      <c r="H52" s="1516">
        <v>9</v>
      </c>
      <c r="I52" s="1514"/>
      <c r="J52" s="1515"/>
      <c r="K52" s="1516"/>
      <c r="L52" s="1517" t="s">
        <v>703</v>
      </c>
      <c r="M52" s="1517" t="s">
        <v>1393</v>
      </c>
      <c r="N52" s="1689" t="s">
        <v>116</v>
      </c>
      <c r="O52" s="1645"/>
      <c r="P52" s="245" t="b">
        <f t="shared" si="3"/>
        <v>0</v>
      </c>
      <c r="R52" s="245" t="b">
        <f t="shared" si="1"/>
        <v>0</v>
      </c>
      <c r="AO52" s="238" t="str">
        <f t="shared" si="2"/>
        <v>SG43</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39</v>
      </c>
      <c r="H53" s="1516">
        <v>9</v>
      </c>
      <c r="I53" s="1514"/>
      <c r="J53" s="1515"/>
      <c r="K53" s="1516"/>
      <c r="L53" s="1517" t="s">
        <v>703</v>
      </c>
      <c r="M53" s="1517" t="s">
        <v>1393</v>
      </c>
      <c r="N53" s="1689" t="s">
        <v>116</v>
      </c>
      <c r="O53" s="1645"/>
      <c r="P53" s="245" t="b">
        <f t="shared" si="3"/>
        <v>0</v>
      </c>
      <c r="R53" s="245" t="b">
        <f t="shared" si="1"/>
        <v>0</v>
      </c>
      <c r="AO53" s="238" t="str">
        <f t="shared" si="2"/>
        <v>SG43</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47</v>
      </c>
      <c r="H54" s="1516">
        <v>9</v>
      </c>
      <c r="I54" s="1514"/>
      <c r="J54" s="1515"/>
      <c r="K54" s="1516"/>
      <c r="L54" s="1517" t="s">
        <v>703</v>
      </c>
      <c r="M54" s="1517" t="s">
        <v>1393</v>
      </c>
      <c r="N54" s="1689" t="s">
        <v>116</v>
      </c>
      <c r="O54" s="1645"/>
      <c r="P54" s="245" t="b">
        <f t="shared" si="3"/>
        <v>0</v>
      </c>
      <c r="R54" s="245" t="b">
        <f t="shared" si="1"/>
        <v>0</v>
      </c>
      <c r="AO54" s="238" t="str">
        <f t="shared" si="2"/>
        <v>SG43</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7</v>
      </c>
      <c r="H55" s="1525">
        <v>9</v>
      </c>
      <c r="I55" s="1523"/>
      <c r="J55" s="1524"/>
      <c r="K55" s="1525"/>
      <c r="L55" s="1526" t="s">
        <v>703</v>
      </c>
      <c r="M55" s="1526" t="s">
        <v>1393</v>
      </c>
      <c r="N55" s="1690"/>
      <c r="O55" s="1645"/>
      <c r="P55" s="245" t="b">
        <f t="shared" si="3"/>
        <v>0</v>
      </c>
      <c r="R55" s="245" t="b">
        <f t="shared" si="1"/>
        <v>0</v>
      </c>
      <c r="AO55" s="238" t="str">
        <f t="shared" si="2"/>
        <v>SG43</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89" priority="4" stopIfTrue="1">
      <formula>AND($B14="NU",F14&lt;0)</formula>
    </cfRule>
  </conditionalFormatting>
  <conditionalFormatting sqref="B14:B55">
    <cfRule type="expression" dxfId="188" priority="5" stopIfTrue="1">
      <formula>OR(AND($B14="NU",F14&lt;0),AND($B14="NU",I14&lt;0))</formula>
    </cfRule>
  </conditionalFormatting>
  <conditionalFormatting sqref="G14:H55 J14:L55">
    <cfRule type="expression" dxfId="187" priority="6" stopIfTrue="1">
      <formula>$R14</formula>
    </cfRule>
  </conditionalFormatting>
  <conditionalFormatting sqref="I2:K4">
    <cfRule type="cellIs" dxfId="186" priority="7" stopIfTrue="1" operator="equal">
      <formula>""</formula>
    </cfRule>
  </conditionalFormatting>
  <conditionalFormatting sqref="I14:I55">
    <cfRule type="expression" dxfId="185" priority="8" stopIfTrue="1">
      <formula>OR($R14,$B14="CZ",AND($B14="NU",I14&lt;0))</formula>
    </cfRule>
  </conditionalFormatting>
  <conditionalFormatting sqref="A14:A55">
    <cfRule type="expression" dxfId="184" priority="3">
      <formula>NOT($P14)</formula>
    </cfRule>
  </conditionalFormatting>
  <conditionalFormatting sqref="B14:D55">
    <cfRule type="expression" dxfId="18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82" priority="9">
      <formula>AND(NOT($P14),$T$1)</formula>
    </cfRule>
    <cfRule type="expression" dxfId="181" priority="10">
      <formula>AND($AP14,$S$1="M")</formula>
    </cfRule>
  </conditionalFormatting>
  <conditionalFormatting sqref="L14:L55">
    <cfRule type="expression" dxfId="18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905FA31-20FC-47F5-BC2F-194B64B1961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1AE75D1-9040-4139-B73B-0BA575E55EA2}">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08C6C26-92A4-41A3-8ED1-2DCEF779BBA4}">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66763D9-A94B-49E4-B2BA-511A455FCD48}">
      <formula1>IF($CA$14,$CA$16:$CA$21,$CB$16:$CB$19)</formula1>
    </dataValidation>
    <dataValidation type="list" allowBlank="1" showErrorMessage="1" errorTitle="Invalid Type" error="You MUST select a Type from the dropdown list provided._x000a__x000a_Also, make sure your Cap Lock is turned on." sqref="B14:B55" xr:uid="{21D720B2-D2F2-4932-AB9F-69234ACD7E1F}">
      <formula1>$BF$15:$BU$15</formula1>
    </dataValidation>
    <dataValidation allowBlank="1" showInputMessage="1" errorTitle="Invalid Load Case" error="You MUST use a Load Case from the list provided." sqref="M14:M55" xr:uid="{2CB6887E-C6C0-40A1-8399-F6DC7525281B}"/>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0D270-AA89-4FDC-8D7E-33D88C03B886}">
  <sheetPr codeName="Sheet56">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15</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23</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31</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39</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47</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t="s">
        <v>1995</v>
      </c>
      <c r="B19" s="1512" t="s">
        <v>155</v>
      </c>
      <c r="C19" s="1512" t="s">
        <v>165</v>
      </c>
      <c r="D19" s="1512" t="s">
        <v>145</v>
      </c>
      <c r="E19" s="1513"/>
      <c r="F19" s="1514">
        <v>250</v>
      </c>
      <c r="G19" s="1515"/>
      <c r="H19" s="1516"/>
      <c r="I19" s="1514"/>
      <c r="J19" s="1515"/>
      <c r="K19" s="1516"/>
      <c r="L19" s="1517" t="s">
        <v>116</v>
      </c>
      <c r="M19" s="1518" t="s">
        <v>1393</v>
      </c>
      <c r="N19" s="1689" t="s">
        <v>116</v>
      </c>
      <c r="O19" s="1645"/>
      <c r="P19" s="245" t="b">
        <f t="shared" si="3"/>
        <v>0</v>
      </c>
      <c r="R19" s="245" t="b">
        <f t="shared" si="1"/>
        <v>1</v>
      </c>
      <c r="AO19" s="238" t="str">
        <f t="shared" si="2"/>
        <v>SG44</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155</v>
      </c>
      <c r="C20" s="1512" t="s">
        <v>165</v>
      </c>
      <c r="D20" s="1512" t="s">
        <v>159</v>
      </c>
      <c r="E20" s="1513"/>
      <c r="F20" s="1514">
        <v>250</v>
      </c>
      <c r="G20" s="1515"/>
      <c r="H20" s="1516"/>
      <c r="I20" s="1514"/>
      <c r="J20" s="1515"/>
      <c r="K20" s="1516"/>
      <c r="L20" s="1517" t="s">
        <v>116</v>
      </c>
      <c r="M20" s="1518" t="s">
        <v>1393</v>
      </c>
      <c r="N20" s="1519"/>
      <c r="O20" s="1646"/>
      <c r="P20" s="245" t="b">
        <f t="shared" si="3"/>
        <v>0</v>
      </c>
      <c r="R20" s="245" t="b">
        <f t="shared" si="1"/>
        <v>1</v>
      </c>
      <c r="AO20" s="238" t="str">
        <f t="shared" si="2"/>
        <v>SG44</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154</v>
      </c>
      <c r="C21" s="1512" t="s">
        <v>165</v>
      </c>
      <c r="D21" s="1512" t="s">
        <v>145</v>
      </c>
      <c r="E21" s="1513"/>
      <c r="F21" s="1514">
        <v>1500</v>
      </c>
      <c r="G21" s="1515"/>
      <c r="H21" s="1516"/>
      <c r="I21" s="1514"/>
      <c r="J21" s="1515"/>
      <c r="K21" s="1516"/>
      <c r="L21" s="1517" t="s">
        <v>116</v>
      </c>
      <c r="M21" s="1518" t="s">
        <v>1393</v>
      </c>
      <c r="N21" s="1519"/>
      <c r="O21" s="1646"/>
      <c r="P21" s="245" t="b">
        <f t="shared" si="3"/>
        <v>0</v>
      </c>
      <c r="R21" s="245" t="b">
        <f t="shared" si="1"/>
        <v>1</v>
      </c>
      <c r="AO21" s="238" t="str">
        <f t="shared" si="2"/>
        <v>SG44</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2220</v>
      </c>
      <c r="G22" s="1515"/>
      <c r="H22" s="1516"/>
      <c r="I22" s="1514"/>
      <c r="J22" s="1515"/>
      <c r="K22" s="1516"/>
      <c r="L22" s="1517" t="s">
        <v>116</v>
      </c>
      <c r="M22" s="1518" t="s">
        <v>1393</v>
      </c>
      <c r="N22" s="1519"/>
      <c r="O22" s="1646"/>
      <c r="P22" s="245" t="b">
        <f t="shared" si="3"/>
        <v>0</v>
      </c>
      <c r="R22" s="245" t="b">
        <f t="shared" si="1"/>
        <v>1</v>
      </c>
      <c r="AO22" s="238" t="str">
        <f t="shared" si="2"/>
        <v>SG44</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7</v>
      </c>
      <c r="H23" s="1516">
        <v>9</v>
      </c>
      <c r="I23" s="1514"/>
      <c r="J23" s="1515"/>
      <c r="K23" s="1516"/>
      <c r="L23" s="1517" t="s">
        <v>703</v>
      </c>
      <c r="M23" s="1518" t="s">
        <v>1393</v>
      </c>
      <c r="N23" s="1519"/>
      <c r="O23" s="1646"/>
      <c r="P23" s="245" t="b">
        <f t="shared" si="3"/>
        <v>0</v>
      </c>
      <c r="R23" s="245" t="b">
        <f t="shared" si="1"/>
        <v>0</v>
      </c>
      <c r="AO23" s="238" t="str">
        <f t="shared" si="2"/>
        <v>SG44</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15</v>
      </c>
      <c r="H24" s="1516">
        <v>9</v>
      </c>
      <c r="I24" s="1514"/>
      <c r="J24" s="1515"/>
      <c r="K24" s="1516"/>
      <c r="L24" s="1517" t="s">
        <v>703</v>
      </c>
      <c r="M24" s="1518" t="s">
        <v>1393</v>
      </c>
      <c r="N24" s="1519"/>
      <c r="O24" s="1646"/>
      <c r="P24" s="245" t="b">
        <f t="shared" si="3"/>
        <v>0</v>
      </c>
      <c r="R24" s="245" t="b">
        <f t="shared" si="1"/>
        <v>0</v>
      </c>
      <c r="AO24" s="238" t="str">
        <f t="shared" si="2"/>
        <v>SG44</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23</v>
      </c>
      <c r="H25" s="1516">
        <v>9</v>
      </c>
      <c r="I25" s="1514"/>
      <c r="J25" s="1515"/>
      <c r="K25" s="1516"/>
      <c r="L25" s="1517" t="s">
        <v>703</v>
      </c>
      <c r="M25" s="1518" t="s">
        <v>1393</v>
      </c>
      <c r="N25" s="1519"/>
      <c r="O25" s="1646"/>
      <c r="P25" s="245" t="b">
        <f t="shared" si="3"/>
        <v>0</v>
      </c>
      <c r="R25" s="245" t="b">
        <f t="shared" si="1"/>
        <v>0</v>
      </c>
      <c r="AO25" s="238" t="str">
        <f t="shared" si="2"/>
        <v>SG44</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31</v>
      </c>
      <c r="H26" s="1516">
        <v>9</v>
      </c>
      <c r="I26" s="1514"/>
      <c r="J26" s="1515"/>
      <c r="K26" s="1516"/>
      <c r="L26" s="1517" t="s">
        <v>703</v>
      </c>
      <c r="M26" s="1518" t="s">
        <v>1393</v>
      </c>
      <c r="N26" s="1519"/>
      <c r="O26" s="1646"/>
      <c r="P26" s="245" t="b">
        <f t="shared" si="3"/>
        <v>0</v>
      </c>
      <c r="R26" s="245" t="b">
        <f t="shared" si="1"/>
        <v>0</v>
      </c>
      <c r="AO26" s="238" t="str">
        <f t="shared" si="2"/>
        <v>SG44</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39</v>
      </c>
      <c r="H27" s="1516">
        <v>9</v>
      </c>
      <c r="I27" s="1514"/>
      <c r="J27" s="1515"/>
      <c r="K27" s="1516"/>
      <c r="L27" s="1517" t="s">
        <v>703</v>
      </c>
      <c r="M27" s="1518" t="s">
        <v>1393</v>
      </c>
      <c r="N27" s="1519"/>
      <c r="O27" s="1646"/>
      <c r="P27" s="245" t="b">
        <f t="shared" si="3"/>
        <v>0</v>
      </c>
      <c r="R27" s="245" t="b">
        <f t="shared" si="1"/>
        <v>0</v>
      </c>
      <c r="AO27" s="238" t="str">
        <f t="shared" si="2"/>
        <v>SG44</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47</v>
      </c>
      <c r="H28" s="1516">
        <v>9</v>
      </c>
      <c r="I28" s="1514"/>
      <c r="J28" s="1515"/>
      <c r="K28" s="1516"/>
      <c r="L28" s="1517" t="s">
        <v>703</v>
      </c>
      <c r="M28" s="1518" t="s">
        <v>1393</v>
      </c>
      <c r="N28" s="1689"/>
      <c r="O28" s="1645"/>
      <c r="P28" s="245" t="b">
        <f t="shared" si="3"/>
        <v>0</v>
      </c>
      <c r="R28" s="245" t="b">
        <f t="shared" si="1"/>
        <v>0</v>
      </c>
      <c r="AO28" s="238" t="str">
        <f t="shared" si="2"/>
        <v>SG44</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7</v>
      </c>
      <c r="H29" s="1516">
        <v>9</v>
      </c>
      <c r="I29" s="1514"/>
      <c r="J29" s="1515"/>
      <c r="K29" s="1516"/>
      <c r="L29" s="1517" t="s">
        <v>703</v>
      </c>
      <c r="M29" s="1518" t="s">
        <v>1393</v>
      </c>
      <c r="N29" s="1689"/>
      <c r="O29" s="1645"/>
      <c r="P29" s="245" t="b">
        <f t="shared" si="3"/>
        <v>0</v>
      </c>
      <c r="R29" s="245" t="b">
        <f t="shared" si="1"/>
        <v>0</v>
      </c>
      <c r="AO29" s="238" t="str">
        <f t="shared" si="2"/>
        <v>SG44</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15</v>
      </c>
      <c r="H30" s="1516">
        <v>9</v>
      </c>
      <c r="I30" s="1514"/>
      <c r="J30" s="1515"/>
      <c r="K30" s="1516"/>
      <c r="L30" s="1517" t="s">
        <v>703</v>
      </c>
      <c r="M30" s="1518" t="s">
        <v>1393</v>
      </c>
      <c r="N30" s="1689" t="s">
        <v>116</v>
      </c>
      <c r="O30" s="1645"/>
      <c r="P30" s="245" t="b">
        <f t="shared" si="3"/>
        <v>0</v>
      </c>
      <c r="R30" s="245" t="b">
        <f t="shared" si="1"/>
        <v>0</v>
      </c>
      <c r="AO30" s="238" t="str">
        <f t="shared" si="2"/>
        <v>SG44</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23</v>
      </c>
      <c r="H31" s="1516">
        <v>9</v>
      </c>
      <c r="I31" s="1514"/>
      <c r="J31" s="1515"/>
      <c r="K31" s="1516"/>
      <c r="L31" s="1517" t="s">
        <v>703</v>
      </c>
      <c r="M31" s="1517" t="s">
        <v>1393</v>
      </c>
      <c r="N31" s="1689" t="s">
        <v>116</v>
      </c>
      <c r="O31" s="1645"/>
      <c r="P31" s="245" t="b">
        <f t="shared" si="3"/>
        <v>0</v>
      </c>
      <c r="R31" s="245" t="b">
        <f t="shared" si="1"/>
        <v>0</v>
      </c>
      <c r="AO31" s="238" t="str">
        <f t="shared" si="2"/>
        <v>SG44</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31</v>
      </c>
      <c r="H32" s="1516">
        <v>9</v>
      </c>
      <c r="I32" s="1514"/>
      <c r="J32" s="1515"/>
      <c r="K32" s="1516"/>
      <c r="L32" s="1517" t="s">
        <v>703</v>
      </c>
      <c r="M32" s="1517" t="s">
        <v>1393</v>
      </c>
      <c r="N32" s="1689" t="s">
        <v>116</v>
      </c>
      <c r="O32" s="1645"/>
      <c r="P32" s="245" t="b">
        <f t="shared" si="3"/>
        <v>0</v>
      </c>
      <c r="R32" s="245" t="b">
        <f t="shared" si="1"/>
        <v>0</v>
      </c>
      <c r="AO32" s="238" t="str">
        <f t="shared" si="2"/>
        <v>SG44</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39</v>
      </c>
      <c r="H33" s="1516">
        <v>9</v>
      </c>
      <c r="I33" s="1514"/>
      <c r="J33" s="1515"/>
      <c r="K33" s="1516"/>
      <c r="L33" s="1517" t="s">
        <v>703</v>
      </c>
      <c r="M33" s="1517" t="s">
        <v>1393</v>
      </c>
      <c r="N33" s="1689" t="s">
        <v>116</v>
      </c>
      <c r="O33" s="1645"/>
      <c r="P33" s="245" t="b">
        <f t="shared" si="3"/>
        <v>0</v>
      </c>
      <c r="R33" s="245" t="b">
        <f t="shared" si="1"/>
        <v>0</v>
      </c>
      <c r="AO33" s="238" t="str">
        <f t="shared" si="2"/>
        <v>SG44</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47</v>
      </c>
      <c r="H34" s="1516">
        <v>9</v>
      </c>
      <c r="I34" s="1514"/>
      <c r="J34" s="1515"/>
      <c r="K34" s="1516"/>
      <c r="L34" s="1517" t="s">
        <v>703</v>
      </c>
      <c r="M34" s="1517" t="s">
        <v>1393</v>
      </c>
      <c r="N34" s="1689" t="s">
        <v>116</v>
      </c>
      <c r="O34" s="1645"/>
      <c r="P34" s="245" t="b">
        <f t="shared" si="3"/>
        <v>0</v>
      </c>
      <c r="R34" s="245" t="b">
        <f t="shared" si="1"/>
        <v>0</v>
      </c>
      <c r="AO34" s="238" t="str">
        <f t="shared" si="2"/>
        <v>SG44</v>
      </c>
      <c r="AP34" s="945" t="b">
        <v>0</v>
      </c>
      <c r="AQ34" s="1323"/>
      <c r="AR34" s="1324"/>
      <c r="AS34" s="1324"/>
      <c r="AT34" s="1324"/>
      <c r="AU34" s="1324"/>
      <c r="AV34" s="1324"/>
      <c r="AW34" s="1324"/>
      <c r="AX34" s="1324"/>
      <c r="AY34" s="1324"/>
      <c r="AZ34" s="1324"/>
      <c r="BA34" s="1533"/>
      <c r="BB34" s="1533"/>
      <c r="BC34" s="1534"/>
    </row>
    <row r="35" spans="1:55" ht="14.1" customHeight="1" x14ac:dyDescent="0.2">
      <c r="A35" s="1511" t="s">
        <v>1996</v>
      </c>
      <c r="B35" s="1512" t="s">
        <v>155</v>
      </c>
      <c r="C35" s="1512" t="s">
        <v>165</v>
      </c>
      <c r="D35" s="1512" t="s">
        <v>145</v>
      </c>
      <c r="E35" s="1513"/>
      <c r="F35" s="1514">
        <v>250</v>
      </c>
      <c r="G35" s="1515"/>
      <c r="H35" s="1516"/>
      <c r="I35" s="1514"/>
      <c r="J35" s="1515"/>
      <c r="K35" s="1516"/>
      <c r="L35" s="1517" t="s">
        <v>116</v>
      </c>
      <c r="M35" s="1517" t="s">
        <v>1393</v>
      </c>
      <c r="N35" s="1689" t="s">
        <v>116</v>
      </c>
      <c r="O35" s="1645"/>
      <c r="P35" s="245" t="b">
        <f t="shared" si="3"/>
        <v>0</v>
      </c>
      <c r="R35" s="245" t="b">
        <f t="shared" si="1"/>
        <v>1</v>
      </c>
      <c r="AO35" s="238" t="str">
        <f t="shared" si="2"/>
        <v>SG45</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155</v>
      </c>
      <c r="C36" s="1512" t="s">
        <v>165</v>
      </c>
      <c r="D36" s="1512" t="s">
        <v>159</v>
      </c>
      <c r="E36" s="1513"/>
      <c r="F36" s="1514">
        <v>250</v>
      </c>
      <c r="G36" s="1515"/>
      <c r="H36" s="1516"/>
      <c r="I36" s="1514"/>
      <c r="J36" s="1515"/>
      <c r="K36" s="1516"/>
      <c r="L36" s="1517" t="s">
        <v>116</v>
      </c>
      <c r="M36" s="1517" t="s">
        <v>1393</v>
      </c>
      <c r="N36" s="1689" t="s">
        <v>116</v>
      </c>
      <c r="O36" s="1645"/>
      <c r="P36" s="245" t="b">
        <f t="shared" si="3"/>
        <v>0</v>
      </c>
      <c r="R36" s="245" t="b">
        <f t="shared" si="1"/>
        <v>1</v>
      </c>
      <c r="AO36" s="238" t="str">
        <f t="shared" si="2"/>
        <v>SG45</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154</v>
      </c>
      <c r="C37" s="1512" t="s">
        <v>165</v>
      </c>
      <c r="D37" s="1512" t="s">
        <v>145</v>
      </c>
      <c r="E37" s="1513"/>
      <c r="F37" s="1514">
        <v>1500</v>
      </c>
      <c r="G37" s="1515"/>
      <c r="H37" s="1516"/>
      <c r="I37" s="1514"/>
      <c r="J37" s="1515"/>
      <c r="K37" s="1516"/>
      <c r="L37" s="1517" t="s">
        <v>116</v>
      </c>
      <c r="M37" s="1517" t="s">
        <v>1393</v>
      </c>
      <c r="N37" s="1689" t="s">
        <v>116</v>
      </c>
      <c r="O37" s="1645"/>
      <c r="P37" s="245" t="b">
        <f t="shared" si="3"/>
        <v>0</v>
      </c>
      <c r="R37" s="245" t="b">
        <f t="shared" si="1"/>
        <v>1</v>
      </c>
      <c r="AO37" s="238" t="str">
        <f t="shared" si="2"/>
        <v>SG45</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154</v>
      </c>
      <c r="C38" s="1512" t="s">
        <v>165</v>
      </c>
      <c r="D38" s="1512" t="s">
        <v>145</v>
      </c>
      <c r="E38" s="1513"/>
      <c r="F38" s="1514">
        <v>720</v>
      </c>
      <c r="G38" s="1515"/>
      <c r="H38" s="1516"/>
      <c r="I38" s="1514"/>
      <c r="J38" s="1515"/>
      <c r="K38" s="1516"/>
      <c r="L38" s="1517" t="s">
        <v>116</v>
      </c>
      <c r="M38" s="1517" t="s">
        <v>1393</v>
      </c>
      <c r="N38" s="1689" t="s">
        <v>116</v>
      </c>
      <c r="O38" s="1645"/>
      <c r="P38" s="245" t="b">
        <f t="shared" si="3"/>
        <v>0</v>
      </c>
      <c r="R38" s="245" t="b">
        <f t="shared" si="1"/>
        <v>1</v>
      </c>
      <c r="AO38" s="238" t="str">
        <f t="shared" si="2"/>
        <v>SG45</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7</v>
      </c>
      <c r="H39" s="1516">
        <v>9</v>
      </c>
      <c r="I39" s="1514"/>
      <c r="J39" s="1515"/>
      <c r="K39" s="1516"/>
      <c r="L39" s="1517" t="s">
        <v>703</v>
      </c>
      <c r="M39" s="1517" t="s">
        <v>1393</v>
      </c>
      <c r="N39" s="1689" t="s">
        <v>116</v>
      </c>
      <c r="O39" s="1645"/>
      <c r="P39" s="245" t="b">
        <f t="shared" si="3"/>
        <v>0</v>
      </c>
      <c r="R39" s="245" t="b">
        <f t="shared" si="1"/>
        <v>0</v>
      </c>
      <c r="AO39" s="238" t="str">
        <f t="shared" si="2"/>
        <v>SG45</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15</v>
      </c>
      <c r="H40" s="1516">
        <v>9</v>
      </c>
      <c r="I40" s="1514"/>
      <c r="J40" s="1515"/>
      <c r="K40" s="1516"/>
      <c r="L40" s="1517" t="s">
        <v>703</v>
      </c>
      <c r="M40" s="1517" t="s">
        <v>1393</v>
      </c>
      <c r="N40" s="1689" t="s">
        <v>116</v>
      </c>
      <c r="O40" s="1645"/>
      <c r="P40" s="245" t="b">
        <f t="shared" si="3"/>
        <v>0</v>
      </c>
      <c r="R40" s="245" t="b">
        <f t="shared" si="1"/>
        <v>0</v>
      </c>
      <c r="AO40" s="238" t="str">
        <f t="shared" si="2"/>
        <v>SG45</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23</v>
      </c>
      <c r="H41" s="1516">
        <v>9</v>
      </c>
      <c r="I41" s="1514"/>
      <c r="J41" s="1515"/>
      <c r="K41" s="1516"/>
      <c r="L41" s="1517" t="s">
        <v>703</v>
      </c>
      <c r="M41" s="1517" t="s">
        <v>1393</v>
      </c>
      <c r="N41" s="1689" t="s">
        <v>116</v>
      </c>
      <c r="O41" s="1645"/>
      <c r="P41" s="245" t="b">
        <f t="shared" si="3"/>
        <v>0</v>
      </c>
      <c r="R41" s="245" t="b">
        <f t="shared" si="1"/>
        <v>0</v>
      </c>
      <c r="AO41" s="238" t="str">
        <f t="shared" si="2"/>
        <v>SG45</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31</v>
      </c>
      <c r="H42" s="1516">
        <v>9</v>
      </c>
      <c r="I42" s="1514"/>
      <c r="J42" s="1515"/>
      <c r="K42" s="1516"/>
      <c r="L42" s="1517" t="s">
        <v>703</v>
      </c>
      <c r="M42" s="1517" t="s">
        <v>1393</v>
      </c>
      <c r="N42" s="1689" t="s">
        <v>116</v>
      </c>
      <c r="O42" s="1645"/>
      <c r="P42" s="245" t="b">
        <f t="shared" si="3"/>
        <v>0</v>
      </c>
      <c r="R42" s="245" t="b">
        <f t="shared" si="1"/>
        <v>0</v>
      </c>
      <c r="AO42" s="238" t="str">
        <f t="shared" si="2"/>
        <v>SG45</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39</v>
      </c>
      <c r="H43" s="1516">
        <v>9</v>
      </c>
      <c r="I43" s="1514"/>
      <c r="J43" s="1515"/>
      <c r="K43" s="1516"/>
      <c r="L43" s="1517" t="s">
        <v>703</v>
      </c>
      <c r="M43" s="1517" t="s">
        <v>1393</v>
      </c>
      <c r="N43" s="1689" t="s">
        <v>116</v>
      </c>
      <c r="O43" s="1645"/>
      <c r="P43" s="245" t="b">
        <f t="shared" si="3"/>
        <v>0</v>
      </c>
      <c r="R43" s="245" t="b">
        <f t="shared" si="1"/>
        <v>0</v>
      </c>
      <c r="AO43" s="238" t="str">
        <f t="shared" si="2"/>
        <v>SG45</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47</v>
      </c>
      <c r="H44" s="1516">
        <v>9</v>
      </c>
      <c r="I44" s="1514"/>
      <c r="J44" s="1515"/>
      <c r="K44" s="1516"/>
      <c r="L44" s="1517" t="s">
        <v>703</v>
      </c>
      <c r="M44" s="1517" t="s">
        <v>1393</v>
      </c>
      <c r="N44" s="1689" t="s">
        <v>116</v>
      </c>
      <c r="O44" s="1645"/>
      <c r="P44" s="245" t="b">
        <f t="shared" si="3"/>
        <v>0</v>
      </c>
      <c r="R44" s="245" t="b">
        <f t="shared" si="1"/>
        <v>0</v>
      </c>
      <c r="AO44" s="238" t="str">
        <f t="shared" si="2"/>
        <v>SG45</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7</v>
      </c>
      <c r="H45" s="1516">
        <v>9</v>
      </c>
      <c r="I45" s="1514"/>
      <c r="J45" s="1515"/>
      <c r="K45" s="1516"/>
      <c r="L45" s="1517" t="s">
        <v>703</v>
      </c>
      <c r="M45" s="1517" t="s">
        <v>1393</v>
      </c>
      <c r="N45" s="1689" t="s">
        <v>116</v>
      </c>
      <c r="O45" s="1645"/>
      <c r="P45" s="245" t="b">
        <f t="shared" si="3"/>
        <v>0</v>
      </c>
      <c r="R45" s="245" t="b">
        <f t="shared" si="1"/>
        <v>0</v>
      </c>
      <c r="AO45" s="238" t="str">
        <f t="shared" si="2"/>
        <v>SG45</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15</v>
      </c>
      <c r="H46" s="1516">
        <v>9</v>
      </c>
      <c r="I46" s="1514"/>
      <c r="J46" s="1515"/>
      <c r="K46" s="1516"/>
      <c r="L46" s="1517" t="s">
        <v>703</v>
      </c>
      <c r="M46" s="1517" t="s">
        <v>1393</v>
      </c>
      <c r="N46" s="1689" t="s">
        <v>116</v>
      </c>
      <c r="O46" s="1645"/>
      <c r="P46" s="245" t="b">
        <f t="shared" si="3"/>
        <v>0</v>
      </c>
      <c r="R46" s="245" t="b">
        <f t="shared" si="1"/>
        <v>0</v>
      </c>
      <c r="AO46" s="238" t="str">
        <f t="shared" si="2"/>
        <v>SG45</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23</v>
      </c>
      <c r="H47" s="1516">
        <v>9</v>
      </c>
      <c r="I47" s="1514"/>
      <c r="J47" s="1515"/>
      <c r="K47" s="1516"/>
      <c r="L47" s="1517" t="s">
        <v>703</v>
      </c>
      <c r="M47" s="1517" t="s">
        <v>1393</v>
      </c>
      <c r="N47" s="1689" t="s">
        <v>116</v>
      </c>
      <c r="O47" s="1645"/>
      <c r="P47" s="245" t="b">
        <f t="shared" si="3"/>
        <v>0</v>
      </c>
      <c r="R47" s="245" t="b">
        <f t="shared" si="1"/>
        <v>0</v>
      </c>
      <c r="AO47" s="238" t="str">
        <f t="shared" si="2"/>
        <v>SG45</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31</v>
      </c>
      <c r="H48" s="1516">
        <v>9</v>
      </c>
      <c r="I48" s="1514"/>
      <c r="J48" s="1515"/>
      <c r="K48" s="1516"/>
      <c r="L48" s="1517" t="s">
        <v>703</v>
      </c>
      <c r="M48" s="1517" t="s">
        <v>1393</v>
      </c>
      <c r="N48" s="1689" t="s">
        <v>116</v>
      </c>
      <c r="O48" s="1645"/>
      <c r="P48" s="245" t="b">
        <f t="shared" si="3"/>
        <v>0</v>
      </c>
      <c r="R48" s="245" t="b">
        <f t="shared" si="1"/>
        <v>0</v>
      </c>
      <c r="AO48" s="238" t="str">
        <f t="shared" si="2"/>
        <v>SG45</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39</v>
      </c>
      <c r="H49" s="1516">
        <v>9</v>
      </c>
      <c r="I49" s="1514"/>
      <c r="J49" s="1515"/>
      <c r="K49" s="1516"/>
      <c r="L49" s="1517" t="s">
        <v>703</v>
      </c>
      <c r="M49" s="1517" t="s">
        <v>1393</v>
      </c>
      <c r="N49" s="1689" t="s">
        <v>116</v>
      </c>
      <c r="O49" s="1645"/>
      <c r="P49" s="245" t="b">
        <f t="shared" si="3"/>
        <v>0</v>
      </c>
      <c r="R49" s="245" t="b">
        <f t="shared" si="1"/>
        <v>0</v>
      </c>
      <c r="AO49" s="238" t="str">
        <f t="shared" si="2"/>
        <v>SG45</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47</v>
      </c>
      <c r="H50" s="1516">
        <v>9</v>
      </c>
      <c r="I50" s="1514"/>
      <c r="J50" s="1515"/>
      <c r="K50" s="1516"/>
      <c r="L50" s="1517" t="s">
        <v>703</v>
      </c>
      <c r="M50" s="1517" t="s">
        <v>1393</v>
      </c>
      <c r="N50" s="1689" t="s">
        <v>116</v>
      </c>
      <c r="O50" s="1645"/>
      <c r="P50" s="245" t="b">
        <f t="shared" si="3"/>
        <v>0</v>
      </c>
      <c r="R50" s="245" t="b">
        <f t="shared" si="1"/>
        <v>0</v>
      </c>
      <c r="AO50" s="238" t="str">
        <f t="shared" si="2"/>
        <v>SG45</v>
      </c>
      <c r="AP50" s="945" t="b">
        <v>0</v>
      </c>
      <c r="AQ50" s="1323"/>
      <c r="AR50" s="1324"/>
      <c r="AS50" s="1324"/>
      <c r="AT50" s="1324"/>
      <c r="AU50" s="1324"/>
      <c r="AV50" s="1324"/>
      <c r="AW50" s="1324"/>
      <c r="AX50" s="1324"/>
      <c r="AY50" s="1324"/>
      <c r="AZ50" s="1324"/>
      <c r="BA50" s="1533"/>
      <c r="BB50" s="1533"/>
      <c r="BC50" s="1534"/>
    </row>
    <row r="51" spans="1:55" ht="14.1" customHeight="1" x14ac:dyDescent="0.2">
      <c r="A51" s="1511" t="s">
        <v>1997</v>
      </c>
      <c r="B51" s="1512" t="s">
        <v>155</v>
      </c>
      <c r="C51" s="1512" t="s">
        <v>165</v>
      </c>
      <c r="D51" s="1512" t="s">
        <v>145</v>
      </c>
      <c r="E51" s="1513"/>
      <c r="F51" s="1514">
        <v>250</v>
      </c>
      <c r="G51" s="1515"/>
      <c r="H51" s="1516"/>
      <c r="I51" s="1514"/>
      <c r="J51" s="1515"/>
      <c r="K51" s="1516"/>
      <c r="L51" s="1517" t="s">
        <v>116</v>
      </c>
      <c r="M51" s="1517" t="s">
        <v>1393</v>
      </c>
      <c r="N51" s="1689" t="s">
        <v>116</v>
      </c>
      <c r="O51" s="1645"/>
      <c r="P51" s="245" t="b">
        <f t="shared" si="3"/>
        <v>0</v>
      </c>
      <c r="R51" s="245" t="b">
        <f t="shared" si="1"/>
        <v>1</v>
      </c>
      <c r="AO51" s="238" t="str">
        <f t="shared" si="2"/>
        <v>SG46</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155</v>
      </c>
      <c r="C52" s="1512" t="s">
        <v>165</v>
      </c>
      <c r="D52" s="1512" t="s">
        <v>159</v>
      </c>
      <c r="E52" s="1513"/>
      <c r="F52" s="1514">
        <v>250</v>
      </c>
      <c r="G52" s="1515"/>
      <c r="H52" s="1516"/>
      <c r="I52" s="1514"/>
      <c r="J52" s="1515"/>
      <c r="K52" s="1516"/>
      <c r="L52" s="1517" t="s">
        <v>116</v>
      </c>
      <c r="M52" s="1517" t="s">
        <v>1393</v>
      </c>
      <c r="N52" s="1689" t="s">
        <v>116</v>
      </c>
      <c r="O52" s="1645"/>
      <c r="P52" s="245" t="b">
        <f t="shared" si="3"/>
        <v>0</v>
      </c>
      <c r="R52" s="245" t="b">
        <f t="shared" si="1"/>
        <v>1</v>
      </c>
      <c r="AO52" s="238" t="str">
        <f t="shared" si="2"/>
        <v>SG46</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154</v>
      </c>
      <c r="C53" s="1512" t="s">
        <v>165</v>
      </c>
      <c r="D53" s="1512" t="s">
        <v>145</v>
      </c>
      <c r="E53" s="1513"/>
      <c r="F53" s="1514">
        <v>1500</v>
      </c>
      <c r="G53" s="1515"/>
      <c r="H53" s="1516"/>
      <c r="I53" s="1514"/>
      <c r="J53" s="1515"/>
      <c r="K53" s="1516"/>
      <c r="L53" s="1517" t="s">
        <v>116</v>
      </c>
      <c r="M53" s="1517" t="s">
        <v>1393</v>
      </c>
      <c r="N53" s="1689" t="s">
        <v>116</v>
      </c>
      <c r="O53" s="1645"/>
      <c r="P53" s="245" t="b">
        <f t="shared" si="3"/>
        <v>0</v>
      </c>
      <c r="R53" s="245" t="b">
        <f t="shared" si="1"/>
        <v>1</v>
      </c>
      <c r="AO53" s="238" t="str">
        <f t="shared" si="2"/>
        <v>SG46</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7</v>
      </c>
      <c r="H54" s="1516">
        <v>9</v>
      </c>
      <c r="I54" s="1514"/>
      <c r="J54" s="1515"/>
      <c r="K54" s="1516"/>
      <c r="L54" s="1517" t="s">
        <v>703</v>
      </c>
      <c r="M54" s="1517" t="s">
        <v>1393</v>
      </c>
      <c r="N54" s="1689" t="s">
        <v>116</v>
      </c>
      <c r="O54" s="1645"/>
      <c r="P54" s="245" t="b">
        <f t="shared" si="3"/>
        <v>0</v>
      </c>
      <c r="R54" s="245" t="b">
        <f t="shared" si="1"/>
        <v>0</v>
      </c>
      <c r="AO54" s="238" t="str">
        <f t="shared" si="2"/>
        <v>SG46</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15</v>
      </c>
      <c r="H55" s="1525">
        <v>9</v>
      </c>
      <c r="I55" s="1523"/>
      <c r="J55" s="1524"/>
      <c r="K55" s="1525"/>
      <c r="L55" s="1526" t="s">
        <v>703</v>
      </c>
      <c r="M55" s="1526" t="s">
        <v>1393</v>
      </c>
      <c r="N55" s="1690"/>
      <c r="O55" s="1645"/>
      <c r="P55" s="245" t="b">
        <f t="shared" si="3"/>
        <v>0</v>
      </c>
      <c r="R55" s="245" t="b">
        <f t="shared" si="1"/>
        <v>0</v>
      </c>
      <c r="AO55" s="238" t="str">
        <f t="shared" si="2"/>
        <v>SG46</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79" priority="4" stopIfTrue="1">
      <formula>AND($B14="NU",F14&lt;0)</formula>
    </cfRule>
  </conditionalFormatting>
  <conditionalFormatting sqref="B14:B55">
    <cfRule type="expression" dxfId="178" priority="5" stopIfTrue="1">
      <formula>OR(AND($B14="NU",F14&lt;0),AND($B14="NU",I14&lt;0))</formula>
    </cfRule>
  </conditionalFormatting>
  <conditionalFormatting sqref="G14:H55 J14:L55">
    <cfRule type="expression" dxfId="177" priority="6" stopIfTrue="1">
      <formula>$R14</formula>
    </cfRule>
  </conditionalFormatting>
  <conditionalFormatting sqref="I2:K4">
    <cfRule type="cellIs" dxfId="176" priority="7" stopIfTrue="1" operator="equal">
      <formula>""</formula>
    </cfRule>
  </conditionalFormatting>
  <conditionalFormatting sqref="I14:I55">
    <cfRule type="expression" dxfId="175" priority="8" stopIfTrue="1">
      <formula>OR($R14,$B14="CZ",AND($B14="NU",I14&lt;0))</formula>
    </cfRule>
  </conditionalFormatting>
  <conditionalFormatting sqref="A14:A55">
    <cfRule type="expression" dxfId="174" priority="3">
      <formula>NOT($P14)</formula>
    </cfRule>
  </conditionalFormatting>
  <conditionalFormatting sqref="B14:D55">
    <cfRule type="expression" dxfId="1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72" priority="9">
      <formula>AND(NOT($P14),$T$1)</formula>
    </cfRule>
    <cfRule type="expression" dxfId="171" priority="10">
      <formula>AND($AP14,$S$1="M")</formula>
    </cfRule>
  </conditionalFormatting>
  <conditionalFormatting sqref="L14:L55">
    <cfRule type="expression" dxfId="1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BF1ACBD-B8DA-44F0-943A-E46F22CC891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F934557D-7569-4D36-A376-1FFCF794B9D8}">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85E6FEDB-D322-466A-B1B5-DF3D567C7FE2}">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52556E0-8DC5-4EBA-9AC0-90C3E1CF8D65}">
      <formula1>IF($CA$14,$CA$16:$CA$21,$CB$16:$CB$19)</formula1>
    </dataValidation>
    <dataValidation type="list" allowBlank="1" showErrorMessage="1" errorTitle="Invalid Type" error="You MUST select a Type from the dropdown list provided._x000a__x000a_Also, make sure your Cap Lock is turned on." sqref="B14:B55" xr:uid="{1B2BC55B-333B-4992-ADD7-4ACC42EC3DEF}">
      <formula1>$BF$15:$BU$15</formula1>
    </dataValidation>
    <dataValidation allowBlank="1" showInputMessage="1" errorTitle="Invalid Load Case" error="You MUST use a Load Case from the list provided." sqref="M14:M55" xr:uid="{C023A658-EF60-4646-8ADA-AC9761100FB8}"/>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5B659-DD43-4A78-BECE-5743A11E07A7}">
  <sheetPr codeName="Sheet57">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7000</v>
      </c>
      <c r="G14" s="1507">
        <v>23</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31</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39</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47</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7</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15</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532</v>
      </c>
      <c r="G20" s="1515">
        <v>23</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31</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39</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47</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t="s">
        <v>1998</v>
      </c>
      <c r="B24" s="1512" t="s">
        <v>155</v>
      </c>
      <c r="C24" s="1512" t="s">
        <v>165</v>
      </c>
      <c r="D24" s="1512" t="s">
        <v>145</v>
      </c>
      <c r="E24" s="1513"/>
      <c r="F24" s="1514">
        <v>250</v>
      </c>
      <c r="G24" s="1515"/>
      <c r="H24" s="1516"/>
      <c r="I24" s="1514"/>
      <c r="J24" s="1515"/>
      <c r="K24" s="1516"/>
      <c r="L24" s="1517" t="s">
        <v>116</v>
      </c>
      <c r="M24" s="1518" t="s">
        <v>1393</v>
      </c>
      <c r="N24" s="1519"/>
      <c r="O24" s="1646"/>
      <c r="P24" s="245" t="b">
        <f t="shared" si="3"/>
        <v>0</v>
      </c>
      <c r="R24" s="245" t="b">
        <f t="shared" si="1"/>
        <v>1</v>
      </c>
      <c r="AO24" s="238" t="str">
        <f t="shared" si="2"/>
        <v>SG47</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155</v>
      </c>
      <c r="C25" s="1512" t="s">
        <v>165</v>
      </c>
      <c r="D25" s="1512" t="s">
        <v>159</v>
      </c>
      <c r="E25" s="1513"/>
      <c r="F25" s="1514">
        <v>250</v>
      </c>
      <c r="G25" s="1515"/>
      <c r="H25" s="1516"/>
      <c r="I25" s="1514"/>
      <c r="J25" s="1515"/>
      <c r="K25" s="1516"/>
      <c r="L25" s="1517" t="s">
        <v>116</v>
      </c>
      <c r="M25" s="1518" t="s">
        <v>1393</v>
      </c>
      <c r="N25" s="1519"/>
      <c r="O25" s="1646"/>
      <c r="P25" s="245" t="b">
        <f t="shared" si="3"/>
        <v>0</v>
      </c>
      <c r="R25" s="245" t="b">
        <f t="shared" si="1"/>
        <v>1</v>
      </c>
      <c r="AO25" s="238" t="str">
        <f t="shared" si="2"/>
        <v>SG47</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154</v>
      </c>
      <c r="C26" s="1512" t="s">
        <v>165</v>
      </c>
      <c r="D26" s="1512" t="s">
        <v>145</v>
      </c>
      <c r="E26" s="1513"/>
      <c r="F26" s="1514">
        <v>1500</v>
      </c>
      <c r="G26" s="1515"/>
      <c r="H26" s="1516"/>
      <c r="I26" s="1514"/>
      <c r="J26" s="1515"/>
      <c r="K26" s="1516"/>
      <c r="L26" s="1517" t="s">
        <v>116</v>
      </c>
      <c r="M26" s="1518" t="s">
        <v>1393</v>
      </c>
      <c r="N26" s="1519"/>
      <c r="O26" s="1646"/>
      <c r="P26" s="245" t="b">
        <f t="shared" si="3"/>
        <v>0</v>
      </c>
      <c r="R26" s="245" t="b">
        <f t="shared" si="1"/>
        <v>1</v>
      </c>
      <c r="AO26" s="238" t="str">
        <f t="shared" si="2"/>
        <v>SG47</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7</v>
      </c>
      <c r="H27" s="1516">
        <v>9</v>
      </c>
      <c r="I27" s="1514"/>
      <c r="J27" s="1515"/>
      <c r="K27" s="1516"/>
      <c r="L27" s="1517" t="s">
        <v>703</v>
      </c>
      <c r="M27" s="1518" t="s">
        <v>1393</v>
      </c>
      <c r="N27" s="1519"/>
      <c r="O27" s="1646"/>
      <c r="P27" s="245" t="b">
        <f t="shared" si="3"/>
        <v>0</v>
      </c>
      <c r="R27" s="245" t="b">
        <f t="shared" si="1"/>
        <v>0</v>
      </c>
      <c r="AO27" s="238" t="str">
        <f t="shared" si="2"/>
        <v>SG47</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15</v>
      </c>
      <c r="H28" s="1516">
        <v>9</v>
      </c>
      <c r="I28" s="1514"/>
      <c r="J28" s="1515"/>
      <c r="K28" s="1516"/>
      <c r="L28" s="1517" t="s">
        <v>703</v>
      </c>
      <c r="M28" s="1518" t="s">
        <v>1393</v>
      </c>
      <c r="N28" s="1689"/>
      <c r="O28" s="1645"/>
      <c r="P28" s="245" t="b">
        <f t="shared" si="3"/>
        <v>0</v>
      </c>
      <c r="R28" s="245" t="b">
        <f t="shared" si="1"/>
        <v>0</v>
      </c>
      <c r="AO28" s="238" t="str">
        <f t="shared" si="2"/>
        <v>SG47</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23</v>
      </c>
      <c r="H29" s="1516">
        <v>9</v>
      </c>
      <c r="I29" s="1514"/>
      <c r="J29" s="1515"/>
      <c r="K29" s="1516"/>
      <c r="L29" s="1517" t="s">
        <v>703</v>
      </c>
      <c r="M29" s="1518" t="s">
        <v>1393</v>
      </c>
      <c r="N29" s="1689"/>
      <c r="O29" s="1645"/>
      <c r="P29" s="245" t="b">
        <f t="shared" si="3"/>
        <v>0</v>
      </c>
      <c r="R29" s="245" t="b">
        <f t="shared" si="1"/>
        <v>0</v>
      </c>
      <c r="AO29" s="238" t="str">
        <f t="shared" si="2"/>
        <v>SG47</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31</v>
      </c>
      <c r="H30" s="1516">
        <v>9</v>
      </c>
      <c r="I30" s="1514"/>
      <c r="J30" s="1515"/>
      <c r="K30" s="1516"/>
      <c r="L30" s="1517" t="s">
        <v>703</v>
      </c>
      <c r="M30" s="1518" t="s">
        <v>1393</v>
      </c>
      <c r="N30" s="1689" t="s">
        <v>116</v>
      </c>
      <c r="O30" s="1645"/>
      <c r="P30" s="245" t="b">
        <f t="shared" si="3"/>
        <v>0</v>
      </c>
      <c r="R30" s="245" t="b">
        <f t="shared" si="1"/>
        <v>0</v>
      </c>
      <c r="AO30" s="238" t="str">
        <f t="shared" si="2"/>
        <v>SG47</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39</v>
      </c>
      <c r="H31" s="1516">
        <v>9</v>
      </c>
      <c r="I31" s="1514"/>
      <c r="J31" s="1515"/>
      <c r="K31" s="1516"/>
      <c r="L31" s="1517" t="s">
        <v>703</v>
      </c>
      <c r="M31" s="1517" t="s">
        <v>1393</v>
      </c>
      <c r="N31" s="1689" t="s">
        <v>116</v>
      </c>
      <c r="O31" s="1645"/>
      <c r="P31" s="245" t="b">
        <f t="shared" si="3"/>
        <v>0</v>
      </c>
      <c r="R31" s="245" t="b">
        <f t="shared" si="1"/>
        <v>0</v>
      </c>
      <c r="AO31" s="238" t="str">
        <f t="shared" si="2"/>
        <v>SG47</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47</v>
      </c>
      <c r="H32" s="1516">
        <v>9</v>
      </c>
      <c r="I32" s="1514"/>
      <c r="J32" s="1515"/>
      <c r="K32" s="1516"/>
      <c r="L32" s="1517" t="s">
        <v>703</v>
      </c>
      <c r="M32" s="1517" t="s">
        <v>1393</v>
      </c>
      <c r="N32" s="1689" t="s">
        <v>116</v>
      </c>
      <c r="O32" s="1645"/>
      <c r="P32" s="245" t="b">
        <f t="shared" si="3"/>
        <v>0</v>
      </c>
      <c r="R32" s="245" t="b">
        <f t="shared" si="1"/>
        <v>0</v>
      </c>
      <c r="AO32" s="238" t="str">
        <f t="shared" si="2"/>
        <v>SG47</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7</v>
      </c>
      <c r="H33" s="1516">
        <v>9</v>
      </c>
      <c r="I33" s="1514"/>
      <c r="J33" s="1515"/>
      <c r="K33" s="1516"/>
      <c r="L33" s="1517" t="s">
        <v>703</v>
      </c>
      <c r="M33" s="1517" t="s">
        <v>1393</v>
      </c>
      <c r="N33" s="1689" t="s">
        <v>116</v>
      </c>
      <c r="O33" s="1645"/>
      <c r="P33" s="245" t="b">
        <f t="shared" si="3"/>
        <v>0</v>
      </c>
      <c r="R33" s="245" t="b">
        <f t="shared" si="1"/>
        <v>0</v>
      </c>
      <c r="AO33" s="238" t="str">
        <f t="shared" si="2"/>
        <v>SG47</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15</v>
      </c>
      <c r="H34" s="1516">
        <v>9</v>
      </c>
      <c r="I34" s="1514"/>
      <c r="J34" s="1515"/>
      <c r="K34" s="1516"/>
      <c r="L34" s="1517" t="s">
        <v>703</v>
      </c>
      <c r="M34" s="1517" t="s">
        <v>1393</v>
      </c>
      <c r="N34" s="1689" t="s">
        <v>116</v>
      </c>
      <c r="O34" s="1645"/>
      <c r="P34" s="245" t="b">
        <f t="shared" si="3"/>
        <v>0</v>
      </c>
      <c r="R34" s="245" t="b">
        <f t="shared" si="1"/>
        <v>0</v>
      </c>
      <c r="AO34" s="238" t="str">
        <f t="shared" si="2"/>
        <v>SG47</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23</v>
      </c>
      <c r="H35" s="1516">
        <v>9</v>
      </c>
      <c r="I35" s="1514"/>
      <c r="J35" s="1515"/>
      <c r="K35" s="1516"/>
      <c r="L35" s="1517" t="s">
        <v>703</v>
      </c>
      <c r="M35" s="1517" t="s">
        <v>1393</v>
      </c>
      <c r="N35" s="1689" t="s">
        <v>116</v>
      </c>
      <c r="O35" s="1645"/>
      <c r="P35" s="245" t="b">
        <f t="shared" si="3"/>
        <v>0</v>
      </c>
      <c r="R35" s="245" t="b">
        <f t="shared" si="1"/>
        <v>0</v>
      </c>
      <c r="AO35" s="238" t="str">
        <f t="shared" si="2"/>
        <v>SG47</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31</v>
      </c>
      <c r="H36" s="1516">
        <v>9</v>
      </c>
      <c r="I36" s="1514"/>
      <c r="J36" s="1515"/>
      <c r="K36" s="1516"/>
      <c r="L36" s="1517" t="s">
        <v>703</v>
      </c>
      <c r="M36" s="1517" t="s">
        <v>1393</v>
      </c>
      <c r="N36" s="1689" t="s">
        <v>116</v>
      </c>
      <c r="O36" s="1645"/>
      <c r="P36" s="245" t="b">
        <f t="shared" si="3"/>
        <v>0</v>
      </c>
      <c r="R36" s="245" t="b">
        <f t="shared" si="1"/>
        <v>0</v>
      </c>
      <c r="AO36" s="238" t="str">
        <f t="shared" si="2"/>
        <v>SG47</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39</v>
      </c>
      <c r="H37" s="1516">
        <v>9</v>
      </c>
      <c r="I37" s="1514"/>
      <c r="J37" s="1515"/>
      <c r="K37" s="1516"/>
      <c r="L37" s="1517" t="s">
        <v>703</v>
      </c>
      <c r="M37" s="1517" t="s">
        <v>1393</v>
      </c>
      <c r="N37" s="1689" t="s">
        <v>116</v>
      </c>
      <c r="O37" s="1645"/>
      <c r="P37" s="245" t="b">
        <f t="shared" si="3"/>
        <v>0</v>
      </c>
      <c r="R37" s="245" t="b">
        <f t="shared" si="1"/>
        <v>0</v>
      </c>
      <c r="AO37" s="238" t="str">
        <f t="shared" si="2"/>
        <v>SG47</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47</v>
      </c>
      <c r="H38" s="1516">
        <v>9</v>
      </c>
      <c r="I38" s="1514"/>
      <c r="J38" s="1515"/>
      <c r="K38" s="1516"/>
      <c r="L38" s="1517" t="s">
        <v>703</v>
      </c>
      <c r="M38" s="1517" t="s">
        <v>1393</v>
      </c>
      <c r="N38" s="1689" t="s">
        <v>116</v>
      </c>
      <c r="O38" s="1645"/>
      <c r="P38" s="245" t="b">
        <f t="shared" si="3"/>
        <v>0</v>
      </c>
      <c r="R38" s="245" t="b">
        <f t="shared" si="1"/>
        <v>0</v>
      </c>
      <c r="AO38" s="238" t="str">
        <f t="shared" si="2"/>
        <v>SG47</v>
      </c>
      <c r="AP38" s="945" t="b">
        <v>0</v>
      </c>
      <c r="AQ38" s="1323"/>
      <c r="AR38" s="1324"/>
      <c r="AS38" s="1324"/>
      <c r="AT38" s="1324"/>
      <c r="AU38" s="1324"/>
      <c r="AV38" s="1324"/>
      <c r="AW38" s="1324"/>
      <c r="AX38" s="1324"/>
      <c r="AY38" s="1324"/>
      <c r="AZ38" s="1324"/>
      <c r="BA38" s="1533"/>
      <c r="BB38" s="1533"/>
      <c r="BC38" s="1534"/>
    </row>
    <row r="39" spans="1:55" ht="14.1" customHeight="1" x14ac:dyDescent="0.2">
      <c r="A39" s="1511" t="s">
        <v>1999</v>
      </c>
      <c r="B39" s="1512" t="s">
        <v>155</v>
      </c>
      <c r="C39" s="1512" t="s">
        <v>165</v>
      </c>
      <c r="D39" s="1512" t="s">
        <v>145</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SG48</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155</v>
      </c>
      <c r="C40" s="1512" t="s">
        <v>165</v>
      </c>
      <c r="D40" s="1512" t="s">
        <v>159</v>
      </c>
      <c r="E40" s="1513"/>
      <c r="F40" s="1514">
        <v>250</v>
      </c>
      <c r="G40" s="1515"/>
      <c r="H40" s="1516"/>
      <c r="I40" s="1514"/>
      <c r="J40" s="1515"/>
      <c r="K40" s="1516"/>
      <c r="L40" s="1517" t="s">
        <v>116</v>
      </c>
      <c r="M40" s="1517" t="s">
        <v>1393</v>
      </c>
      <c r="N40" s="1689" t="s">
        <v>116</v>
      </c>
      <c r="O40" s="1645"/>
      <c r="P40" s="245" t="b">
        <f t="shared" si="3"/>
        <v>0</v>
      </c>
      <c r="R40" s="245" t="b">
        <f t="shared" si="1"/>
        <v>1</v>
      </c>
      <c r="AO40" s="238" t="str">
        <f t="shared" si="2"/>
        <v>SG48</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1500</v>
      </c>
      <c r="G41" s="1515"/>
      <c r="H41" s="1516"/>
      <c r="I41" s="1514"/>
      <c r="J41" s="1515"/>
      <c r="K41" s="1516"/>
      <c r="L41" s="1517" t="s">
        <v>116</v>
      </c>
      <c r="M41" s="1517" t="s">
        <v>1393</v>
      </c>
      <c r="N41" s="1689" t="s">
        <v>116</v>
      </c>
      <c r="O41" s="1645"/>
      <c r="P41" s="245" t="b">
        <f t="shared" si="3"/>
        <v>0</v>
      </c>
      <c r="R41" s="245" t="b">
        <f t="shared" si="1"/>
        <v>1</v>
      </c>
      <c r="AO41" s="238" t="str">
        <f t="shared" si="2"/>
        <v>SG48</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7</v>
      </c>
      <c r="H42" s="1516">
        <v>9</v>
      </c>
      <c r="I42" s="1514"/>
      <c r="J42" s="1515"/>
      <c r="K42" s="1516"/>
      <c r="L42" s="1517" t="s">
        <v>703</v>
      </c>
      <c r="M42" s="1517" t="s">
        <v>1393</v>
      </c>
      <c r="N42" s="1689" t="s">
        <v>116</v>
      </c>
      <c r="O42" s="1645"/>
      <c r="P42" s="245" t="b">
        <f t="shared" si="3"/>
        <v>0</v>
      </c>
      <c r="R42" s="245" t="b">
        <f t="shared" si="1"/>
        <v>0</v>
      </c>
      <c r="AO42" s="238" t="str">
        <f t="shared" si="2"/>
        <v>SG48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15</v>
      </c>
      <c r="H43" s="1516">
        <v>9</v>
      </c>
      <c r="I43" s="1514"/>
      <c r="J43" s="1515"/>
      <c r="K43" s="1516"/>
      <c r="L43" s="1517" t="s">
        <v>703</v>
      </c>
      <c r="M43" s="1517" t="s">
        <v>1393</v>
      </c>
      <c r="N43" s="1689" t="s">
        <v>116</v>
      </c>
      <c r="O43" s="1645"/>
      <c r="P43" s="245" t="b">
        <f t="shared" si="3"/>
        <v>0</v>
      </c>
      <c r="R43" s="245" t="b">
        <f t="shared" si="1"/>
        <v>0</v>
      </c>
      <c r="AO43" s="238" t="str">
        <f t="shared" si="2"/>
        <v>SG48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23</v>
      </c>
      <c r="H44" s="1516">
        <v>9</v>
      </c>
      <c r="I44" s="1514"/>
      <c r="J44" s="1515"/>
      <c r="K44" s="1516"/>
      <c r="L44" s="1517" t="s">
        <v>703</v>
      </c>
      <c r="M44" s="1517" t="s">
        <v>1393</v>
      </c>
      <c r="N44" s="1689" t="s">
        <v>116</v>
      </c>
      <c r="O44" s="1645"/>
      <c r="P44" s="245" t="b">
        <f t="shared" si="3"/>
        <v>0</v>
      </c>
      <c r="R44" s="245" t="b">
        <f t="shared" si="1"/>
        <v>0</v>
      </c>
      <c r="AO44" s="238" t="str">
        <f t="shared" si="2"/>
        <v>SG48</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31</v>
      </c>
      <c r="H45" s="1516">
        <v>9</v>
      </c>
      <c r="I45" s="1514"/>
      <c r="J45" s="1515"/>
      <c r="K45" s="1516"/>
      <c r="L45" s="1517" t="s">
        <v>703</v>
      </c>
      <c r="M45" s="1517" t="s">
        <v>1393</v>
      </c>
      <c r="N45" s="1689" t="s">
        <v>116</v>
      </c>
      <c r="O45" s="1645"/>
      <c r="P45" s="245" t="b">
        <f t="shared" si="3"/>
        <v>0</v>
      </c>
      <c r="R45" s="245" t="b">
        <f t="shared" si="1"/>
        <v>0</v>
      </c>
      <c r="AO45" s="238" t="str">
        <f t="shared" si="2"/>
        <v>SG48</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7000</v>
      </c>
      <c r="G46" s="1515">
        <v>39</v>
      </c>
      <c r="H46" s="1516">
        <v>9</v>
      </c>
      <c r="I46" s="1514"/>
      <c r="J46" s="1515"/>
      <c r="K46" s="1516"/>
      <c r="L46" s="1517" t="s">
        <v>703</v>
      </c>
      <c r="M46" s="1517" t="s">
        <v>1393</v>
      </c>
      <c r="N46" s="1689" t="s">
        <v>116</v>
      </c>
      <c r="O46" s="1645"/>
      <c r="P46" s="245" t="b">
        <f t="shared" si="3"/>
        <v>0</v>
      </c>
      <c r="R46" s="245" t="b">
        <f t="shared" si="1"/>
        <v>0</v>
      </c>
      <c r="AO46" s="238" t="str">
        <f t="shared" si="2"/>
        <v>SG48</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47</v>
      </c>
      <c r="H47" s="1516">
        <v>9</v>
      </c>
      <c r="I47" s="1514"/>
      <c r="J47" s="1515"/>
      <c r="K47" s="1516"/>
      <c r="L47" s="1517" t="s">
        <v>703</v>
      </c>
      <c r="M47" s="1517" t="s">
        <v>1393</v>
      </c>
      <c r="N47" s="1689" t="s">
        <v>116</v>
      </c>
      <c r="O47" s="1645"/>
      <c r="P47" s="245" t="b">
        <f t="shared" si="3"/>
        <v>0</v>
      </c>
      <c r="R47" s="245" t="b">
        <f t="shared" si="1"/>
        <v>0</v>
      </c>
      <c r="AO47" s="238" t="str">
        <f t="shared" si="2"/>
        <v>SG48</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7</v>
      </c>
      <c r="H48" s="1516">
        <v>9</v>
      </c>
      <c r="I48" s="1514"/>
      <c r="J48" s="1515"/>
      <c r="K48" s="1516"/>
      <c r="L48" s="1517" t="s">
        <v>703</v>
      </c>
      <c r="M48" s="1517" t="s">
        <v>1393</v>
      </c>
      <c r="N48" s="1689" t="s">
        <v>116</v>
      </c>
      <c r="O48" s="1645"/>
      <c r="P48" s="245" t="b">
        <f t="shared" si="3"/>
        <v>0</v>
      </c>
      <c r="R48" s="245" t="b">
        <f t="shared" si="1"/>
        <v>0</v>
      </c>
      <c r="AO48" s="238" t="str">
        <f t="shared" si="2"/>
        <v>SG48</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15</v>
      </c>
      <c r="H49" s="1516">
        <v>9</v>
      </c>
      <c r="I49" s="1514"/>
      <c r="J49" s="1515"/>
      <c r="K49" s="1516"/>
      <c r="L49" s="1517" t="s">
        <v>703</v>
      </c>
      <c r="M49" s="1517" t="s">
        <v>1393</v>
      </c>
      <c r="N49" s="1689" t="s">
        <v>116</v>
      </c>
      <c r="O49" s="1645"/>
      <c r="P49" s="245" t="b">
        <f t="shared" si="3"/>
        <v>0</v>
      </c>
      <c r="R49" s="245" t="b">
        <f t="shared" si="1"/>
        <v>0</v>
      </c>
      <c r="AO49" s="238" t="str">
        <f t="shared" si="2"/>
        <v>SG48</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23</v>
      </c>
      <c r="H50" s="1516">
        <v>9</v>
      </c>
      <c r="I50" s="1514"/>
      <c r="J50" s="1515"/>
      <c r="K50" s="1516"/>
      <c r="L50" s="1517" t="s">
        <v>703</v>
      </c>
      <c r="M50" s="1517" t="s">
        <v>1393</v>
      </c>
      <c r="N50" s="1689" t="s">
        <v>116</v>
      </c>
      <c r="O50" s="1645"/>
      <c r="P50" s="245" t="b">
        <f t="shared" si="3"/>
        <v>0</v>
      </c>
      <c r="R50" s="245" t="b">
        <f t="shared" si="1"/>
        <v>0</v>
      </c>
      <c r="AO50" s="238" t="str">
        <f t="shared" si="2"/>
        <v>SG48</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31</v>
      </c>
      <c r="H51" s="1516">
        <v>9</v>
      </c>
      <c r="I51" s="1514"/>
      <c r="J51" s="1515"/>
      <c r="K51" s="1516"/>
      <c r="L51" s="1517" t="s">
        <v>703</v>
      </c>
      <c r="M51" s="1517" t="s">
        <v>1393</v>
      </c>
      <c r="N51" s="1689" t="s">
        <v>116</v>
      </c>
      <c r="O51" s="1645"/>
      <c r="P51" s="245" t="b">
        <f t="shared" si="3"/>
        <v>0</v>
      </c>
      <c r="R51" s="245" t="b">
        <f t="shared" si="1"/>
        <v>0</v>
      </c>
      <c r="AO51" s="238" t="str">
        <f t="shared" si="2"/>
        <v>SG48</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532</v>
      </c>
      <c r="G52" s="1515">
        <v>39</v>
      </c>
      <c r="H52" s="1516">
        <v>9</v>
      </c>
      <c r="I52" s="1514"/>
      <c r="J52" s="1515"/>
      <c r="K52" s="1516"/>
      <c r="L52" s="1517" t="s">
        <v>703</v>
      </c>
      <c r="M52" s="1517" t="s">
        <v>1393</v>
      </c>
      <c r="N52" s="1689" t="s">
        <v>116</v>
      </c>
      <c r="O52" s="1645"/>
      <c r="P52" s="245" t="b">
        <f t="shared" si="3"/>
        <v>0</v>
      </c>
      <c r="R52" s="245" t="b">
        <f t="shared" si="1"/>
        <v>0</v>
      </c>
      <c r="AO52" s="238" t="str">
        <f t="shared" si="2"/>
        <v>SG48</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47</v>
      </c>
      <c r="H53" s="1516">
        <v>9</v>
      </c>
      <c r="I53" s="1514"/>
      <c r="J53" s="1515"/>
      <c r="K53" s="1516"/>
      <c r="L53" s="1517" t="s">
        <v>703</v>
      </c>
      <c r="M53" s="1517" t="s">
        <v>1393</v>
      </c>
      <c r="N53" s="1689" t="s">
        <v>116</v>
      </c>
      <c r="O53" s="1645"/>
      <c r="P53" s="245" t="b">
        <f t="shared" si="3"/>
        <v>0</v>
      </c>
      <c r="R53" s="245" t="b">
        <f t="shared" si="1"/>
        <v>0</v>
      </c>
      <c r="AO53" s="238" t="str">
        <f t="shared" si="2"/>
        <v>SG48</v>
      </c>
      <c r="AP53" s="945" t="b">
        <v>0</v>
      </c>
      <c r="AQ53" s="1323"/>
      <c r="AR53" s="1324"/>
      <c r="AS53" s="1324"/>
      <c r="AT53" s="1324"/>
      <c r="AU53" s="1324"/>
      <c r="AV53" s="1324"/>
      <c r="AW53" s="1324"/>
      <c r="AX53" s="1324"/>
      <c r="AY53" s="1324"/>
      <c r="AZ53" s="1324"/>
      <c r="BA53" s="1533"/>
      <c r="BB53" s="1533"/>
      <c r="BC53" s="1534"/>
    </row>
    <row r="54" spans="1:55" ht="14.1" customHeight="1" x14ac:dyDescent="0.2">
      <c r="A54" s="1511" t="s">
        <v>2000</v>
      </c>
      <c r="B54" s="1512" t="s">
        <v>155</v>
      </c>
      <c r="C54" s="1512" t="s">
        <v>165</v>
      </c>
      <c r="D54" s="1512" t="s">
        <v>145</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SG49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155</v>
      </c>
      <c r="C55" s="1521" t="s">
        <v>165</v>
      </c>
      <c r="D55" s="1521" t="s">
        <v>159</v>
      </c>
      <c r="E55" s="1522"/>
      <c r="F55" s="1523">
        <v>250</v>
      </c>
      <c r="G55" s="1524"/>
      <c r="H55" s="1525"/>
      <c r="I55" s="1523"/>
      <c r="J55" s="1524"/>
      <c r="K55" s="1525"/>
      <c r="L55" s="1526" t="s">
        <v>116</v>
      </c>
      <c r="M55" s="1526" t="s">
        <v>1393</v>
      </c>
      <c r="N55" s="1690"/>
      <c r="O55" s="1645"/>
      <c r="P55" s="245" t="b">
        <f t="shared" si="3"/>
        <v>0</v>
      </c>
      <c r="R55" s="245" t="b">
        <f t="shared" si="1"/>
        <v>1</v>
      </c>
      <c r="AO55" s="238" t="str">
        <f t="shared" si="2"/>
        <v>SG49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69" priority="4" stopIfTrue="1">
      <formula>AND($B14="NU",F14&lt;0)</formula>
    </cfRule>
  </conditionalFormatting>
  <conditionalFormatting sqref="B14:B55">
    <cfRule type="expression" dxfId="168" priority="5" stopIfTrue="1">
      <formula>OR(AND($B14="NU",F14&lt;0),AND($B14="NU",I14&lt;0))</formula>
    </cfRule>
  </conditionalFormatting>
  <conditionalFormatting sqref="G14:H55 J14:L55">
    <cfRule type="expression" dxfId="167" priority="6" stopIfTrue="1">
      <formula>$R14</formula>
    </cfRule>
  </conditionalFormatting>
  <conditionalFormatting sqref="I2:K4">
    <cfRule type="cellIs" dxfId="166" priority="7" stopIfTrue="1" operator="equal">
      <formula>""</formula>
    </cfRule>
  </conditionalFormatting>
  <conditionalFormatting sqref="I14:I55">
    <cfRule type="expression" dxfId="165" priority="8" stopIfTrue="1">
      <formula>OR($R14,$B14="CZ",AND($B14="NU",I14&lt;0))</formula>
    </cfRule>
  </conditionalFormatting>
  <conditionalFormatting sqref="A14:A55">
    <cfRule type="expression" dxfId="164" priority="3">
      <formula>NOT($P14)</formula>
    </cfRule>
  </conditionalFormatting>
  <conditionalFormatting sqref="B14:D55">
    <cfRule type="expression" dxfId="1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62" priority="9">
      <formula>AND(NOT($P14),$T$1)</formula>
    </cfRule>
    <cfRule type="expression" dxfId="161" priority="10">
      <formula>AND($AP14,$S$1="M")</formula>
    </cfRule>
  </conditionalFormatting>
  <conditionalFormatting sqref="L14:L55">
    <cfRule type="expression" dxfId="1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C2477698-36DE-4E4E-A6E9-F4843899B9E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59F1F06-E440-440A-A1BC-9AD341C3CD7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C8E74DD-5370-4BA7-8A32-6E9726D12FE7}">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DC639AA-F625-47F8-95C0-C6B50175C09A}">
      <formula1>IF($CA$14,$CA$16:$CA$21,$CB$16:$CB$19)</formula1>
    </dataValidation>
    <dataValidation type="list" allowBlank="1" showErrorMessage="1" errorTitle="Invalid Type" error="You MUST select a Type from the dropdown list provided._x000a__x000a_Also, make sure your Cap Lock is turned on." sqref="B14:B55" xr:uid="{C5D5E9BF-0F79-439B-AC78-E6E56C2220DB}">
      <formula1>$BF$15:$BU$15</formula1>
    </dataValidation>
    <dataValidation allowBlank="1" showInputMessage="1" errorTitle="Invalid Load Case" error="You MUST use a Load Case from the list provided." sqref="M14:M55" xr:uid="{77AD4017-30B5-4586-8EB0-FB37B662E5D3}"/>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88255-5F8C-494D-B115-D6F05DC6FAA2}">
  <sheetPr codeName="Sheet5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154</v>
      </c>
      <c r="C14" s="1505" t="s">
        <v>165</v>
      </c>
      <c r="D14" s="1505" t="s">
        <v>145</v>
      </c>
      <c r="E14" s="1688"/>
      <c r="F14" s="1506">
        <v>1500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2220</v>
      </c>
      <c r="G15" s="1515">
        <v>24</v>
      </c>
      <c r="H15" s="1516">
        <v>0</v>
      </c>
      <c r="I15" s="1514">
        <v>2220</v>
      </c>
      <c r="J15" s="1515">
        <v>48</v>
      </c>
      <c r="K15" s="1516">
        <v>0</v>
      </c>
      <c r="L15" s="1517" t="s">
        <v>700</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15</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23</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31</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39</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47</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7</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15</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23</v>
      </c>
      <c r="H24" s="1516">
        <v>9</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31</v>
      </c>
      <c r="H25" s="1516">
        <v>9</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39</v>
      </c>
      <c r="H26" s="1516">
        <v>9</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47</v>
      </c>
      <c r="H27" s="1516">
        <v>9</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t="s">
        <v>2001</v>
      </c>
      <c r="B28" s="1512" t="s">
        <v>155</v>
      </c>
      <c r="C28" s="1512" t="s">
        <v>165</v>
      </c>
      <c r="D28" s="1512" t="s">
        <v>145</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SG50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155</v>
      </c>
      <c r="C29" s="1512" t="s">
        <v>165</v>
      </c>
      <c r="D29" s="1512" t="s">
        <v>159</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SG50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1500</v>
      </c>
      <c r="G30" s="1515"/>
      <c r="H30" s="1516"/>
      <c r="I30" s="1514"/>
      <c r="J30" s="1515"/>
      <c r="K30" s="1516"/>
      <c r="L30" s="1517" t="s">
        <v>116</v>
      </c>
      <c r="M30" s="1518" t="s">
        <v>1393</v>
      </c>
      <c r="N30" s="1689" t="s">
        <v>116</v>
      </c>
      <c r="O30" s="1645"/>
      <c r="P30" s="245" t="b">
        <f t="shared" si="3"/>
        <v>0</v>
      </c>
      <c r="R30" s="245" t="b">
        <f t="shared" si="1"/>
        <v>1</v>
      </c>
      <c r="AO30" s="238" t="str">
        <f t="shared" si="2"/>
        <v>SG50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7</v>
      </c>
      <c r="H31" s="1516">
        <v>9</v>
      </c>
      <c r="I31" s="1514"/>
      <c r="J31" s="1515"/>
      <c r="K31" s="1516"/>
      <c r="L31" s="1517" t="s">
        <v>703</v>
      </c>
      <c r="M31" s="1517" t="s">
        <v>1393</v>
      </c>
      <c r="N31" s="1689" t="s">
        <v>116</v>
      </c>
      <c r="O31" s="1645"/>
      <c r="P31" s="245" t="b">
        <f t="shared" si="3"/>
        <v>0</v>
      </c>
      <c r="R31" s="245" t="b">
        <f t="shared" si="1"/>
        <v>0</v>
      </c>
      <c r="AO31" s="238" t="str">
        <f t="shared" si="2"/>
        <v>SG50</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15</v>
      </c>
      <c r="H32" s="1516">
        <v>9</v>
      </c>
      <c r="I32" s="1514"/>
      <c r="J32" s="1515"/>
      <c r="K32" s="1516"/>
      <c r="L32" s="1517" t="s">
        <v>703</v>
      </c>
      <c r="M32" s="1517" t="s">
        <v>1393</v>
      </c>
      <c r="N32" s="1689" t="s">
        <v>116</v>
      </c>
      <c r="O32" s="1645"/>
      <c r="P32" s="245" t="b">
        <f t="shared" si="3"/>
        <v>0</v>
      </c>
      <c r="R32" s="245" t="b">
        <f t="shared" si="1"/>
        <v>0</v>
      </c>
      <c r="AO32" s="238" t="str">
        <f t="shared" si="2"/>
        <v>SG50</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23</v>
      </c>
      <c r="H33" s="1516">
        <v>9</v>
      </c>
      <c r="I33" s="1514"/>
      <c r="J33" s="1515"/>
      <c r="K33" s="1516"/>
      <c r="L33" s="1517" t="s">
        <v>703</v>
      </c>
      <c r="M33" s="1517" t="s">
        <v>1393</v>
      </c>
      <c r="N33" s="1689" t="s">
        <v>116</v>
      </c>
      <c r="O33" s="1645"/>
      <c r="P33" s="245" t="b">
        <f t="shared" si="3"/>
        <v>0</v>
      </c>
      <c r="R33" s="245" t="b">
        <f t="shared" si="1"/>
        <v>0</v>
      </c>
      <c r="AO33" s="238" t="str">
        <f t="shared" si="2"/>
        <v>SG50</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31</v>
      </c>
      <c r="H34" s="1516">
        <v>9</v>
      </c>
      <c r="I34" s="1514"/>
      <c r="J34" s="1515"/>
      <c r="K34" s="1516"/>
      <c r="L34" s="1517" t="s">
        <v>703</v>
      </c>
      <c r="M34" s="1517" t="s">
        <v>1393</v>
      </c>
      <c r="N34" s="1689" t="s">
        <v>116</v>
      </c>
      <c r="O34" s="1645"/>
      <c r="P34" s="245" t="b">
        <f t="shared" si="3"/>
        <v>0</v>
      </c>
      <c r="R34" s="245" t="b">
        <f t="shared" si="1"/>
        <v>0</v>
      </c>
      <c r="AO34" s="238" t="str">
        <f t="shared" si="2"/>
        <v>SG50</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39</v>
      </c>
      <c r="H35" s="1516">
        <v>9</v>
      </c>
      <c r="I35" s="1514"/>
      <c r="J35" s="1515"/>
      <c r="K35" s="1516"/>
      <c r="L35" s="1517" t="s">
        <v>703</v>
      </c>
      <c r="M35" s="1517" t="s">
        <v>1393</v>
      </c>
      <c r="N35" s="1689" t="s">
        <v>116</v>
      </c>
      <c r="O35" s="1645"/>
      <c r="P35" s="245" t="b">
        <f t="shared" si="3"/>
        <v>0</v>
      </c>
      <c r="R35" s="245" t="b">
        <f t="shared" si="1"/>
        <v>0</v>
      </c>
      <c r="AO35" s="238" t="str">
        <f t="shared" si="2"/>
        <v>SG50</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47</v>
      </c>
      <c r="H36" s="1516">
        <v>9</v>
      </c>
      <c r="I36" s="1514"/>
      <c r="J36" s="1515"/>
      <c r="K36" s="1516"/>
      <c r="L36" s="1517" t="s">
        <v>703</v>
      </c>
      <c r="M36" s="1517" t="s">
        <v>1393</v>
      </c>
      <c r="N36" s="1689" t="s">
        <v>116</v>
      </c>
      <c r="O36" s="1645"/>
      <c r="P36" s="245" t="b">
        <f t="shared" si="3"/>
        <v>0</v>
      </c>
      <c r="R36" s="245" t="b">
        <f t="shared" si="1"/>
        <v>0</v>
      </c>
      <c r="AO36" s="238" t="str">
        <f t="shared" si="2"/>
        <v>SG50</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7</v>
      </c>
      <c r="H37" s="1516">
        <v>9</v>
      </c>
      <c r="I37" s="1514"/>
      <c r="J37" s="1515"/>
      <c r="K37" s="1516"/>
      <c r="L37" s="1517" t="s">
        <v>703</v>
      </c>
      <c r="M37" s="1517" t="s">
        <v>1393</v>
      </c>
      <c r="N37" s="1689" t="s">
        <v>116</v>
      </c>
      <c r="O37" s="1645"/>
      <c r="P37" s="245" t="b">
        <f t="shared" si="3"/>
        <v>0</v>
      </c>
      <c r="R37" s="245" t="b">
        <f t="shared" si="1"/>
        <v>0</v>
      </c>
      <c r="AO37" s="238" t="str">
        <f t="shared" si="2"/>
        <v>SG50</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15</v>
      </c>
      <c r="H38" s="1516">
        <v>9</v>
      </c>
      <c r="I38" s="1514"/>
      <c r="J38" s="1515"/>
      <c r="K38" s="1516"/>
      <c r="L38" s="1517" t="s">
        <v>703</v>
      </c>
      <c r="M38" s="1517" t="s">
        <v>1393</v>
      </c>
      <c r="N38" s="1689" t="s">
        <v>116</v>
      </c>
      <c r="O38" s="1645"/>
      <c r="P38" s="245" t="b">
        <f t="shared" si="3"/>
        <v>0</v>
      </c>
      <c r="R38" s="245" t="b">
        <f t="shared" si="1"/>
        <v>0</v>
      </c>
      <c r="AO38" s="238" t="str">
        <f t="shared" si="2"/>
        <v>SG50</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23</v>
      </c>
      <c r="H39" s="1516">
        <v>9</v>
      </c>
      <c r="I39" s="1514"/>
      <c r="J39" s="1515"/>
      <c r="K39" s="1516"/>
      <c r="L39" s="1517" t="s">
        <v>703</v>
      </c>
      <c r="M39" s="1517" t="s">
        <v>1393</v>
      </c>
      <c r="N39" s="1689" t="s">
        <v>116</v>
      </c>
      <c r="O39" s="1645"/>
      <c r="P39" s="245" t="b">
        <f t="shared" si="3"/>
        <v>0</v>
      </c>
      <c r="R39" s="245" t="b">
        <f t="shared" si="1"/>
        <v>0</v>
      </c>
      <c r="AO39" s="238" t="str">
        <f t="shared" si="2"/>
        <v>SG50</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31</v>
      </c>
      <c r="H40" s="1516">
        <v>9</v>
      </c>
      <c r="I40" s="1514"/>
      <c r="J40" s="1515"/>
      <c r="K40" s="1516"/>
      <c r="L40" s="1517" t="s">
        <v>703</v>
      </c>
      <c r="M40" s="1517" t="s">
        <v>1393</v>
      </c>
      <c r="N40" s="1689" t="s">
        <v>116</v>
      </c>
      <c r="O40" s="1645"/>
      <c r="P40" s="245" t="b">
        <f t="shared" si="3"/>
        <v>0</v>
      </c>
      <c r="R40" s="245" t="b">
        <f t="shared" si="1"/>
        <v>0</v>
      </c>
      <c r="AO40" s="238" t="str">
        <f t="shared" si="2"/>
        <v>SG50</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39</v>
      </c>
      <c r="H41" s="1516">
        <v>9</v>
      </c>
      <c r="I41" s="1514"/>
      <c r="J41" s="1515"/>
      <c r="K41" s="1516"/>
      <c r="L41" s="1517" t="s">
        <v>703</v>
      </c>
      <c r="M41" s="1517" t="s">
        <v>1393</v>
      </c>
      <c r="N41" s="1689" t="s">
        <v>116</v>
      </c>
      <c r="O41" s="1645"/>
      <c r="P41" s="245" t="b">
        <f t="shared" si="3"/>
        <v>0</v>
      </c>
      <c r="R41" s="245" t="b">
        <f t="shared" si="1"/>
        <v>0</v>
      </c>
      <c r="AO41" s="238" t="str">
        <f t="shared" si="2"/>
        <v>SG50</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47</v>
      </c>
      <c r="H42" s="1516">
        <v>9</v>
      </c>
      <c r="I42" s="1514"/>
      <c r="J42" s="1515"/>
      <c r="K42" s="1516"/>
      <c r="L42" s="1517" t="s">
        <v>703</v>
      </c>
      <c r="M42" s="1517" t="s">
        <v>1393</v>
      </c>
      <c r="N42" s="1689" t="s">
        <v>116</v>
      </c>
      <c r="O42" s="1645"/>
      <c r="P42" s="245" t="b">
        <f t="shared" si="3"/>
        <v>0</v>
      </c>
      <c r="R42" s="245" t="b">
        <f t="shared" si="1"/>
        <v>0</v>
      </c>
      <c r="AO42" s="238" t="str">
        <f t="shared" si="2"/>
        <v>SG50</v>
      </c>
      <c r="AP42" s="945" t="b">
        <v>0</v>
      </c>
      <c r="AQ42" s="1323"/>
      <c r="AR42" s="1324"/>
      <c r="AS42" s="1324"/>
      <c r="AT42" s="1324"/>
      <c r="AU42" s="1324"/>
      <c r="AV42" s="1324"/>
      <c r="AW42" s="1324"/>
      <c r="AX42" s="1324"/>
      <c r="AY42" s="1324"/>
      <c r="AZ42" s="1324"/>
      <c r="BA42" s="1533"/>
      <c r="BB42" s="1533"/>
      <c r="BC42" s="1534"/>
    </row>
    <row r="43" spans="1:55" ht="14.1" customHeight="1" x14ac:dyDescent="0.2">
      <c r="A43" s="1511" t="s">
        <v>2002</v>
      </c>
      <c r="B43" s="1512" t="s">
        <v>155</v>
      </c>
      <c r="C43" s="1512" t="s">
        <v>165</v>
      </c>
      <c r="D43" s="1512" t="s">
        <v>145</v>
      </c>
      <c r="E43" s="1513"/>
      <c r="F43" s="1514">
        <v>250</v>
      </c>
      <c r="G43" s="1515"/>
      <c r="H43" s="1516"/>
      <c r="I43" s="1514"/>
      <c r="J43" s="1515"/>
      <c r="K43" s="1516"/>
      <c r="L43" s="1517" t="s">
        <v>116</v>
      </c>
      <c r="M43" s="1517" t="s">
        <v>1393</v>
      </c>
      <c r="N43" s="1689" t="s">
        <v>116</v>
      </c>
      <c r="O43" s="1645"/>
      <c r="P43" s="245" t="b">
        <f t="shared" si="3"/>
        <v>0</v>
      </c>
      <c r="R43" s="245" t="b">
        <f t="shared" si="1"/>
        <v>1</v>
      </c>
      <c r="AO43" s="238" t="str">
        <f t="shared" si="2"/>
        <v>SG51</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155</v>
      </c>
      <c r="C44" s="1512" t="s">
        <v>165</v>
      </c>
      <c r="D44" s="1512" t="s">
        <v>159</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SG51</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154</v>
      </c>
      <c r="C45" s="1512" t="s">
        <v>165</v>
      </c>
      <c r="D45" s="1512" t="s">
        <v>145</v>
      </c>
      <c r="E45" s="1513"/>
      <c r="F45" s="1514">
        <v>1500</v>
      </c>
      <c r="G45" s="1515"/>
      <c r="H45" s="1516"/>
      <c r="I45" s="1514"/>
      <c r="J45" s="1515"/>
      <c r="K45" s="1516"/>
      <c r="L45" s="1517" t="s">
        <v>116</v>
      </c>
      <c r="M45" s="1517" t="s">
        <v>1393</v>
      </c>
      <c r="N45" s="1689" t="s">
        <v>116</v>
      </c>
      <c r="O45" s="1645"/>
      <c r="P45" s="245" t="b">
        <f t="shared" si="3"/>
        <v>0</v>
      </c>
      <c r="R45" s="245" t="b">
        <f t="shared" si="1"/>
        <v>1</v>
      </c>
      <c r="AO45" s="238" t="str">
        <f t="shared" si="2"/>
        <v>SG51</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720</v>
      </c>
      <c r="G46" s="1515"/>
      <c r="H46" s="1516"/>
      <c r="I46" s="1514"/>
      <c r="J46" s="1515"/>
      <c r="K46" s="1516"/>
      <c r="L46" s="1517" t="s">
        <v>116</v>
      </c>
      <c r="M46" s="1517" t="s">
        <v>1393</v>
      </c>
      <c r="N46" s="1689" t="s">
        <v>116</v>
      </c>
      <c r="O46" s="1645"/>
      <c r="P46" s="245" t="b">
        <f t="shared" si="3"/>
        <v>0</v>
      </c>
      <c r="R46" s="245" t="b">
        <f t="shared" si="1"/>
        <v>1</v>
      </c>
      <c r="AO46" s="238" t="str">
        <f t="shared" si="2"/>
        <v>SG51</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7</v>
      </c>
      <c r="H47" s="1516">
        <v>9</v>
      </c>
      <c r="I47" s="1514"/>
      <c r="J47" s="1515"/>
      <c r="K47" s="1516"/>
      <c r="L47" s="1517" t="s">
        <v>703</v>
      </c>
      <c r="M47" s="1517" t="s">
        <v>1393</v>
      </c>
      <c r="N47" s="1689" t="s">
        <v>116</v>
      </c>
      <c r="O47" s="1645"/>
      <c r="P47" s="245" t="b">
        <f t="shared" si="3"/>
        <v>0</v>
      </c>
      <c r="R47" s="245" t="b">
        <f t="shared" si="1"/>
        <v>0</v>
      </c>
      <c r="AO47" s="238" t="str">
        <f t="shared" si="2"/>
        <v>SG51</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15</v>
      </c>
      <c r="H48" s="1516">
        <v>9</v>
      </c>
      <c r="I48" s="1514"/>
      <c r="J48" s="1515"/>
      <c r="K48" s="1516"/>
      <c r="L48" s="1517" t="s">
        <v>703</v>
      </c>
      <c r="M48" s="1517" t="s">
        <v>1393</v>
      </c>
      <c r="N48" s="1689" t="s">
        <v>116</v>
      </c>
      <c r="O48" s="1645"/>
      <c r="P48" s="245" t="b">
        <f t="shared" si="3"/>
        <v>0</v>
      </c>
      <c r="R48" s="245" t="b">
        <f t="shared" si="1"/>
        <v>0</v>
      </c>
      <c r="AO48" s="238" t="str">
        <f t="shared" si="2"/>
        <v>SG51</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23</v>
      </c>
      <c r="H49" s="1516">
        <v>9</v>
      </c>
      <c r="I49" s="1514"/>
      <c r="J49" s="1515"/>
      <c r="K49" s="1516"/>
      <c r="L49" s="1517" t="s">
        <v>703</v>
      </c>
      <c r="M49" s="1517" t="s">
        <v>1393</v>
      </c>
      <c r="N49" s="1689" t="s">
        <v>116</v>
      </c>
      <c r="O49" s="1645"/>
      <c r="P49" s="245" t="b">
        <f t="shared" si="3"/>
        <v>0</v>
      </c>
      <c r="R49" s="245" t="b">
        <f t="shared" si="1"/>
        <v>0</v>
      </c>
      <c r="AO49" s="238" t="str">
        <f t="shared" si="2"/>
        <v>SG51</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31</v>
      </c>
      <c r="H50" s="1516">
        <v>9</v>
      </c>
      <c r="I50" s="1514"/>
      <c r="J50" s="1515"/>
      <c r="K50" s="1516"/>
      <c r="L50" s="1517" t="s">
        <v>703</v>
      </c>
      <c r="M50" s="1517" t="s">
        <v>1393</v>
      </c>
      <c r="N50" s="1689" t="s">
        <v>116</v>
      </c>
      <c r="O50" s="1645"/>
      <c r="P50" s="245" t="b">
        <f t="shared" si="3"/>
        <v>0</v>
      </c>
      <c r="R50" s="245" t="b">
        <f t="shared" si="1"/>
        <v>0</v>
      </c>
      <c r="AO50" s="238" t="str">
        <f t="shared" si="2"/>
        <v>SG51</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39</v>
      </c>
      <c r="H51" s="1516">
        <v>9</v>
      </c>
      <c r="I51" s="1514"/>
      <c r="J51" s="1515"/>
      <c r="K51" s="1516"/>
      <c r="L51" s="1517" t="s">
        <v>703</v>
      </c>
      <c r="M51" s="1517" t="s">
        <v>1393</v>
      </c>
      <c r="N51" s="1689" t="s">
        <v>116</v>
      </c>
      <c r="O51" s="1645"/>
      <c r="P51" s="245" t="b">
        <f t="shared" si="3"/>
        <v>0</v>
      </c>
      <c r="R51" s="245" t="b">
        <f t="shared" si="1"/>
        <v>0</v>
      </c>
      <c r="AO51" s="238" t="str">
        <f t="shared" si="2"/>
        <v>SG51</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47</v>
      </c>
      <c r="H52" s="1516">
        <v>9</v>
      </c>
      <c r="I52" s="1514"/>
      <c r="J52" s="1515"/>
      <c r="K52" s="1516"/>
      <c r="L52" s="1517" t="s">
        <v>703</v>
      </c>
      <c r="M52" s="1517" t="s">
        <v>1393</v>
      </c>
      <c r="N52" s="1689" t="s">
        <v>116</v>
      </c>
      <c r="O52" s="1645"/>
      <c r="P52" s="245" t="b">
        <f t="shared" si="3"/>
        <v>0</v>
      </c>
      <c r="R52" s="245" t="b">
        <f t="shared" si="1"/>
        <v>0</v>
      </c>
      <c r="AO52" s="238" t="str">
        <f t="shared" si="2"/>
        <v>SG51</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7</v>
      </c>
      <c r="H53" s="1516">
        <v>9</v>
      </c>
      <c r="I53" s="1514"/>
      <c r="J53" s="1515"/>
      <c r="K53" s="1516"/>
      <c r="L53" s="1517" t="s">
        <v>703</v>
      </c>
      <c r="M53" s="1517" t="s">
        <v>1393</v>
      </c>
      <c r="N53" s="1689" t="s">
        <v>116</v>
      </c>
      <c r="O53" s="1645"/>
      <c r="P53" s="245" t="b">
        <f t="shared" si="3"/>
        <v>0</v>
      </c>
      <c r="R53" s="245" t="b">
        <f t="shared" si="1"/>
        <v>0</v>
      </c>
      <c r="AO53" s="238" t="str">
        <f t="shared" si="2"/>
        <v>SG51</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15</v>
      </c>
      <c r="H54" s="1516">
        <v>9</v>
      </c>
      <c r="I54" s="1514"/>
      <c r="J54" s="1515"/>
      <c r="K54" s="1516"/>
      <c r="L54" s="1517" t="s">
        <v>703</v>
      </c>
      <c r="M54" s="1517" t="s">
        <v>1393</v>
      </c>
      <c r="N54" s="1689" t="s">
        <v>116</v>
      </c>
      <c r="O54" s="1645"/>
      <c r="P54" s="245" t="b">
        <f t="shared" si="3"/>
        <v>0</v>
      </c>
      <c r="R54" s="245" t="b">
        <f t="shared" si="1"/>
        <v>0</v>
      </c>
      <c r="AO54" s="238" t="str">
        <f t="shared" si="2"/>
        <v>SG51</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23</v>
      </c>
      <c r="H55" s="1525">
        <v>9</v>
      </c>
      <c r="I55" s="1523"/>
      <c r="J55" s="1524"/>
      <c r="K55" s="1525"/>
      <c r="L55" s="1526" t="s">
        <v>703</v>
      </c>
      <c r="M55" s="1526" t="s">
        <v>1393</v>
      </c>
      <c r="N55" s="1690"/>
      <c r="O55" s="1645"/>
      <c r="P55" s="245" t="b">
        <f t="shared" si="3"/>
        <v>0</v>
      </c>
      <c r="R55" s="245" t="b">
        <f t="shared" si="1"/>
        <v>0</v>
      </c>
      <c r="AO55" s="238" t="str">
        <f t="shared" si="2"/>
        <v>SG51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59" priority="4" stopIfTrue="1">
      <formula>AND($B14="NU",F14&lt;0)</formula>
    </cfRule>
  </conditionalFormatting>
  <conditionalFormatting sqref="B14:B55">
    <cfRule type="expression" dxfId="158" priority="5" stopIfTrue="1">
      <formula>OR(AND($B14="NU",F14&lt;0),AND($B14="NU",I14&lt;0))</formula>
    </cfRule>
  </conditionalFormatting>
  <conditionalFormatting sqref="G14:H55 J14:L55">
    <cfRule type="expression" dxfId="157" priority="6" stopIfTrue="1">
      <formula>$R14</formula>
    </cfRule>
  </conditionalFormatting>
  <conditionalFormatting sqref="I2:K4">
    <cfRule type="cellIs" dxfId="156" priority="7" stopIfTrue="1" operator="equal">
      <formula>""</formula>
    </cfRule>
  </conditionalFormatting>
  <conditionalFormatting sqref="I14:I55">
    <cfRule type="expression" dxfId="155" priority="8" stopIfTrue="1">
      <formula>OR($R14,$B14="CZ",AND($B14="NU",I14&lt;0))</formula>
    </cfRule>
  </conditionalFormatting>
  <conditionalFormatting sqref="A14:A55">
    <cfRule type="expression" dxfId="154" priority="3">
      <formula>NOT($P14)</formula>
    </cfRule>
  </conditionalFormatting>
  <conditionalFormatting sqref="B14:D55">
    <cfRule type="expression" dxfId="1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52" priority="9">
      <formula>AND(NOT($P14),$T$1)</formula>
    </cfRule>
    <cfRule type="expression" dxfId="151" priority="10">
      <formula>AND($AP14,$S$1="M")</formula>
    </cfRule>
  </conditionalFormatting>
  <conditionalFormatting sqref="L14:L55">
    <cfRule type="expression" dxfId="1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3CAFEE19-C8AE-4122-9E93-E1CC1993B57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E29C10D-B5C4-41FA-A830-16C14E8DA46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05B0955-679C-4E9F-B049-C86A56C2733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F3D6F0F-ED83-4889-A62B-4DDCB2CC9C71}">
      <formula1>IF($CA$14,$CA$16:$CA$21,$CB$16:$CB$19)</formula1>
    </dataValidation>
    <dataValidation type="list" allowBlank="1" showErrorMessage="1" errorTitle="Invalid Type" error="You MUST select a Type from the dropdown list provided._x000a__x000a_Also, make sure your Cap Lock is turned on." sqref="B14:B55" xr:uid="{6653DFA6-FFDC-435E-B696-2CC886BC9F21}">
      <formula1>$BF$15:$BU$15</formula1>
    </dataValidation>
    <dataValidation allowBlank="1" showInputMessage="1" errorTitle="Invalid Load Case" error="You MUST use a Load Case from the list provided." sqref="M14:M55" xr:uid="{99833C88-F64E-40AE-8C05-EF09B00C11F6}"/>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2E533-47B6-4D13-AA90-284B1296799D}">
  <sheetPr codeName="Sheet5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2003</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SG52</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SG52</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SG52</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154</v>
      </c>
      <c r="C20" s="1512" t="s">
        <v>165</v>
      </c>
      <c r="D20" s="1512" t="s">
        <v>145</v>
      </c>
      <c r="E20" s="1513"/>
      <c r="F20" s="1514">
        <v>2220</v>
      </c>
      <c r="G20" s="1515"/>
      <c r="H20" s="1516"/>
      <c r="I20" s="1514"/>
      <c r="J20" s="1515"/>
      <c r="K20" s="1516"/>
      <c r="L20" s="1517" t="s">
        <v>116</v>
      </c>
      <c r="M20" s="1518" t="s">
        <v>1393</v>
      </c>
      <c r="N20" s="1519"/>
      <c r="O20" s="1646"/>
      <c r="P20" s="245" t="b">
        <f t="shared" si="3"/>
        <v>0</v>
      </c>
      <c r="R20" s="245" t="b">
        <f t="shared" si="1"/>
        <v>1</v>
      </c>
      <c r="AO20" s="238" t="str">
        <f t="shared" si="2"/>
        <v>SG52</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7</v>
      </c>
      <c r="H21" s="1516">
        <v>9</v>
      </c>
      <c r="I21" s="1514"/>
      <c r="J21" s="1515"/>
      <c r="K21" s="1516"/>
      <c r="L21" s="1517" t="s">
        <v>703</v>
      </c>
      <c r="M21" s="1518" t="s">
        <v>1393</v>
      </c>
      <c r="N21" s="1519"/>
      <c r="O21" s="1646"/>
      <c r="P21" s="245" t="b">
        <f t="shared" si="3"/>
        <v>0</v>
      </c>
      <c r="R21" s="245" t="b">
        <f t="shared" si="1"/>
        <v>0</v>
      </c>
      <c r="AO21" s="238" t="str">
        <f t="shared" si="2"/>
        <v>SG52</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15</v>
      </c>
      <c r="H22" s="1516">
        <v>9</v>
      </c>
      <c r="I22" s="1514"/>
      <c r="J22" s="1515"/>
      <c r="K22" s="1516"/>
      <c r="L22" s="1517" t="s">
        <v>703</v>
      </c>
      <c r="M22" s="1518" t="s">
        <v>1393</v>
      </c>
      <c r="N22" s="1519"/>
      <c r="O22" s="1646"/>
      <c r="P22" s="245" t="b">
        <f t="shared" si="3"/>
        <v>0</v>
      </c>
      <c r="R22" s="245" t="b">
        <f t="shared" si="1"/>
        <v>0</v>
      </c>
      <c r="AO22" s="238" t="str">
        <f t="shared" si="2"/>
        <v>SG52</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23</v>
      </c>
      <c r="H23" s="1516">
        <v>9</v>
      </c>
      <c r="I23" s="1514"/>
      <c r="J23" s="1515"/>
      <c r="K23" s="1516"/>
      <c r="L23" s="1517" t="s">
        <v>703</v>
      </c>
      <c r="M23" s="1518" t="s">
        <v>1393</v>
      </c>
      <c r="N23" s="1519"/>
      <c r="O23" s="1646"/>
      <c r="P23" s="245" t="b">
        <f t="shared" si="3"/>
        <v>0</v>
      </c>
      <c r="R23" s="245" t="b">
        <f t="shared" si="1"/>
        <v>0</v>
      </c>
      <c r="AO23" s="238" t="str">
        <f t="shared" si="2"/>
        <v>SG52</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31</v>
      </c>
      <c r="H24" s="1516">
        <v>9</v>
      </c>
      <c r="I24" s="1514"/>
      <c r="J24" s="1515"/>
      <c r="K24" s="1516"/>
      <c r="L24" s="1517" t="s">
        <v>703</v>
      </c>
      <c r="M24" s="1518" t="s">
        <v>1393</v>
      </c>
      <c r="N24" s="1519"/>
      <c r="O24" s="1646"/>
      <c r="P24" s="245" t="b">
        <f t="shared" si="3"/>
        <v>0</v>
      </c>
      <c r="R24" s="245" t="b">
        <f t="shared" si="1"/>
        <v>0</v>
      </c>
      <c r="AO24" s="238" t="str">
        <f t="shared" si="2"/>
        <v>SG52</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39</v>
      </c>
      <c r="H25" s="1516">
        <v>9</v>
      </c>
      <c r="I25" s="1514"/>
      <c r="J25" s="1515"/>
      <c r="K25" s="1516"/>
      <c r="L25" s="1517" t="s">
        <v>703</v>
      </c>
      <c r="M25" s="1518" t="s">
        <v>1393</v>
      </c>
      <c r="N25" s="1519"/>
      <c r="O25" s="1646"/>
      <c r="P25" s="245" t="b">
        <f t="shared" si="3"/>
        <v>0</v>
      </c>
      <c r="R25" s="245" t="b">
        <f t="shared" si="1"/>
        <v>0</v>
      </c>
      <c r="AO25" s="238" t="str">
        <f t="shared" si="2"/>
        <v>SG52</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47</v>
      </c>
      <c r="H26" s="1516">
        <v>9</v>
      </c>
      <c r="I26" s="1514"/>
      <c r="J26" s="1515"/>
      <c r="K26" s="1516"/>
      <c r="L26" s="1517" t="s">
        <v>703</v>
      </c>
      <c r="M26" s="1518" t="s">
        <v>1393</v>
      </c>
      <c r="N26" s="1519"/>
      <c r="O26" s="1646"/>
      <c r="P26" s="245" t="b">
        <f t="shared" si="3"/>
        <v>0</v>
      </c>
      <c r="R26" s="245" t="b">
        <f t="shared" si="1"/>
        <v>0</v>
      </c>
      <c r="AO26" s="238" t="str">
        <f t="shared" si="2"/>
        <v>SG52</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7</v>
      </c>
      <c r="H27" s="1516">
        <v>9</v>
      </c>
      <c r="I27" s="1514"/>
      <c r="J27" s="1515"/>
      <c r="K27" s="1516"/>
      <c r="L27" s="1517" t="s">
        <v>703</v>
      </c>
      <c r="M27" s="1518" t="s">
        <v>1393</v>
      </c>
      <c r="N27" s="1519"/>
      <c r="O27" s="1646"/>
      <c r="P27" s="245" t="b">
        <f t="shared" si="3"/>
        <v>0</v>
      </c>
      <c r="R27" s="245" t="b">
        <f t="shared" si="1"/>
        <v>0</v>
      </c>
      <c r="AO27" s="238" t="str">
        <f t="shared" si="2"/>
        <v>SG52</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15</v>
      </c>
      <c r="H28" s="1516">
        <v>9</v>
      </c>
      <c r="I28" s="1514"/>
      <c r="J28" s="1515"/>
      <c r="K28" s="1516"/>
      <c r="L28" s="1517" t="s">
        <v>703</v>
      </c>
      <c r="M28" s="1518" t="s">
        <v>1393</v>
      </c>
      <c r="N28" s="1689"/>
      <c r="O28" s="1645"/>
      <c r="P28" s="245" t="b">
        <f t="shared" si="3"/>
        <v>0</v>
      </c>
      <c r="R28" s="245" t="b">
        <f t="shared" si="1"/>
        <v>0</v>
      </c>
      <c r="AO28" s="238" t="str">
        <f t="shared" si="2"/>
        <v>SG52</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23</v>
      </c>
      <c r="H29" s="1516">
        <v>9</v>
      </c>
      <c r="I29" s="1514"/>
      <c r="J29" s="1515"/>
      <c r="K29" s="1516"/>
      <c r="L29" s="1517" t="s">
        <v>703</v>
      </c>
      <c r="M29" s="1518" t="s">
        <v>1393</v>
      </c>
      <c r="N29" s="1689"/>
      <c r="O29" s="1645"/>
      <c r="P29" s="245" t="b">
        <f t="shared" si="3"/>
        <v>0</v>
      </c>
      <c r="R29" s="245" t="b">
        <f t="shared" si="1"/>
        <v>0</v>
      </c>
      <c r="AO29" s="238" t="str">
        <f t="shared" si="2"/>
        <v>SG52</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31</v>
      </c>
      <c r="H30" s="1516">
        <v>9</v>
      </c>
      <c r="I30" s="1514"/>
      <c r="J30" s="1515"/>
      <c r="K30" s="1516"/>
      <c r="L30" s="1517" t="s">
        <v>703</v>
      </c>
      <c r="M30" s="1518" t="s">
        <v>1393</v>
      </c>
      <c r="N30" s="1689" t="s">
        <v>116</v>
      </c>
      <c r="O30" s="1645"/>
      <c r="P30" s="245" t="b">
        <f t="shared" si="3"/>
        <v>0</v>
      </c>
      <c r="R30" s="245" t="b">
        <f t="shared" si="1"/>
        <v>0</v>
      </c>
      <c r="AO30" s="238" t="str">
        <f t="shared" si="2"/>
        <v>SG52</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39</v>
      </c>
      <c r="H31" s="1516">
        <v>9</v>
      </c>
      <c r="I31" s="1514"/>
      <c r="J31" s="1515"/>
      <c r="K31" s="1516"/>
      <c r="L31" s="1517" t="s">
        <v>703</v>
      </c>
      <c r="M31" s="1517" t="s">
        <v>1393</v>
      </c>
      <c r="N31" s="1689" t="s">
        <v>116</v>
      </c>
      <c r="O31" s="1645"/>
      <c r="P31" s="245" t="b">
        <f t="shared" si="3"/>
        <v>0</v>
      </c>
      <c r="R31" s="245" t="b">
        <f t="shared" si="1"/>
        <v>0</v>
      </c>
      <c r="AO31" s="238" t="str">
        <f t="shared" si="2"/>
        <v>SG52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47</v>
      </c>
      <c r="H32" s="1516">
        <v>9</v>
      </c>
      <c r="I32" s="1514"/>
      <c r="J32" s="1515"/>
      <c r="K32" s="1516"/>
      <c r="L32" s="1517" t="s">
        <v>703</v>
      </c>
      <c r="M32" s="1517" t="s">
        <v>1393</v>
      </c>
      <c r="N32" s="1689" t="s">
        <v>116</v>
      </c>
      <c r="O32" s="1645"/>
      <c r="P32" s="245" t="b">
        <f t="shared" si="3"/>
        <v>0</v>
      </c>
      <c r="R32" s="245" t="b">
        <f t="shared" si="1"/>
        <v>0</v>
      </c>
      <c r="AO32" s="238" t="str">
        <f t="shared" si="2"/>
        <v>SG52</v>
      </c>
      <c r="AP32" s="945" t="b">
        <v>0</v>
      </c>
      <c r="AQ32" s="1323"/>
      <c r="AR32" s="1324"/>
      <c r="AS32" s="1324"/>
      <c r="AT32" s="1324"/>
      <c r="AU32" s="1324"/>
      <c r="AV32" s="1324"/>
      <c r="AW32" s="1324"/>
      <c r="AX32" s="1324"/>
      <c r="AY32" s="1324"/>
      <c r="AZ32" s="1324"/>
      <c r="BA32" s="1533"/>
      <c r="BB32" s="1533"/>
      <c r="BC32" s="1534"/>
    </row>
    <row r="33" spans="1:55" ht="14.1" customHeight="1" x14ac:dyDescent="0.2">
      <c r="A33" s="1511" t="s">
        <v>2004</v>
      </c>
      <c r="B33" s="1512" t="s">
        <v>155</v>
      </c>
      <c r="C33" s="1512" t="s">
        <v>165</v>
      </c>
      <c r="D33" s="1512" t="s">
        <v>145</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SG53</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155</v>
      </c>
      <c r="C34" s="1512" t="s">
        <v>165</v>
      </c>
      <c r="D34" s="1512" t="s">
        <v>159</v>
      </c>
      <c r="E34" s="1513"/>
      <c r="F34" s="1514">
        <v>250</v>
      </c>
      <c r="G34" s="1515"/>
      <c r="H34" s="1516"/>
      <c r="I34" s="1514"/>
      <c r="J34" s="1515"/>
      <c r="K34" s="1516"/>
      <c r="L34" s="1517" t="s">
        <v>116</v>
      </c>
      <c r="M34" s="1517" t="s">
        <v>1393</v>
      </c>
      <c r="N34" s="1689" t="s">
        <v>116</v>
      </c>
      <c r="O34" s="1645"/>
      <c r="P34" s="245" t="b">
        <f t="shared" si="3"/>
        <v>0</v>
      </c>
      <c r="R34" s="245" t="b">
        <f t="shared" si="1"/>
        <v>1</v>
      </c>
      <c r="AO34" s="238" t="str">
        <f t="shared" si="2"/>
        <v>SG53</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154</v>
      </c>
      <c r="C35" s="1512" t="s">
        <v>165</v>
      </c>
      <c r="D35" s="1512" t="s">
        <v>145</v>
      </c>
      <c r="E35" s="1513"/>
      <c r="F35" s="1514">
        <v>1500</v>
      </c>
      <c r="G35" s="1515"/>
      <c r="H35" s="1516"/>
      <c r="I35" s="1514"/>
      <c r="J35" s="1515"/>
      <c r="K35" s="1516"/>
      <c r="L35" s="1517" t="s">
        <v>116</v>
      </c>
      <c r="M35" s="1517" t="s">
        <v>1393</v>
      </c>
      <c r="N35" s="1689" t="s">
        <v>116</v>
      </c>
      <c r="O35" s="1645"/>
      <c r="P35" s="245" t="b">
        <f t="shared" si="3"/>
        <v>0</v>
      </c>
      <c r="R35" s="245" t="b">
        <f t="shared" si="1"/>
        <v>1</v>
      </c>
      <c r="AO35" s="238" t="str">
        <f t="shared" si="2"/>
        <v>SG53</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7</v>
      </c>
      <c r="H36" s="1516">
        <v>9</v>
      </c>
      <c r="I36" s="1514"/>
      <c r="J36" s="1515"/>
      <c r="K36" s="1516"/>
      <c r="L36" s="1517" t="s">
        <v>703</v>
      </c>
      <c r="M36" s="1517" t="s">
        <v>1393</v>
      </c>
      <c r="N36" s="1689" t="s">
        <v>116</v>
      </c>
      <c r="O36" s="1645"/>
      <c r="P36" s="245" t="b">
        <f t="shared" si="3"/>
        <v>0</v>
      </c>
      <c r="R36" s="245" t="b">
        <f t="shared" si="1"/>
        <v>0</v>
      </c>
      <c r="AO36" s="238" t="str">
        <f t="shared" si="2"/>
        <v>SG53</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15</v>
      </c>
      <c r="H37" s="1516">
        <v>9</v>
      </c>
      <c r="I37" s="1514"/>
      <c r="J37" s="1515"/>
      <c r="K37" s="1516"/>
      <c r="L37" s="1517" t="s">
        <v>703</v>
      </c>
      <c r="M37" s="1517" t="s">
        <v>1393</v>
      </c>
      <c r="N37" s="1689" t="s">
        <v>116</v>
      </c>
      <c r="O37" s="1645"/>
      <c r="P37" s="245" t="b">
        <f t="shared" si="3"/>
        <v>0</v>
      </c>
      <c r="R37" s="245" t="b">
        <f t="shared" si="1"/>
        <v>0</v>
      </c>
      <c r="AO37" s="238" t="str">
        <f t="shared" si="2"/>
        <v>SG53</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23</v>
      </c>
      <c r="H38" s="1516">
        <v>9</v>
      </c>
      <c r="I38" s="1514"/>
      <c r="J38" s="1515"/>
      <c r="K38" s="1516"/>
      <c r="L38" s="1517" t="s">
        <v>703</v>
      </c>
      <c r="M38" s="1517" t="s">
        <v>1393</v>
      </c>
      <c r="N38" s="1689" t="s">
        <v>116</v>
      </c>
      <c r="O38" s="1645"/>
      <c r="P38" s="245" t="b">
        <f t="shared" si="3"/>
        <v>0</v>
      </c>
      <c r="R38" s="245" t="b">
        <f t="shared" si="1"/>
        <v>0</v>
      </c>
      <c r="AO38" s="238" t="str">
        <f t="shared" si="2"/>
        <v>SG53</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31</v>
      </c>
      <c r="H39" s="1516">
        <v>9</v>
      </c>
      <c r="I39" s="1514"/>
      <c r="J39" s="1515"/>
      <c r="K39" s="1516"/>
      <c r="L39" s="1517" t="s">
        <v>703</v>
      </c>
      <c r="M39" s="1517" t="s">
        <v>1393</v>
      </c>
      <c r="N39" s="1689" t="s">
        <v>116</v>
      </c>
      <c r="O39" s="1645"/>
      <c r="P39" s="245" t="b">
        <f t="shared" si="3"/>
        <v>0</v>
      </c>
      <c r="R39" s="245" t="b">
        <f t="shared" si="1"/>
        <v>0</v>
      </c>
      <c r="AO39" s="238" t="str">
        <f t="shared" si="2"/>
        <v>SG53</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39</v>
      </c>
      <c r="H40" s="1516">
        <v>9</v>
      </c>
      <c r="I40" s="1514"/>
      <c r="J40" s="1515"/>
      <c r="K40" s="1516"/>
      <c r="L40" s="1517" t="s">
        <v>703</v>
      </c>
      <c r="M40" s="1517" t="s">
        <v>1393</v>
      </c>
      <c r="N40" s="1689" t="s">
        <v>116</v>
      </c>
      <c r="O40" s="1645"/>
      <c r="P40" s="245" t="b">
        <f t="shared" si="3"/>
        <v>0</v>
      </c>
      <c r="R40" s="245" t="b">
        <f t="shared" si="1"/>
        <v>0</v>
      </c>
      <c r="AO40" s="238" t="str">
        <f t="shared" si="2"/>
        <v>SG53</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47</v>
      </c>
      <c r="H41" s="1516">
        <v>9</v>
      </c>
      <c r="I41" s="1514"/>
      <c r="J41" s="1515"/>
      <c r="K41" s="1516"/>
      <c r="L41" s="1517" t="s">
        <v>703</v>
      </c>
      <c r="M41" s="1517" t="s">
        <v>1393</v>
      </c>
      <c r="N41" s="1689" t="s">
        <v>116</v>
      </c>
      <c r="O41" s="1645"/>
      <c r="P41" s="245" t="b">
        <f t="shared" si="3"/>
        <v>0</v>
      </c>
      <c r="R41" s="245" t="b">
        <f t="shared" si="1"/>
        <v>0</v>
      </c>
      <c r="AO41" s="238" t="str">
        <f t="shared" si="2"/>
        <v>SG53</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7</v>
      </c>
      <c r="H42" s="1516">
        <v>9</v>
      </c>
      <c r="I42" s="1514"/>
      <c r="J42" s="1515"/>
      <c r="K42" s="1516"/>
      <c r="L42" s="1517" t="s">
        <v>703</v>
      </c>
      <c r="M42" s="1517" t="s">
        <v>1393</v>
      </c>
      <c r="N42" s="1689" t="s">
        <v>116</v>
      </c>
      <c r="O42" s="1645"/>
      <c r="P42" s="245" t="b">
        <f t="shared" si="3"/>
        <v>0</v>
      </c>
      <c r="R42" s="245" t="b">
        <f t="shared" si="1"/>
        <v>0</v>
      </c>
      <c r="AO42" s="238" t="str">
        <f t="shared" si="2"/>
        <v>SG53</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15</v>
      </c>
      <c r="H43" s="1516">
        <v>9</v>
      </c>
      <c r="I43" s="1514"/>
      <c r="J43" s="1515"/>
      <c r="K43" s="1516"/>
      <c r="L43" s="1517" t="s">
        <v>703</v>
      </c>
      <c r="M43" s="1517" t="s">
        <v>1393</v>
      </c>
      <c r="N43" s="1689" t="s">
        <v>116</v>
      </c>
      <c r="O43" s="1645"/>
      <c r="P43" s="245" t="b">
        <f t="shared" si="3"/>
        <v>0</v>
      </c>
      <c r="R43" s="245" t="b">
        <f t="shared" si="1"/>
        <v>0</v>
      </c>
      <c r="AO43" s="238" t="str">
        <f t="shared" si="2"/>
        <v>SG53</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23</v>
      </c>
      <c r="H44" s="1516">
        <v>9</v>
      </c>
      <c r="I44" s="1514"/>
      <c r="J44" s="1515"/>
      <c r="K44" s="1516"/>
      <c r="L44" s="1517" t="s">
        <v>703</v>
      </c>
      <c r="M44" s="1517" t="s">
        <v>1393</v>
      </c>
      <c r="N44" s="1689" t="s">
        <v>116</v>
      </c>
      <c r="O44" s="1645"/>
      <c r="P44" s="245" t="b">
        <f t="shared" si="3"/>
        <v>0</v>
      </c>
      <c r="R44" s="245" t="b">
        <f t="shared" si="1"/>
        <v>0</v>
      </c>
      <c r="AO44" s="238" t="str">
        <f t="shared" si="2"/>
        <v>SG53</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31</v>
      </c>
      <c r="H45" s="1516">
        <v>9</v>
      </c>
      <c r="I45" s="1514"/>
      <c r="J45" s="1515"/>
      <c r="K45" s="1516"/>
      <c r="L45" s="1517" t="s">
        <v>703</v>
      </c>
      <c r="M45" s="1517" t="s">
        <v>1393</v>
      </c>
      <c r="N45" s="1689" t="s">
        <v>116</v>
      </c>
      <c r="O45" s="1645"/>
      <c r="P45" s="245" t="b">
        <f t="shared" si="3"/>
        <v>0</v>
      </c>
      <c r="R45" s="245" t="b">
        <f t="shared" si="1"/>
        <v>0</v>
      </c>
      <c r="AO45" s="238" t="str">
        <f t="shared" si="2"/>
        <v>SG53</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39</v>
      </c>
      <c r="H46" s="1516">
        <v>9</v>
      </c>
      <c r="I46" s="1514"/>
      <c r="J46" s="1515"/>
      <c r="K46" s="1516"/>
      <c r="L46" s="1517" t="s">
        <v>703</v>
      </c>
      <c r="M46" s="1517" t="s">
        <v>1393</v>
      </c>
      <c r="N46" s="1689" t="s">
        <v>116</v>
      </c>
      <c r="O46" s="1645"/>
      <c r="P46" s="245" t="b">
        <f t="shared" si="3"/>
        <v>0</v>
      </c>
      <c r="R46" s="245" t="b">
        <f t="shared" si="1"/>
        <v>0</v>
      </c>
      <c r="AO46" s="238" t="str">
        <f t="shared" si="2"/>
        <v>SG53</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47</v>
      </c>
      <c r="H47" s="1516">
        <v>9</v>
      </c>
      <c r="I47" s="1514"/>
      <c r="J47" s="1515"/>
      <c r="K47" s="1516"/>
      <c r="L47" s="1517" t="s">
        <v>703</v>
      </c>
      <c r="M47" s="1517" t="s">
        <v>1393</v>
      </c>
      <c r="N47" s="1689" t="s">
        <v>116</v>
      </c>
      <c r="O47" s="1645"/>
      <c r="P47" s="245" t="b">
        <f t="shared" si="3"/>
        <v>0</v>
      </c>
      <c r="R47" s="245" t="b">
        <f t="shared" si="1"/>
        <v>0</v>
      </c>
      <c r="AO47" s="238" t="str">
        <f t="shared" si="2"/>
        <v>SG53</v>
      </c>
      <c r="AP47" s="945" t="b">
        <v>0</v>
      </c>
      <c r="AQ47" s="1323"/>
      <c r="AR47" s="1324"/>
      <c r="AS47" s="1324"/>
      <c r="AT47" s="1324"/>
      <c r="AU47" s="1324"/>
      <c r="AV47" s="1324"/>
      <c r="AW47" s="1324"/>
      <c r="AX47" s="1324"/>
      <c r="AY47" s="1324"/>
      <c r="AZ47" s="1324"/>
      <c r="BA47" s="1533"/>
      <c r="BB47" s="1533"/>
      <c r="BC47" s="1534"/>
    </row>
    <row r="48" spans="1:55" ht="14.1" customHeight="1" x14ac:dyDescent="0.2">
      <c r="A48" s="1511" t="s">
        <v>2005</v>
      </c>
      <c r="B48" s="1512" t="s">
        <v>155</v>
      </c>
      <c r="C48" s="1512" t="s">
        <v>165</v>
      </c>
      <c r="D48" s="1512" t="s">
        <v>145</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SG54</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155</v>
      </c>
      <c r="C49" s="1512" t="s">
        <v>165</v>
      </c>
      <c r="D49" s="1512" t="s">
        <v>159</v>
      </c>
      <c r="E49" s="1513"/>
      <c r="F49" s="1514">
        <v>250</v>
      </c>
      <c r="G49" s="1515"/>
      <c r="H49" s="1516"/>
      <c r="I49" s="1514"/>
      <c r="J49" s="1515"/>
      <c r="K49" s="1516"/>
      <c r="L49" s="1517" t="s">
        <v>116</v>
      </c>
      <c r="M49" s="1517" t="s">
        <v>1393</v>
      </c>
      <c r="N49" s="1689" t="s">
        <v>116</v>
      </c>
      <c r="O49" s="1645"/>
      <c r="P49" s="245" t="b">
        <f t="shared" si="3"/>
        <v>0</v>
      </c>
      <c r="R49" s="245" t="b">
        <f t="shared" si="1"/>
        <v>1</v>
      </c>
      <c r="AO49" s="238" t="str">
        <f t="shared" si="2"/>
        <v>SG54</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154</v>
      </c>
      <c r="C50" s="1512" t="s">
        <v>165</v>
      </c>
      <c r="D50" s="1512" t="s">
        <v>145</v>
      </c>
      <c r="E50" s="1513"/>
      <c r="F50" s="1514">
        <v>1500</v>
      </c>
      <c r="G50" s="1515"/>
      <c r="H50" s="1516"/>
      <c r="I50" s="1514"/>
      <c r="J50" s="1515"/>
      <c r="K50" s="1516"/>
      <c r="L50" s="1517" t="s">
        <v>116</v>
      </c>
      <c r="M50" s="1517" t="s">
        <v>1393</v>
      </c>
      <c r="N50" s="1689" t="s">
        <v>116</v>
      </c>
      <c r="O50" s="1645"/>
      <c r="P50" s="245" t="b">
        <f t="shared" si="3"/>
        <v>0</v>
      </c>
      <c r="R50" s="245" t="b">
        <f t="shared" si="1"/>
        <v>1</v>
      </c>
      <c r="AO50" s="238" t="str">
        <f t="shared" si="2"/>
        <v>SG54</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720</v>
      </c>
      <c r="G51" s="1515">
        <v>8</v>
      </c>
      <c r="H51" s="1516">
        <v>0</v>
      </c>
      <c r="I51" s="1514">
        <v>2220</v>
      </c>
      <c r="J51" s="1515">
        <v>48</v>
      </c>
      <c r="K51" s="1516">
        <v>0</v>
      </c>
      <c r="L51" s="1517" t="s">
        <v>700</v>
      </c>
      <c r="M51" s="1517" t="s">
        <v>1393</v>
      </c>
      <c r="N51" s="1689" t="s">
        <v>116</v>
      </c>
      <c r="O51" s="1645"/>
      <c r="P51" s="245" t="b">
        <f t="shared" si="3"/>
        <v>0</v>
      </c>
      <c r="R51" s="245" t="b">
        <f t="shared" si="1"/>
        <v>0</v>
      </c>
      <c r="AO51" s="238" t="str">
        <f t="shared" si="2"/>
        <v>SG54</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7</v>
      </c>
      <c r="H52" s="1516">
        <v>9</v>
      </c>
      <c r="I52" s="1514"/>
      <c r="J52" s="1515"/>
      <c r="K52" s="1516"/>
      <c r="L52" s="1517" t="s">
        <v>703</v>
      </c>
      <c r="M52" s="1517" t="s">
        <v>1393</v>
      </c>
      <c r="N52" s="1689" t="s">
        <v>116</v>
      </c>
      <c r="O52" s="1645"/>
      <c r="P52" s="245" t="b">
        <f t="shared" si="3"/>
        <v>0</v>
      </c>
      <c r="R52" s="245" t="b">
        <f t="shared" si="1"/>
        <v>0</v>
      </c>
      <c r="AO52" s="238" t="str">
        <f t="shared" si="2"/>
        <v>SG54</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15</v>
      </c>
      <c r="H53" s="1516">
        <v>9</v>
      </c>
      <c r="I53" s="1514"/>
      <c r="J53" s="1515"/>
      <c r="K53" s="1516"/>
      <c r="L53" s="1517" t="s">
        <v>703</v>
      </c>
      <c r="M53" s="1517" t="s">
        <v>1393</v>
      </c>
      <c r="N53" s="1689" t="s">
        <v>116</v>
      </c>
      <c r="O53" s="1645"/>
      <c r="P53" s="245" t="b">
        <f t="shared" si="3"/>
        <v>0</v>
      </c>
      <c r="R53" s="245" t="b">
        <f t="shared" si="1"/>
        <v>0</v>
      </c>
      <c r="AO53" s="238" t="str">
        <f t="shared" si="2"/>
        <v>SG54</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23</v>
      </c>
      <c r="H54" s="1516">
        <v>9</v>
      </c>
      <c r="I54" s="1514"/>
      <c r="J54" s="1515"/>
      <c r="K54" s="1516"/>
      <c r="L54" s="1517" t="s">
        <v>703</v>
      </c>
      <c r="M54" s="1517" t="s">
        <v>1393</v>
      </c>
      <c r="N54" s="1689" t="s">
        <v>116</v>
      </c>
      <c r="O54" s="1645"/>
      <c r="P54" s="245" t="b">
        <f t="shared" si="3"/>
        <v>0</v>
      </c>
      <c r="R54" s="245" t="b">
        <f t="shared" si="1"/>
        <v>0</v>
      </c>
      <c r="AO54" s="238" t="str">
        <f t="shared" si="2"/>
        <v>SG54</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31</v>
      </c>
      <c r="H55" s="1525">
        <v>9</v>
      </c>
      <c r="I55" s="1523"/>
      <c r="J55" s="1524"/>
      <c r="K55" s="1525"/>
      <c r="L55" s="1526" t="s">
        <v>703</v>
      </c>
      <c r="M55" s="1526" t="s">
        <v>1393</v>
      </c>
      <c r="N55" s="1690"/>
      <c r="O55" s="1645"/>
      <c r="P55" s="245" t="b">
        <f t="shared" si="3"/>
        <v>0</v>
      </c>
      <c r="R55" s="245" t="b">
        <f t="shared" si="1"/>
        <v>0</v>
      </c>
      <c r="AO55" s="238" t="str">
        <f t="shared" si="2"/>
        <v>SG54</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9" priority="4" stopIfTrue="1">
      <formula>AND($B14="NU",F14&lt;0)</formula>
    </cfRule>
  </conditionalFormatting>
  <conditionalFormatting sqref="B14:B55">
    <cfRule type="expression" dxfId="148" priority="5" stopIfTrue="1">
      <formula>OR(AND($B14="NU",F14&lt;0),AND($B14="NU",I14&lt;0))</formula>
    </cfRule>
  </conditionalFormatting>
  <conditionalFormatting sqref="G14:H55 J14:L55">
    <cfRule type="expression" dxfId="147" priority="6" stopIfTrue="1">
      <formula>$R14</formula>
    </cfRule>
  </conditionalFormatting>
  <conditionalFormatting sqref="I2:K4">
    <cfRule type="cellIs" dxfId="146" priority="7" stopIfTrue="1" operator="equal">
      <formula>""</formula>
    </cfRule>
  </conditionalFormatting>
  <conditionalFormatting sqref="I14:I55">
    <cfRule type="expression" dxfId="145" priority="8" stopIfTrue="1">
      <formula>OR($R14,$B14="CZ",AND($B14="NU",I14&lt;0))</formula>
    </cfRule>
  </conditionalFormatting>
  <conditionalFormatting sqref="A14:A55">
    <cfRule type="expression" dxfId="144" priority="3">
      <formula>NOT($P14)</formula>
    </cfRule>
  </conditionalFormatting>
  <conditionalFormatting sqref="B14:D55">
    <cfRule type="expression" dxfId="1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42" priority="9">
      <formula>AND(NOT($P14),$T$1)</formula>
    </cfRule>
    <cfRule type="expression" dxfId="141" priority="10">
      <formula>AND($AP14,$S$1="M")</formula>
    </cfRule>
  </conditionalFormatting>
  <conditionalFormatting sqref="L14:L55">
    <cfRule type="expression" dxfId="1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F8260A25-8F84-402D-8A9A-F1C3BD324E15}">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3A3817E-95BC-46B8-B0C4-701D504A44B8}">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F60717E8-CB1C-4B99-92C6-9218E6EB177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511DABF-9EAC-464A-AF03-257FCC54EFD0}">
      <formula1>IF($CA$14,$CA$16:$CA$21,$CB$16:$CB$19)</formula1>
    </dataValidation>
    <dataValidation type="list" allowBlank="1" showErrorMessage="1" errorTitle="Invalid Type" error="You MUST select a Type from the dropdown list provided._x000a__x000a_Also, make sure your Cap Lock is turned on." sqref="B14:B55" xr:uid="{D973378D-C6E2-4418-9FFC-352619FF96AE}">
      <formula1>$BF$15:$BU$15</formula1>
    </dataValidation>
    <dataValidation allowBlank="1" showInputMessage="1" errorTitle="Invalid Load Case" error="You MUST use a Load Case from the list provided." sqref="M14:M55" xr:uid="{F021A252-27C6-4608-B7E8-EAA8CF8C97C9}"/>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66CF0-772B-41B4-8451-D1F23C7AF186}">
  <sheetPr codeName="Sheet6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7000</v>
      </c>
      <c r="G14" s="1507">
        <v>39</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47</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15</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23</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31</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532</v>
      </c>
      <c r="G20" s="1515">
        <v>39</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47</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t="s">
        <v>2006</v>
      </c>
      <c r="B22" s="1512" t="s">
        <v>155</v>
      </c>
      <c r="C22" s="1512" t="s">
        <v>165</v>
      </c>
      <c r="D22" s="1512" t="s">
        <v>145</v>
      </c>
      <c r="E22" s="1513"/>
      <c r="F22" s="1514">
        <v>250</v>
      </c>
      <c r="G22" s="1515"/>
      <c r="H22" s="1516"/>
      <c r="I22" s="1514"/>
      <c r="J22" s="1515"/>
      <c r="K22" s="1516"/>
      <c r="L22" s="1517" t="s">
        <v>116</v>
      </c>
      <c r="M22" s="1518" t="s">
        <v>1393</v>
      </c>
      <c r="N22" s="1519"/>
      <c r="O22" s="1646"/>
      <c r="P22" s="245" t="b">
        <f t="shared" si="3"/>
        <v>0</v>
      </c>
      <c r="R22" s="245" t="b">
        <f t="shared" si="1"/>
        <v>1</v>
      </c>
      <c r="AO22" s="238" t="str">
        <f t="shared" si="2"/>
        <v>SG55</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155</v>
      </c>
      <c r="C23" s="1512" t="s">
        <v>165</v>
      </c>
      <c r="D23" s="1512" t="s">
        <v>159</v>
      </c>
      <c r="E23" s="1513"/>
      <c r="F23" s="1514">
        <v>250</v>
      </c>
      <c r="G23" s="1515"/>
      <c r="H23" s="1516"/>
      <c r="I23" s="1514"/>
      <c r="J23" s="1515"/>
      <c r="K23" s="1516"/>
      <c r="L23" s="1517" t="s">
        <v>116</v>
      </c>
      <c r="M23" s="1518" t="s">
        <v>1393</v>
      </c>
      <c r="N23" s="1519"/>
      <c r="O23" s="1646"/>
      <c r="P23" s="245" t="b">
        <f t="shared" si="3"/>
        <v>0</v>
      </c>
      <c r="R23" s="245" t="b">
        <f t="shared" si="1"/>
        <v>1</v>
      </c>
      <c r="AO23" s="238" t="str">
        <f t="shared" si="2"/>
        <v>SG55</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154</v>
      </c>
      <c r="C24" s="1512" t="s">
        <v>165</v>
      </c>
      <c r="D24" s="1512" t="s">
        <v>145</v>
      </c>
      <c r="E24" s="1513"/>
      <c r="F24" s="1514">
        <v>1500</v>
      </c>
      <c r="G24" s="1515"/>
      <c r="H24" s="1516"/>
      <c r="I24" s="1514"/>
      <c r="J24" s="1515"/>
      <c r="K24" s="1516"/>
      <c r="L24" s="1517" t="s">
        <v>116</v>
      </c>
      <c r="M24" s="1518" t="s">
        <v>1393</v>
      </c>
      <c r="N24" s="1519"/>
      <c r="O24" s="1646"/>
      <c r="P24" s="245" t="b">
        <f t="shared" si="3"/>
        <v>0</v>
      </c>
      <c r="R24" s="245" t="b">
        <f t="shared" si="1"/>
        <v>1</v>
      </c>
      <c r="AO24" s="238" t="str">
        <f t="shared" si="2"/>
        <v>SG55</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7</v>
      </c>
      <c r="H25" s="1516">
        <v>9</v>
      </c>
      <c r="I25" s="1514"/>
      <c r="J25" s="1515"/>
      <c r="K25" s="1516"/>
      <c r="L25" s="1517" t="s">
        <v>703</v>
      </c>
      <c r="M25" s="1518" t="s">
        <v>1393</v>
      </c>
      <c r="N25" s="1519"/>
      <c r="O25" s="1646"/>
      <c r="P25" s="245" t="b">
        <f t="shared" si="3"/>
        <v>0</v>
      </c>
      <c r="R25" s="245" t="b">
        <f t="shared" si="1"/>
        <v>0</v>
      </c>
      <c r="AO25" s="238" t="str">
        <f t="shared" si="2"/>
        <v>SG55</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15</v>
      </c>
      <c r="H26" s="1516">
        <v>9</v>
      </c>
      <c r="I26" s="1514"/>
      <c r="J26" s="1515"/>
      <c r="K26" s="1516"/>
      <c r="L26" s="1517" t="s">
        <v>703</v>
      </c>
      <c r="M26" s="1518" t="s">
        <v>1393</v>
      </c>
      <c r="N26" s="1519"/>
      <c r="O26" s="1646"/>
      <c r="P26" s="245" t="b">
        <f t="shared" si="3"/>
        <v>0</v>
      </c>
      <c r="R26" s="245" t="b">
        <f t="shared" si="1"/>
        <v>0</v>
      </c>
      <c r="AO26" s="238" t="str">
        <f t="shared" si="2"/>
        <v>SG55</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23</v>
      </c>
      <c r="H27" s="1516">
        <v>9</v>
      </c>
      <c r="I27" s="1514"/>
      <c r="J27" s="1515"/>
      <c r="K27" s="1516"/>
      <c r="L27" s="1517" t="s">
        <v>703</v>
      </c>
      <c r="M27" s="1518" t="s">
        <v>1393</v>
      </c>
      <c r="N27" s="1519"/>
      <c r="O27" s="1646"/>
      <c r="P27" s="245" t="b">
        <f t="shared" si="3"/>
        <v>0</v>
      </c>
      <c r="R27" s="245" t="b">
        <f t="shared" si="1"/>
        <v>0</v>
      </c>
      <c r="AO27" s="238" t="str">
        <f t="shared" si="2"/>
        <v>SG55</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31</v>
      </c>
      <c r="H28" s="1516">
        <v>9</v>
      </c>
      <c r="I28" s="1514"/>
      <c r="J28" s="1515"/>
      <c r="K28" s="1516"/>
      <c r="L28" s="1517" t="s">
        <v>703</v>
      </c>
      <c r="M28" s="1518" t="s">
        <v>1393</v>
      </c>
      <c r="N28" s="1689"/>
      <c r="O28" s="1645"/>
      <c r="P28" s="245" t="b">
        <f t="shared" si="3"/>
        <v>0</v>
      </c>
      <c r="R28" s="245" t="b">
        <f t="shared" si="1"/>
        <v>0</v>
      </c>
      <c r="AO28" s="238" t="str">
        <f t="shared" si="2"/>
        <v>SG55</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39</v>
      </c>
      <c r="H29" s="1516">
        <v>9</v>
      </c>
      <c r="I29" s="1514"/>
      <c r="J29" s="1515"/>
      <c r="K29" s="1516"/>
      <c r="L29" s="1517" t="s">
        <v>703</v>
      </c>
      <c r="M29" s="1518" t="s">
        <v>1393</v>
      </c>
      <c r="N29" s="1689"/>
      <c r="O29" s="1645"/>
      <c r="P29" s="245" t="b">
        <f t="shared" si="3"/>
        <v>0</v>
      </c>
      <c r="R29" s="245" t="b">
        <f t="shared" si="1"/>
        <v>0</v>
      </c>
      <c r="AO29" s="238" t="str">
        <f t="shared" si="2"/>
        <v>SG55</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47</v>
      </c>
      <c r="H30" s="1516">
        <v>9</v>
      </c>
      <c r="I30" s="1514"/>
      <c r="J30" s="1515"/>
      <c r="K30" s="1516"/>
      <c r="L30" s="1517" t="s">
        <v>703</v>
      </c>
      <c r="M30" s="1518" t="s">
        <v>1393</v>
      </c>
      <c r="N30" s="1689" t="s">
        <v>116</v>
      </c>
      <c r="O30" s="1645"/>
      <c r="P30" s="245" t="b">
        <f t="shared" si="3"/>
        <v>0</v>
      </c>
      <c r="R30" s="245" t="b">
        <f t="shared" si="1"/>
        <v>0</v>
      </c>
      <c r="AO30" s="238" t="str">
        <f t="shared" si="2"/>
        <v>SG55</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55</v>
      </c>
      <c r="H31" s="1516">
        <v>9</v>
      </c>
      <c r="I31" s="1514"/>
      <c r="J31" s="1515"/>
      <c r="K31" s="1516"/>
      <c r="L31" s="1517" t="s">
        <v>703</v>
      </c>
      <c r="M31" s="1517" t="s">
        <v>1393</v>
      </c>
      <c r="N31" s="1689" t="s">
        <v>116</v>
      </c>
      <c r="O31" s="1645"/>
      <c r="P31" s="245" t="b">
        <f t="shared" si="3"/>
        <v>0</v>
      </c>
      <c r="R31" s="245" t="b">
        <f t="shared" si="1"/>
        <v>0</v>
      </c>
      <c r="AO31" s="238" t="str">
        <f t="shared" si="2"/>
        <v>SG55</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7</v>
      </c>
      <c r="H32" s="1516">
        <v>9</v>
      </c>
      <c r="I32" s="1514"/>
      <c r="J32" s="1515"/>
      <c r="K32" s="1516"/>
      <c r="L32" s="1517" t="s">
        <v>703</v>
      </c>
      <c r="M32" s="1517" t="s">
        <v>1393</v>
      </c>
      <c r="N32" s="1689" t="s">
        <v>116</v>
      </c>
      <c r="O32" s="1645"/>
      <c r="P32" s="245" t="b">
        <f t="shared" si="3"/>
        <v>0</v>
      </c>
      <c r="R32" s="245" t="b">
        <f t="shared" si="1"/>
        <v>0</v>
      </c>
      <c r="AO32" s="238" t="str">
        <f t="shared" si="2"/>
        <v>SG55</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15</v>
      </c>
      <c r="H33" s="1516">
        <v>9</v>
      </c>
      <c r="I33" s="1514"/>
      <c r="J33" s="1515"/>
      <c r="K33" s="1516"/>
      <c r="L33" s="1517" t="s">
        <v>703</v>
      </c>
      <c r="M33" s="1517" t="s">
        <v>1393</v>
      </c>
      <c r="N33" s="1689" t="s">
        <v>116</v>
      </c>
      <c r="O33" s="1645"/>
      <c r="P33" s="245" t="b">
        <f t="shared" si="3"/>
        <v>0</v>
      </c>
      <c r="R33" s="245" t="b">
        <f t="shared" si="1"/>
        <v>0</v>
      </c>
      <c r="AO33" s="238" t="str">
        <f t="shared" si="2"/>
        <v>SG55</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23</v>
      </c>
      <c r="H34" s="1516">
        <v>9</v>
      </c>
      <c r="I34" s="1514"/>
      <c r="J34" s="1515"/>
      <c r="K34" s="1516"/>
      <c r="L34" s="1517" t="s">
        <v>703</v>
      </c>
      <c r="M34" s="1517" t="s">
        <v>1393</v>
      </c>
      <c r="N34" s="1689" t="s">
        <v>116</v>
      </c>
      <c r="O34" s="1645"/>
      <c r="P34" s="245" t="b">
        <f t="shared" si="3"/>
        <v>0</v>
      </c>
      <c r="R34" s="245" t="b">
        <f t="shared" si="1"/>
        <v>0</v>
      </c>
      <c r="AO34" s="238" t="str">
        <f t="shared" si="2"/>
        <v>SG55</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31</v>
      </c>
      <c r="H35" s="1516">
        <v>9</v>
      </c>
      <c r="I35" s="1514"/>
      <c r="J35" s="1515"/>
      <c r="K35" s="1516"/>
      <c r="L35" s="1517" t="s">
        <v>703</v>
      </c>
      <c r="M35" s="1517" t="s">
        <v>1393</v>
      </c>
      <c r="N35" s="1689" t="s">
        <v>116</v>
      </c>
      <c r="O35" s="1645"/>
      <c r="P35" s="245" t="b">
        <f t="shared" si="3"/>
        <v>0</v>
      </c>
      <c r="R35" s="245" t="b">
        <f t="shared" si="1"/>
        <v>0</v>
      </c>
      <c r="AO35" s="238" t="str">
        <f t="shared" si="2"/>
        <v>SG55</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39</v>
      </c>
      <c r="H36" s="1516">
        <v>9</v>
      </c>
      <c r="I36" s="1514"/>
      <c r="J36" s="1515"/>
      <c r="K36" s="1516"/>
      <c r="L36" s="1517" t="s">
        <v>703</v>
      </c>
      <c r="M36" s="1517" t="s">
        <v>1393</v>
      </c>
      <c r="N36" s="1689" t="s">
        <v>116</v>
      </c>
      <c r="O36" s="1645"/>
      <c r="P36" s="245" t="b">
        <f t="shared" si="3"/>
        <v>0</v>
      </c>
      <c r="R36" s="245" t="b">
        <f t="shared" si="1"/>
        <v>0</v>
      </c>
      <c r="AO36" s="238" t="str">
        <f t="shared" si="2"/>
        <v>SG55</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47</v>
      </c>
      <c r="H37" s="1516">
        <v>9</v>
      </c>
      <c r="I37" s="1514"/>
      <c r="J37" s="1515"/>
      <c r="K37" s="1516"/>
      <c r="L37" s="1517" t="s">
        <v>703</v>
      </c>
      <c r="M37" s="1517" t="s">
        <v>1393</v>
      </c>
      <c r="N37" s="1689" t="s">
        <v>116</v>
      </c>
      <c r="O37" s="1645"/>
      <c r="P37" s="245" t="b">
        <f t="shared" si="3"/>
        <v>0</v>
      </c>
      <c r="R37" s="245" t="b">
        <f t="shared" si="1"/>
        <v>0</v>
      </c>
      <c r="AO37" s="238" t="str">
        <f t="shared" si="2"/>
        <v>SG55</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55</v>
      </c>
      <c r="H38" s="1516">
        <v>9</v>
      </c>
      <c r="I38" s="1514"/>
      <c r="J38" s="1515"/>
      <c r="K38" s="1516"/>
      <c r="L38" s="1517" t="s">
        <v>703</v>
      </c>
      <c r="M38" s="1517" t="s">
        <v>1393</v>
      </c>
      <c r="N38" s="1689" t="s">
        <v>116</v>
      </c>
      <c r="O38" s="1645"/>
      <c r="P38" s="245" t="b">
        <f t="shared" si="3"/>
        <v>0</v>
      </c>
      <c r="R38" s="245" t="b">
        <f t="shared" si="1"/>
        <v>0</v>
      </c>
      <c r="AO38" s="238" t="str">
        <f t="shared" si="2"/>
        <v>SG55</v>
      </c>
      <c r="AP38" s="945" t="b">
        <v>0</v>
      </c>
      <c r="AQ38" s="1323"/>
      <c r="AR38" s="1324"/>
      <c r="AS38" s="1324"/>
      <c r="AT38" s="1324"/>
      <c r="AU38" s="1324"/>
      <c r="AV38" s="1324"/>
      <c r="AW38" s="1324"/>
      <c r="AX38" s="1324"/>
      <c r="AY38" s="1324"/>
      <c r="AZ38" s="1324"/>
      <c r="BA38" s="1533"/>
      <c r="BB38" s="1533"/>
      <c r="BC38" s="1534"/>
    </row>
    <row r="39" spans="1:55" ht="14.1" customHeight="1" x14ac:dyDescent="0.2">
      <c r="A39" s="1511" t="s">
        <v>2007</v>
      </c>
      <c r="B39" s="1512" t="s">
        <v>155</v>
      </c>
      <c r="C39" s="1512" t="s">
        <v>165</v>
      </c>
      <c r="D39" s="1512" t="s">
        <v>145</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SG56</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155</v>
      </c>
      <c r="C40" s="1512" t="s">
        <v>165</v>
      </c>
      <c r="D40" s="1512" t="s">
        <v>159</v>
      </c>
      <c r="E40" s="1513"/>
      <c r="F40" s="1514">
        <v>250</v>
      </c>
      <c r="G40" s="1515"/>
      <c r="H40" s="1516"/>
      <c r="I40" s="1514"/>
      <c r="J40" s="1515"/>
      <c r="K40" s="1516"/>
      <c r="L40" s="1517" t="s">
        <v>116</v>
      </c>
      <c r="M40" s="1517" t="s">
        <v>1393</v>
      </c>
      <c r="N40" s="1689" t="s">
        <v>116</v>
      </c>
      <c r="O40" s="1645"/>
      <c r="P40" s="245" t="b">
        <f t="shared" si="3"/>
        <v>0</v>
      </c>
      <c r="R40" s="245" t="b">
        <f t="shared" si="1"/>
        <v>1</v>
      </c>
      <c r="AO40" s="238" t="str">
        <f t="shared" si="2"/>
        <v>SG56</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1500</v>
      </c>
      <c r="G41" s="1515"/>
      <c r="H41" s="1516"/>
      <c r="I41" s="1514"/>
      <c r="J41" s="1515"/>
      <c r="K41" s="1516"/>
      <c r="L41" s="1517" t="s">
        <v>116</v>
      </c>
      <c r="M41" s="1517" t="s">
        <v>1393</v>
      </c>
      <c r="N41" s="1689" t="s">
        <v>116</v>
      </c>
      <c r="O41" s="1645"/>
      <c r="P41" s="245" t="b">
        <f t="shared" si="3"/>
        <v>0</v>
      </c>
      <c r="R41" s="245" t="b">
        <f t="shared" si="1"/>
        <v>1</v>
      </c>
      <c r="AO41" s="238" t="str">
        <f t="shared" si="2"/>
        <v>SG56</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154</v>
      </c>
      <c r="C42" s="1512" t="s">
        <v>165</v>
      </c>
      <c r="D42" s="1512" t="s">
        <v>145</v>
      </c>
      <c r="E42" s="1513"/>
      <c r="F42" s="1514">
        <v>720</v>
      </c>
      <c r="G42" s="1515"/>
      <c r="H42" s="1516"/>
      <c r="I42" s="1514"/>
      <c r="J42" s="1515"/>
      <c r="K42" s="1516"/>
      <c r="L42" s="1517" t="s">
        <v>116</v>
      </c>
      <c r="M42" s="1517" t="s">
        <v>1393</v>
      </c>
      <c r="N42" s="1689" t="s">
        <v>116</v>
      </c>
      <c r="O42" s="1645"/>
      <c r="P42" s="245" t="b">
        <f t="shared" si="3"/>
        <v>0</v>
      </c>
      <c r="R42" s="245" t="b">
        <f t="shared" si="1"/>
        <v>1</v>
      </c>
      <c r="AO42" s="238" t="str">
        <f t="shared" si="2"/>
        <v>SG56</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3</v>
      </c>
      <c r="H43" s="1516">
        <v>9</v>
      </c>
      <c r="I43" s="1514"/>
      <c r="J43" s="1515"/>
      <c r="K43" s="1516"/>
      <c r="L43" s="1517" t="s">
        <v>703</v>
      </c>
      <c r="M43" s="1517" t="s">
        <v>1393</v>
      </c>
      <c r="N43" s="1689" t="s">
        <v>116</v>
      </c>
      <c r="O43" s="1645"/>
      <c r="P43" s="245" t="b">
        <f t="shared" si="3"/>
        <v>0</v>
      </c>
      <c r="R43" s="245" t="b">
        <f t="shared" si="1"/>
        <v>0</v>
      </c>
      <c r="AO43" s="238" t="str">
        <f t="shared" si="2"/>
        <v>SG56</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11</v>
      </c>
      <c r="H44" s="1516">
        <v>9</v>
      </c>
      <c r="I44" s="1514"/>
      <c r="J44" s="1515"/>
      <c r="K44" s="1516"/>
      <c r="L44" s="1517" t="s">
        <v>703</v>
      </c>
      <c r="M44" s="1517" t="s">
        <v>1393</v>
      </c>
      <c r="N44" s="1689" t="s">
        <v>116</v>
      </c>
      <c r="O44" s="1645"/>
      <c r="P44" s="245" t="b">
        <f t="shared" si="3"/>
        <v>0</v>
      </c>
      <c r="R44" s="245" t="b">
        <f t="shared" si="1"/>
        <v>0</v>
      </c>
      <c r="AO44" s="238" t="str">
        <f t="shared" si="2"/>
        <v>SG56</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19</v>
      </c>
      <c r="H45" s="1516">
        <v>9</v>
      </c>
      <c r="I45" s="1514"/>
      <c r="J45" s="1515"/>
      <c r="K45" s="1516"/>
      <c r="L45" s="1517" t="s">
        <v>703</v>
      </c>
      <c r="M45" s="1517" t="s">
        <v>1393</v>
      </c>
      <c r="N45" s="1689" t="s">
        <v>116</v>
      </c>
      <c r="O45" s="1645"/>
      <c r="P45" s="245" t="b">
        <f t="shared" si="3"/>
        <v>0</v>
      </c>
      <c r="R45" s="245" t="b">
        <f t="shared" si="1"/>
        <v>0</v>
      </c>
      <c r="AO45" s="238" t="str">
        <f t="shared" si="2"/>
        <v>SG56</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7000</v>
      </c>
      <c r="G46" s="1515">
        <v>27</v>
      </c>
      <c r="H46" s="1516">
        <v>9</v>
      </c>
      <c r="I46" s="1514"/>
      <c r="J46" s="1515"/>
      <c r="K46" s="1516"/>
      <c r="L46" s="1517" t="s">
        <v>703</v>
      </c>
      <c r="M46" s="1517" t="s">
        <v>1393</v>
      </c>
      <c r="N46" s="1689" t="s">
        <v>116</v>
      </c>
      <c r="O46" s="1645"/>
      <c r="P46" s="245" t="b">
        <f t="shared" si="3"/>
        <v>0</v>
      </c>
      <c r="R46" s="245" t="b">
        <f t="shared" si="1"/>
        <v>0</v>
      </c>
      <c r="AO46" s="238" t="str">
        <f t="shared" si="2"/>
        <v>SG56</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35</v>
      </c>
      <c r="H47" s="1516">
        <v>9</v>
      </c>
      <c r="I47" s="1514"/>
      <c r="J47" s="1515"/>
      <c r="K47" s="1516"/>
      <c r="L47" s="1517" t="s">
        <v>703</v>
      </c>
      <c r="M47" s="1517" t="s">
        <v>1393</v>
      </c>
      <c r="N47" s="1689" t="s">
        <v>116</v>
      </c>
      <c r="O47" s="1645"/>
      <c r="P47" s="245" t="b">
        <f t="shared" si="3"/>
        <v>0</v>
      </c>
      <c r="R47" s="245" t="b">
        <f t="shared" si="1"/>
        <v>0</v>
      </c>
      <c r="AO47" s="238" t="str">
        <f t="shared" si="2"/>
        <v>SG56</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43</v>
      </c>
      <c r="H48" s="1516">
        <v>9</v>
      </c>
      <c r="I48" s="1514"/>
      <c r="J48" s="1515"/>
      <c r="K48" s="1516"/>
      <c r="L48" s="1517" t="s">
        <v>703</v>
      </c>
      <c r="M48" s="1517" t="s">
        <v>1393</v>
      </c>
      <c r="N48" s="1689" t="s">
        <v>116</v>
      </c>
      <c r="O48" s="1645"/>
      <c r="P48" s="245" t="b">
        <f t="shared" si="3"/>
        <v>0</v>
      </c>
      <c r="R48" s="245" t="b">
        <f t="shared" si="1"/>
        <v>0</v>
      </c>
      <c r="AO48" s="238" t="str">
        <f t="shared" si="2"/>
        <v>SG56</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51</v>
      </c>
      <c r="H49" s="1516">
        <v>9</v>
      </c>
      <c r="I49" s="1514"/>
      <c r="J49" s="1515"/>
      <c r="K49" s="1516"/>
      <c r="L49" s="1517" t="s">
        <v>703</v>
      </c>
      <c r="M49" s="1517" t="s">
        <v>1393</v>
      </c>
      <c r="N49" s="1689" t="s">
        <v>116</v>
      </c>
      <c r="O49" s="1645"/>
      <c r="P49" s="245" t="b">
        <f t="shared" si="3"/>
        <v>0</v>
      </c>
      <c r="R49" s="245" t="b">
        <f t="shared" si="1"/>
        <v>0</v>
      </c>
      <c r="AO49" s="238" t="str">
        <f t="shared" si="2"/>
        <v>SG56</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3</v>
      </c>
      <c r="H50" s="1516">
        <v>9</v>
      </c>
      <c r="I50" s="1514"/>
      <c r="J50" s="1515"/>
      <c r="K50" s="1516"/>
      <c r="L50" s="1517" t="s">
        <v>703</v>
      </c>
      <c r="M50" s="1517" t="s">
        <v>1393</v>
      </c>
      <c r="N50" s="1689" t="s">
        <v>116</v>
      </c>
      <c r="O50" s="1645"/>
      <c r="P50" s="245" t="b">
        <f t="shared" si="3"/>
        <v>0</v>
      </c>
      <c r="R50" s="245" t="b">
        <f t="shared" si="1"/>
        <v>0</v>
      </c>
      <c r="AO50" s="238" t="str">
        <f t="shared" si="2"/>
        <v>SG56</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11</v>
      </c>
      <c r="H51" s="1516">
        <v>9</v>
      </c>
      <c r="I51" s="1514"/>
      <c r="J51" s="1515"/>
      <c r="K51" s="1516"/>
      <c r="L51" s="1517" t="s">
        <v>703</v>
      </c>
      <c r="M51" s="1517" t="s">
        <v>1393</v>
      </c>
      <c r="N51" s="1689" t="s">
        <v>116</v>
      </c>
      <c r="O51" s="1645"/>
      <c r="P51" s="245" t="b">
        <f t="shared" si="3"/>
        <v>0</v>
      </c>
      <c r="R51" s="245" t="b">
        <f t="shared" si="1"/>
        <v>0</v>
      </c>
      <c r="AO51" s="238" t="str">
        <f t="shared" si="2"/>
        <v>SG56</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532</v>
      </c>
      <c r="G52" s="1515">
        <v>19</v>
      </c>
      <c r="H52" s="1516">
        <v>9</v>
      </c>
      <c r="I52" s="1514"/>
      <c r="J52" s="1515"/>
      <c r="K52" s="1516"/>
      <c r="L52" s="1517" t="s">
        <v>703</v>
      </c>
      <c r="M52" s="1517" t="s">
        <v>1393</v>
      </c>
      <c r="N52" s="1689" t="s">
        <v>116</v>
      </c>
      <c r="O52" s="1645"/>
      <c r="P52" s="245" t="b">
        <f t="shared" si="3"/>
        <v>0</v>
      </c>
      <c r="R52" s="245" t="b">
        <f t="shared" si="1"/>
        <v>0</v>
      </c>
      <c r="AO52" s="238" t="str">
        <f t="shared" si="2"/>
        <v>SG56</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27</v>
      </c>
      <c r="H53" s="1516">
        <v>9</v>
      </c>
      <c r="I53" s="1514"/>
      <c r="J53" s="1515"/>
      <c r="K53" s="1516"/>
      <c r="L53" s="1517" t="s">
        <v>703</v>
      </c>
      <c r="M53" s="1517" t="s">
        <v>1393</v>
      </c>
      <c r="N53" s="1689" t="s">
        <v>116</v>
      </c>
      <c r="O53" s="1645"/>
      <c r="P53" s="245" t="b">
        <f t="shared" si="3"/>
        <v>0</v>
      </c>
      <c r="R53" s="245" t="b">
        <f t="shared" si="1"/>
        <v>0</v>
      </c>
      <c r="AO53" s="238" t="str">
        <f t="shared" si="2"/>
        <v>SG56</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35</v>
      </c>
      <c r="H54" s="1516">
        <v>9</v>
      </c>
      <c r="I54" s="1514"/>
      <c r="J54" s="1515"/>
      <c r="K54" s="1516"/>
      <c r="L54" s="1517" t="s">
        <v>703</v>
      </c>
      <c r="M54" s="1517" t="s">
        <v>1393</v>
      </c>
      <c r="N54" s="1689" t="s">
        <v>116</v>
      </c>
      <c r="O54" s="1645"/>
      <c r="P54" s="245" t="b">
        <f t="shared" si="3"/>
        <v>0</v>
      </c>
      <c r="R54" s="245" t="b">
        <f t="shared" si="1"/>
        <v>0</v>
      </c>
      <c r="AO54" s="238" t="str">
        <f t="shared" si="2"/>
        <v>SG56</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43</v>
      </c>
      <c r="H55" s="1525">
        <v>9</v>
      </c>
      <c r="I55" s="1523"/>
      <c r="J55" s="1524"/>
      <c r="K55" s="1525"/>
      <c r="L55" s="1526" t="s">
        <v>703</v>
      </c>
      <c r="M55" s="1526" t="s">
        <v>1393</v>
      </c>
      <c r="N55" s="1690"/>
      <c r="O55" s="1645"/>
      <c r="P55" s="245" t="b">
        <f t="shared" si="3"/>
        <v>0</v>
      </c>
      <c r="R55" s="245" t="b">
        <f t="shared" si="1"/>
        <v>0</v>
      </c>
      <c r="AO55" s="238" t="str">
        <f t="shared" si="2"/>
        <v>SG56</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9" priority="4" stopIfTrue="1">
      <formula>AND($B14="NU",F14&lt;0)</formula>
    </cfRule>
  </conditionalFormatting>
  <conditionalFormatting sqref="B14:B55">
    <cfRule type="expression" dxfId="138" priority="5" stopIfTrue="1">
      <formula>OR(AND($B14="NU",F14&lt;0),AND($B14="NU",I14&lt;0))</formula>
    </cfRule>
  </conditionalFormatting>
  <conditionalFormatting sqref="G14:H55 J14:L55">
    <cfRule type="expression" dxfId="137" priority="6" stopIfTrue="1">
      <formula>$R14</formula>
    </cfRule>
  </conditionalFormatting>
  <conditionalFormatting sqref="I2:K4">
    <cfRule type="cellIs" dxfId="136" priority="7" stopIfTrue="1" operator="equal">
      <formula>""</formula>
    </cfRule>
  </conditionalFormatting>
  <conditionalFormatting sqref="I14:I55">
    <cfRule type="expression" dxfId="135" priority="8" stopIfTrue="1">
      <formula>OR($R14,$B14="CZ",AND($B14="NU",I14&lt;0))</formula>
    </cfRule>
  </conditionalFormatting>
  <conditionalFormatting sqref="A14:A55">
    <cfRule type="expression" dxfId="134" priority="3">
      <formula>NOT($P14)</formula>
    </cfRule>
  </conditionalFormatting>
  <conditionalFormatting sqref="B14:D55">
    <cfRule type="expression" dxfId="1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32" priority="9">
      <formula>AND(NOT($P14),$T$1)</formula>
    </cfRule>
    <cfRule type="expression" dxfId="131" priority="10">
      <formula>AND($AP14,$S$1="M")</formula>
    </cfRule>
  </conditionalFormatting>
  <conditionalFormatting sqref="L14:L55">
    <cfRule type="expression" dxfId="1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C2720A87-27F7-4E96-AD20-61482ADCBFE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85891D8-31F4-4FC9-9AE9-AD344AD6EE10}">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8E119C4-E908-4833-99FD-8C95DAF4374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6565ABB0-F649-4A42-A031-97AB6B93ADD6}">
      <formula1>IF($CA$14,$CA$16:$CA$21,$CB$16:$CB$19)</formula1>
    </dataValidation>
    <dataValidation type="list" allowBlank="1" showErrorMessage="1" errorTitle="Invalid Type" error="You MUST select a Type from the dropdown list provided._x000a__x000a_Also, make sure your Cap Lock is turned on." sqref="B14:B55" xr:uid="{9E764904-28DC-499C-98C3-C259B727BEC4}">
      <formula1>$BF$15:$BU$15</formula1>
    </dataValidation>
    <dataValidation allowBlank="1" showInputMessage="1" errorTitle="Invalid Load Case" error="You MUST use a Load Case from the list provided." sqref="M14:M55" xr:uid="{04D62DCC-6B4E-49DD-BDF5-77D5DF47E558}"/>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A61FB-EDE8-4BBF-B24C-D3405C5E5BDC}">
  <sheetPr codeName="Sheet6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51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t="s">
        <v>2008</v>
      </c>
      <c r="B15" s="1512" t="s">
        <v>155</v>
      </c>
      <c r="C15" s="1512" t="s">
        <v>165</v>
      </c>
      <c r="D15" s="1512" t="s">
        <v>145</v>
      </c>
      <c r="E15" s="1513"/>
      <c r="F15" s="1514">
        <v>250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SG57</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155</v>
      </c>
      <c r="C16" s="1512" t="s">
        <v>165</v>
      </c>
      <c r="D16" s="1512" t="s">
        <v>159</v>
      </c>
      <c r="E16" s="1513"/>
      <c r="F16" s="1514">
        <v>250</v>
      </c>
      <c r="G16" s="1515"/>
      <c r="H16" s="1516"/>
      <c r="I16" s="1514"/>
      <c r="J16" s="1515"/>
      <c r="K16" s="1516"/>
      <c r="L16" s="1517" t="s">
        <v>116</v>
      </c>
      <c r="M16" s="1518" t="s">
        <v>1393</v>
      </c>
      <c r="N16" s="1689"/>
      <c r="O16" s="1645"/>
      <c r="P16" s="245" t="b">
        <f t="shared" si="0"/>
        <v>0</v>
      </c>
      <c r="R16" s="245" t="b">
        <f t="shared" si="1"/>
        <v>1</v>
      </c>
      <c r="AO16" s="238" t="str">
        <f t="shared" si="2"/>
        <v>SG57</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154</v>
      </c>
      <c r="C17" s="1512" t="s">
        <v>165</v>
      </c>
      <c r="D17" s="1512" t="s">
        <v>145</v>
      </c>
      <c r="E17" s="1513"/>
      <c r="F17" s="1514">
        <v>1500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SG57</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154</v>
      </c>
      <c r="C18" s="1512" t="s">
        <v>165</v>
      </c>
      <c r="D18" s="1512" t="s">
        <v>145</v>
      </c>
      <c r="E18" s="1513"/>
      <c r="F18" s="1514">
        <v>720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SG57</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3</v>
      </c>
      <c r="H19" s="1516">
        <v>9</v>
      </c>
      <c r="I19" s="1514"/>
      <c r="J19" s="1515"/>
      <c r="K19" s="1516"/>
      <c r="L19" s="1517" t="s">
        <v>703</v>
      </c>
      <c r="M19" s="1518" t="s">
        <v>1393</v>
      </c>
      <c r="N19" s="1689" t="s">
        <v>116</v>
      </c>
      <c r="O19" s="1645"/>
      <c r="P19" s="245" t="b">
        <f t="shared" si="3"/>
        <v>0</v>
      </c>
      <c r="R19" s="245" t="b">
        <f t="shared" si="1"/>
        <v>0</v>
      </c>
      <c r="AO19" s="238" t="str">
        <f t="shared" si="2"/>
        <v>SG57</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11</v>
      </c>
      <c r="H20" s="1516">
        <v>9</v>
      </c>
      <c r="I20" s="1514"/>
      <c r="J20" s="1515"/>
      <c r="K20" s="1516"/>
      <c r="L20" s="1517" t="s">
        <v>703</v>
      </c>
      <c r="M20" s="1518" t="s">
        <v>1393</v>
      </c>
      <c r="N20" s="1519"/>
      <c r="O20" s="1646"/>
      <c r="P20" s="245" t="b">
        <f t="shared" si="3"/>
        <v>0</v>
      </c>
      <c r="R20" s="245" t="b">
        <f t="shared" si="1"/>
        <v>0</v>
      </c>
      <c r="AO20" s="238" t="str">
        <f t="shared" si="2"/>
        <v>SG57</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19</v>
      </c>
      <c r="H21" s="1516">
        <v>9</v>
      </c>
      <c r="I21" s="1514"/>
      <c r="J21" s="1515"/>
      <c r="K21" s="1516"/>
      <c r="L21" s="1517" t="s">
        <v>703</v>
      </c>
      <c r="M21" s="1518" t="s">
        <v>1393</v>
      </c>
      <c r="N21" s="1519"/>
      <c r="O21" s="1646"/>
      <c r="P21" s="245" t="b">
        <f t="shared" si="3"/>
        <v>0</v>
      </c>
      <c r="R21" s="245" t="b">
        <f t="shared" si="1"/>
        <v>0</v>
      </c>
      <c r="AO21" s="238" t="str">
        <f t="shared" si="2"/>
        <v>SG57</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27</v>
      </c>
      <c r="H22" s="1516">
        <v>9</v>
      </c>
      <c r="I22" s="1514"/>
      <c r="J22" s="1515"/>
      <c r="K22" s="1516"/>
      <c r="L22" s="1517" t="s">
        <v>703</v>
      </c>
      <c r="M22" s="1518" t="s">
        <v>1393</v>
      </c>
      <c r="N22" s="1519"/>
      <c r="O22" s="1646"/>
      <c r="P22" s="245" t="b">
        <f t="shared" si="3"/>
        <v>0</v>
      </c>
      <c r="R22" s="245" t="b">
        <f t="shared" si="1"/>
        <v>0</v>
      </c>
      <c r="AO22" s="238" t="str">
        <f t="shared" si="2"/>
        <v>SG57</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35</v>
      </c>
      <c r="H23" s="1516">
        <v>9</v>
      </c>
      <c r="I23" s="1514"/>
      <c r="J23" s="1515"/>
      <c r="K23" s="1516"/>
      <c r="L23" s="1517" t="s">
        <v>703</v>
      </c>
      <c r="M23" s="1518" t="s">
        <v>1393</v>
      </c>
      <c r="N23" s="1519"/>
      <c r="O23" s="1646"/>
      <c r="P23" s="245" t="b">
        <f t="shared" si="3"/>
        <v>0</v>
      </c>
      <c r="R23" s="245" t="b">
        <f t="shared" si="1"/>
        <v>0</v>
      </c>
      <c r="AO23" s="238" t="str">
        <f t="shared" si="2"/>
        <v>SG57</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43</v>
      </c>
      <c r="H24" s="1516">
        <v>9</v>
      </c>
      <c r="I24" s="1514"/>
      <c r="J24" s="1515"/>
      <c r="K24" s="1516"/>
      <c r="L24" s="1517" t="s">
        <v>703</v>
      </c>
      <c r="M24" s="1518" t="s">
        <v>1393</v>
      </c>
      <c r="N24" s="1519"/>
      <c r="O24" s="1646"/>
      <c r="P24" s="245" t="b">
        <f t="shared" si="3"/>
        <v>0</v>
      </c>
      <c r="R24" s="245" t="b">
        <f t="shared" si="1"/>
        <v>0</v>
      </c>
      <c r="AO24" s="238" t="str">
        <f t="shared" si="2"/>
        <v>SG57</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51</v>
      </c>
      <c r="H25" s="1516">
        <v>9</v>
      </c>
      <c r="I25" s="1514"/>
      <c r="J25" s="1515"/>
      <c r="K25" s="1516"/>
      <c r="L25" s="1517" t="s">
        <v>703</v>
      </c>
      <c r="M25" s="1518" t="s">
        <v>1393</v>
      </c>
      <c r="N25" s="1519"/>
      <c r="O25" s="1646"/>
      <c r="P25" s="245" t="b">
        <f t="shared" si="3"/>
        <v>0</v>
      </c>
      <c r="R25" s="245" t="b">
        <f t="shared" si="1"/>
        <v>0</v>
      </c>
      <c r="AO25" s="238" t="str">
        <f t="shared" si="2"/>
        <v>SG57</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3</v>
      </c>
      <c r="H26" s="1516">
        <v>9</v>
      </c>
      <c r="I26" s="1514"/>
      <c r="J26" s="1515"/>
      <c r="K26" s="1516"/>
      <c r="L26" s="1517" t="s">
        <v>703</v>
      </c>
      <c r="M26" s="1518" t="s">
        <v>1393</v>
      </c>
      <c r="N26" s="1519"/>
      <c r="O26" s="1646"/>
      <c r="P26" s="245" t="b">
        <f t="shared" si="3"/>
        <v>0</v>
      </c>
      <c r="R26" s="245" t="b">
        <f t="shared" si="1"/>
        <v>0</v>
      </c>
      <c r="AO26" s="238" t="str">
        <f t="shared" si="2"/>
        <v>SG57</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11</v>
      </c>
      <c r="H27" s="1516">
        <v>9</v>
      </c>
      <c r="I27" s="1514"/>
      <c r="J27" s="1515"/>
      <c r="K27" s="1516"/>
      <c r="L27" s="1517" t="s">
        <v>703</v>
      </c>
      <c r="M27" s="1518" t="s">
        <v>1393</v>
      </c>
      <c r="N27" s="1519"/>
      <c r="O27" s="1646"/>
      <c r="P27" s="245" t="b">
        <f t="shared" si="3"/>
        <v>0</v>
      </c>
      <c r="R27" s="245" t="b">
        <f t="shared" si="1"/>
        <v>0</v>
      </c>
      <c r="AO27" s="238" t="str">
        <f t="shared" si="2"/>
        <v>SG57</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19</v>
      </c>
      <c r="H28" s="1516">
        <v>9</v>
      </c>
      <c r="I28" s="1514"/>
      <c r="J28" s="1515"/>
      <c r="K28" s="1516"/>
      <c r="L28" s="1517" t="s">
        <v>703</v>
      </c>
      <c r="M28" s="1518" t="s">
        <v>1393</v>
      </c>
      <c r="N28" s="1689"/>
      <c r="O28" s="1645"/>
      <c r="P28" s="245" t="b">
        <f t="shared" si="3"/>
        <v>0</v>
      </c>
      <c r="R28" s="245" t="b">
        <f t="shared" si="1"/>
        <v>0</v>
      </c>
      <c r="AO28" s="238" t="str">
        <f t="shared" si="2"/>
        <v>SG57</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27</v>
      </c>
      <c r="H29" s="1516">
        <v>9</v>
      </c>
      <c r="I29" s="1514"/>
      <c r="J29" s="1515"/>
      <c r="K29" s="1516"/>
      <c r="L29" s="1517" t="s">
        <v>703</v>
      </c>
      <c r="M29" s="1518" t="s">
        <v>1393</v>
      </c>
      <c r="N29" s="1689"/>
      <c r="O29" s="1645"/>
      <c r="P29" s="245" t="b">
        <f t="shared" si="3"/>
        <v>0</v>
      </c>
      <c r="R29" s="245" t="b">
        <f t="shared" si="1"/>
        <v>0</v>
      </c>
      <c r="AO29" s="238" t="str">
        <f t="shared" si="2"/>
        <v>SG57</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35</v>
      </c>
      <c r="H30" s="1516">
        <v>9</v>
      </c>
      <c r="I30" s="1514"/>
      <c r="J30" s="1515"/>
      <c r="K30" s="1516"/>
      <c r="L30" s="1517" t="s">
        <v>703</v>
      </c>
      <c r="M30" s="1518" t="s">
        <v>1393</v>
      </c>
      <c r="N30" s="1689" t="s">
        <v>116</v>
      </c>
      <c r="O30" s="1645"/>
      <c r="P30" s="245" t="b">
        <f t="shared" si="3"/>
        <v>0</v>
      </c>
      <c r="R30" s="245" t="b">
        <f t="shared" si="1"/>
        <v>0</v>
      </c>
      <c r="AO30" s="238" t="str">
        <f t="shared" si="2"/>
        <v>SG57</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43</v>
      </c>
      <c r="H31" s="1516">
        <v>9</v>
      </c>
      <c r="I31" s="1514"/>
      <c r="J31" s="1515"/>
      <c r="K31" s="1516"/>
      <c r="L31" s="1517" t="s">
        <v>703</v>
      </c>
      <c r="M31" s="1517" t="s">
        <v>1393</v>
      </c>
      <c r="N31" s="1689" t="s">
        <v>116</v>
      </c>
      <c r="O31" s="1645"/>
      <c r="P31" s="245" t="b">
        <f t="shared" si="3"/>
        <v>0</v>
      </c>
      <c r="R31" s="245" t="b">
        <f t="shared" si="1"/>
        <v>0</v>
      </c>
      <c r="AO31" s="238" t="str">
        <f t="shared" si="2"/>
        <v>SG57</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51</v>
      </c>
      <c r="H32" s="1516">
        <v>9</v>
      </c>
      <c r="I32" s="1514"/>
      <c r="J32" s="1515"/>
      <c r="K32" s="1516"/>
      <c r="L32" s="1517" t="s">
        <v>703</v>
      </c>
      <c r="M32" s="1517" t="s">
        <v>1393</v>
      </c>
      <c r="N32" s="1689" t="s">
        <v>116</v>
      </c>
      <c r="O32" s="1645"/>
      <c r="P32" s="245" t="b">
        <f t="shared" si="3"/>
        <v>0</v>
      </c>
      <c r="R32" s="245" t="b">
        <f t="shared" si="1"/>
        <v>0</v>
      </c>
      <c r="AO32" s="238" t="str">
        <f t="shared" si="2"/>
        <v>SG57</v>
      </c>
      <c r="AP32" s="945" t="b">
        <v>0</v>
      </c>
      <c r="AQ32" s="1323"/>
      <c r="AR32" s="1324"/>
      <c r="AS32" s="1324"/>
      <c r="AT32" s="1324"/>
      <c r="AU32" s="1324"/>
      <c r="AV32" s="1324"/>
      <c r="AW32" s="1324"/>
      <c r="AX32" s="1324"/>
      <c r="AY32" s="1324"/>
      <c r="AZ32" s="1324"/>
      <c r="BA32" s="1533"/>
      <c r="BB32" s="1533"/>
      <c r="BC32" s="1534"/>
    </row>
    <row r="33" spans="1:55" ht="14.1" customHeight="1" x14ac:dyDescent="0.2">
      <c r="A33" s="1511" t="s">
        <v>2009</v>
      </c>
      <c r="B33" s="1512" t="s">
        <v>155</v>
      </c>
      <c r="C33" s="1512" t="s">
        <v>165</v>
      </c>
      <c r="D33" s="1512" t="s">
        <v>145</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SG58</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155</v>
      </c>
      <c r="C34" s="1512" t="s">
        <v>165</v>
      </c>
      <c r="D34" s="1512" t="s">
        <v>159</v>
      </c>
      <c r="E34" s="1513"/>
      <c r="F34" s="1514">
        <v>250</v>
      </c>
      <c r="G34" s="1515"/>
      <c r="H34" s="1516"/>
      <c r="I34" s="1514"/>
      <c r="J34" s="1515"/>
      <c r="K34" s="1516"/>
      <c r="L34" s="1517" t="s">
        <v>116</v>
      </c>
      <c r="M34" s="1517" t="s">
        <v>1393</v>
      </c>
      <c r="N34" s="1689" t="s">
        <v>116</v>
      </c>
      <c r="O34" s="1645"/>
      <c r="P34" s="245" t="b">
        <f t="shared" si="3"/>
        <v>0</v>
      </c>
      <c r="R34" s="245" t="b">
        <f t="shared" si="1"/>
        <v>1</v>
      </c>
      <c r="AO34" s="238" t="str">
        <f t="shared" si="2"/>
        <v>SG58</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154</v>
      </c>
      <c r="C35" s="1512" t="s">
        <v>165</v>
      </c>
      <c r="D35" s="1512" t="s">
        <v>145</v>
      </c>
      <c r="E35" s="1513"/>
      <c r="F35" s="1514">
        <v>1500</v>
      </c>
      <c r="G35" s="1515"/>
      <c r="H35" s="1516"/>
      <c r="I35" s="1514"/>
      <c r="J35" s="1515"/>
      <c r="K35" s="1516"/>
      <c r="L35" s="1517" t="s">
        <v>116</v>
      </c>
      <c r="M35" s="1517" t="s">
        <v>1393</v>
      </c>
      <c r="N35" s="1689" t="s">
        <v>116</v>
      </c>
      <c r="O35" s="1645"/>
      <c r="P35" s="245" t="b">
        <f t="shared" si="3"/>
        <v>0</v>
      </c>
      <c r="R35" s="245" t="b">
        <f t="shared" si="1"/>
        <v>1</v>
      </c>
      <c r="AO35" s="238" t="str">
        <f t="shared" si="2"/>
        <v>SG58</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3</v>
      </c>
      <c r="H36" s="1516">
        <v>9</v>
      </c>
      <c r="I36" s="1514"/>
      <c r="J36" s="1515"/>
      <c r="K36" s="1516"/>
      <c r="L36" s="1517" t="s">
        <v>703</v>
      </c>
      <c r="M36" s="1517" t="s">
        <v>1393</v>
      </c>
      <c r="N36" s="1689" t="s">
        <v>116</v>
      </c>
      <c r="O36" s="1645"/>
      <c r="P36" s="245" t="b">
        <f t="shared" si="3"/>
        <v>0</v>
      </c>
      <c r="R36" s="245" t="b">
        <f t="shared" si="1"/>
        <v>0</v>
      </c>
      <c r="AO36" s="238" t="str">
        <f t="shared" si="2"/>
        <v>SG58</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11</v>
      </c>
      <c r="H37" s="1516">
        <v>9</v>
      </c>
      <c r="I37" s="1514"/>
      <c r="J37" s="1515"/>
      <c r="K37" s="1516"/>
      <c r="L37" s="1517" t="s">
        <v>703</v>
      </c>
      <c r="M37" s="1517" t="s">
        <v>1393</v>
      </c>
      <c r="N37" s="1689" t="s">
        <v>116</v>
      </c>
      <c r="O37" s="1645"/>
      <c r="P37" s="245" t="b">
        <f t="shared" si="3"/>
        <v>0</v>
      </c>
      <c r="R37" s="245" t="b">
        <f t="shared" si="1"/>
        <v>0</v>
      </c>
      <c r="AO37" s="238" t="str">
        <f t="shared" si="2"/>
        <v>SG58</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19</v>
      </c>
      <c r="H38" s="1516">
        <v>9</v>
      </c>
      <c r="I38" s="1514"/>
      <c r="J38" s="1515"/>
      <c r="K38" s="1516"/>
      <c r="L38" s="1517" t="s">
        <v>703</v>
      </c>
      <c r="M38" s="1517" t="s">
        <v>1393</v>
      </c>
      <c r="N38" s="1689" t="s">
        <v>116</v>
      </c>
      <c r="O38" s="1645"/>
      <c r="P38" s="245" t="b">
        <f t="shared" si="3"/>
        <v>0</v>
      </c>
      <c r="R38" s="245" t="b">
        <f t="shared" si="1"/>
        <v>0</v>
      </c>
      <c r="AO38" s="238" t="str">
        <f t="shared" si="2"/>
        <v>SG58</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27</v>
      </c>
      <c r="H39" s="1516">
        <v>9</v>
      </c>
      <c r="I39" s="1514"/>
      <c r="J39" s="1515"/>
      <c r="K39" s="1516"/>
      <c r="L39" s="1517" t="s">
        <v>703</v>
      </c>
      <c r="M39" s="1517" t="s">
        <v>1393</v>
      </c>
      <c r="N39" s="1689" t="s">
        <v>116</v>
      </c>
      <c r="O39" s="1645"/>
      <c r="P39" s="245" t="b">
        <f t="shared" si="3"/>
        <v>0</v>
      </c>
      <c r="R39" s="245" t="b">
        <f t="shared" si="1"/>
        <v>0</v>
      </c>
      <c r="AO39" s="238" t="str">
        <f t="shared" si="2"/>
        <v>SG58</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35</v>
      </c>
      <c r="H40" s="1516">
        <v>9</v>
      </c>
      <c r="I40" s="1514"/>
      <c r="J40" s="1515"/>
      <c r="K40" s="1516"/>
      <c r="L40" s="1517" t="s">
        <v>703</v>
      </c>
      <c r="M40" s="1517" t="s">
        <v>1393</v>
      </c>
      <c r="N40" s="1689" t="s">
        <v>116</v>
      </c>
      <c r="O40" s="1645"/>
      <c r="P40" s="245" t="b">
        <f t="shared" si="3"/>
        <v>0</v>
      </c>
      <c r="R40" s="245" t="b">
        <f t="shared" si="1"/>
        <v>0</v>
      </c>
      <c r="AO40" s="238" t="str">
        <f t="shared" si="2"/>
        <v>SG58</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43</v>
      </c>
      <c r="H41" s="1516">
        <v>9</v>
      </c>
      <c r="I41" s="1514"/>
      <c r="J41" s="1515"/>
      <c r="K41" s="1516"/>
      <c r="L41" s="1517" t="s">
        <v>703</v>
      </c>
      <c r="M41" s="1517" t="s">
        <v>1393</v>
      </c>
      <c r="N41" s="1689" t="s">
        <v>116</v>
      </c>
      <c r="O41" s="1645"/>
      <c r="P41" s="245" t="b">
        <f t="shared" si="3"/>
        <v>0</v>
      </c>
      <c r="R41" s="245" t="b">
        <f t="shared" si="1"/>
        <v>0</v>
      </c>
      <c r="AO41" s="238" t="str">
        <f t="shared" si="2"/>
        <v>SG58</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51</v>
      </c>
      <c r="H42" s="1516">
        <v>9</v>
      </c>
      <c r="I42" s="1514"/>
      <c r="J42" s="1515"/>
      <c r="K42" s="1516"/>
      <c r="L42" s="1517" t="s">
        <v>703</v>
      </c>
      <c r="M42" s="1517" t="s">
        <v>1393</v>
      </c>
      <c r="N42" s="1689" t="s">
        <v>116</v>
      </c>
      <c r="O42" s="1645"/>
      <c r="P42" s="245" t="b">
        <f t="shared" si="3"/>
        <v>0</v>
      </c>
      <c r="R42" s="245" t="b">
        <f t="shared" si="1"/>
        <v>0</v>
      </c>
      <c r="AO42" s="238" t="str">
        <f t="shared" si="2"/>
        <v>SG58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3</v>
      </c>
      <c r="H43" s="1516">
        <v>9</v>
      </c>
      <c r="I43" s="1514"/>
      <c r="J43" s="1515"/>
      <c r="K43" s="1516"/>
      <c r="L43" s="1517" t="s">
        <v>703</v>
      </c>
      <c r="M43" s="1517" t="s">
        <v>1393</v>
      </c>
      <c r="N43" s="1689" t="s">
        <v>116</v>
      </c>
      <c r="O43" s="1645"/>
      <c r="P43" s="245" t="b">
        <f t="shared" si="3"/>
        <v>0</v>
      </c>
      <c r="R43" s="245" t="b">
        <f t="shared" si="1"/>
        <v>0</v>
      </c>
      <c r="AO43" s="238" t="str">
        <f t="shared" si="2"/>
        <v>SG58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11</v>
      </c>
      <c r="H44" s="1516">
        <v>9</v>
      </c>
      <c r="I44" s="1514"/>
      <c r="J44" s="1515"/>
      <c r="K44" s="1516"/>
      <c r="L44" s="1517" t="s">
        <v>703</v>
      </c>
      <c r="M44" s="1517" t="s">
        <v>1393</v>
      </c>
      <c r="N44" s="1689" t="s">
        <v>116</v>
      </c>
      <c r="O44" s="1645"/>
      <c r="P44" s="245" t="b">
        <f t="shared" si="3"/>
        <v>0</v>
      </c>
      <c r="R44" s="245" t="b">
        <f t="shared" si="1"/>
        <v>0</v>
      </c>
      <c r="AO44" s="238" t="str">
        <f t="shared" si="2"/>
        <v>SG58</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19</v>
      </c>
      <c r="H45" s="1516">
        <v>9</v>
      </c>
      <c r="I45" s="1514"/>
      <c r="J45" s="1515"/>
      <c r="K45" s="1516"/>
      <c r="L45" s="1517" t="s">
        <v>703</v>
      </c>
      <c r="M45" s="1517" t="s">
        <v>1393</v>
      </c>
      <c r="N45" s="1689" t="s">
        <v>116</v>
      </c>
      <c r="O45" s="1645"/>
      <c r="P45" s="245" t="b">
        <f t="shared" si="3"/>
        <v>0</v>
      </c>
      <c r="R45" s="245" t="b">
        <f t="shared" si="1"/>
        <v>0</v>
      </c>
      <c r="AO45" s="238" t="str">
        <f t="shared" si="2"/>
        <v>SG58</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27</v>
      </c>
      <c r="H46" s="1516">
        <v>9</v>
      </c>
      <c r="I46" s="1514"/>
      <c r="J46" s="1515"/>
      <c r="K46" s="1516"/>
      <c r="L46" s="1517" t="s">
        <v>703</v>
      </c>
      <c r="M46" s="1517" t="s">
        <v>1393</v>
      </c>
      <c r="N46" s="1689" t="s">
        <v>116</v>
      </c>
      <c r="O46" s="1645"/>
      <c r="P46" s="245" t="b">
        <f t="shared" si="3"/>
        <v>0</v>
      </c>
      <c r="R46" s="245" t="b">
        <f t="shared" si="1"/>
        <v>0</v>
      </c>
      <c r="AO46" s="238" t="str">
        <f t="shared" si="2"/>
        <v>SG58</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35</v>
      </c>
      <c r="H47" s="1516">
        <v>9</v>
      </c>
      <c r="I47" s="1514"/>
      <c r="J47" s="1515"/>
      <c r="K47" s="1516"/>
      <c r="L47" s="1517" t="s">
        <v>703</v>
      </c>
      <c r="M47" s="1517" t="s">
        <v>1393</v>
      </c>
      <c r="N47" s="1689" t="s">
        <v>116</v>
      </c>
      <c r="O47" s="1645"/>
      <c r="P47" s="245" t="b">
        <f t="shared" si="3"/>
        <v>0</v>
      </c>
      <c r="R47" s="245" t="b">
        <f t="shared" si="1"/>
        <v>0</v>
      </c>
      <c r="AO47" s="238" t="str">
        <f t="shared" si="2"/>
        <v>SG58</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43</v>
      </c>
      <c r="H48" s="1516">
        <v>9</v>
      </c>
      <c r="I48" s="1514"/>
      <c r="J48" s="1515"/>
      <c r="K48" s="1516"/>
      <c r="L48" s="1517" t="s">
        <v>703</v>
      </c>
      <c r="M48" s="1517" t="s">
        <v>1393</v>
      </c>
      <c r="N48" s="1689" t="s">
        <v>116</v>
      </c>
      <c r="O48" s="1645"/>
      <c r="P48" s="245" t="b">
        <f t="shared" si="3"/>
        <v>0</v>
      </c>
      <c r="R48" s="245" t="b">
        <f t="shared" si="1"/>
        <v>0</v>
      </c>
      <c r="AO48" s="238" t="str">
        <f t="shared" si="2"/>
        <v>SG58</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51</v>
      </c>
      <c r="H49" s="1516">
        <v>9</v>
      </c>
      <c r="I49" s="1514"/>
      <c r="J49" s="1515"/>
      <c r="K49" s="1516"/>
      <c r="L49" s="1517" t="s">
        <v>703</v>
      </c>
      <c r="M49" s="1517" t="s">
        <v>1393</v>
      </c>
      <c r="N49" s="1689" t="s">
        <v>116</v>
      </c>
      <c r="O49" s="1645"/>
      <c r="P49" s="245" t="b">
        <f t="shared" si="3"/>
        <v>0</v>
      </c>
      <c r="R49" s="245" t="b">
        <f t="shared" si="1"/>
        <v>0</v>
      </c>
      <c r="AO49" s="238" t="str">
        <f t="shared" si="2"/>
        <v>SG58</v>
      </c>
      <c r="AP49" s="945" t="b">
        <v>0</v>
      </c>
      <c r="AQ49" s="1323"/>
      <c r="AR49" s="1324"/>
      <c r="AS49" s="1324"/>
      <c r="AT49" s="1324"/>
      <c r="AU49" s="1324"/>
      <c r="AV49" s="1324"/>
      <c r="AW49" s="1324"/>
      <c r="AX49" s="1324"/>
      <c r="AY49" s="1324"/>
      <c r="AZ49" s="1324"/>
      <c r="BA49" s="1533"/>
      <c r="BB49" s="1533"/>
      <c r="BC49" s="1534"/>
    </row>
    <row r="50" spans="1:55" ht="14.1" customHeight="1" x14ac:dyDescent="0.2">
      <c r="A50" s="1511" t="s">
        <v>2010</v>
      </c>
      <c r="B50" s="1512" t="s">
        <v>155</v>
      </c>
      <c r="C50" s="1512" t="s">
        <v>165</v>
      </c>
      <c r="D50" s="1512" t="s">
        <v>145</v>
      </c>
      <c r="E50" s="1513"/>
      <c r="F50" s="1514">
        <v>250</v>
      </c>
      <c r="G50" s="1515"/>
      <c r="H50" s="1516"/>
      <c r="I50" s="1514"/>
      <c r="J50" s="1515"/>
      <c r="K50" s="1516"/>
      <c r="L50" s="1517" t="s">
        <v>116</v>
      </c>
      <c r="M50" s="1517" t="s">
        <v>1393</v>
      </c>
      <c r="N50" s="1689" t="s">
        <v>116</v>
      </c>
      <c r="O50" s="1645"/>
      <c r="P50" s="245" t="b">
        <f t="shared" si="3"/>
        <v>0</v>
      </c>
      <c r="R50" s="245" t="b">
        <f t="shared" si="1"/>
        <v>1</v>
      </c>
      <c r="AO50" s="238" t="str">
        <f t="shared" si="2"/>
        <v>SG59</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155</v>
      </c>
      <c r="C51" s="1512" t="s">
        <v>165</v>
      </c>
      <c r="D51" s="1512" t="s">
        <v>159</v>
      </c>
      <c r="E51" s="1513"/>
      <c r="F51" s="1514">
        <v>250</v>
      </c>
      <c r="G51" s="1515"/>
      <c r="H51" s="1516"/>
      <c r="I51" s="1514"/>
      <c r="J51" s="1515"/>
      <c r="K51" s="1516"/>
      <c r="L51" s="1517" t="s">
        <v>116</v>
      </c>
      <c r="M51" s="1517" t="s">
        <v>1393</v>
      </c>
      <c r="N51" s="1689" t="s">
        <v>116</v>
      </c>
      <c r="O51" s="1645"/>
      <c r="P51" s="245" t="b">
        <f t="shared" si="3"/>
        <v>0</v>
      </c>
      <c r="R51" s="245" t="b">
        <f t="shared" si="1"/>
        <v>1</v>
      </c>
      <c r="AO51" s="238" t="str">
        <f t="shared" si="2"/>
        <v>SG59</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154</v>
      </c>
      <c r="C52" s="1512" t="s">
        <v>165</v>
      </c>
      <c r="D52" s="1512" t="s">
        <v>145</v>
      </c>
      <c r="E52" s="1513"/>
      <c r="F52" s="1514">
        <v>1500</v>
      </c>
      <c r="G52" s="1515"/>
      <c r="H52" s="1516"/>
      <c r="I52" s="1514"/>
      <c r="J52" s="1515"/>
      <c r="K52" s="1516"/>
      <c r="L52" s="1517" t="s">
        <v>116</v>
      </c>
      <c r="M52" s="1517" t="s">
        <v>1393</v>
      </c>
      <c r="N52" s="1689" t="s">
        <v>116</v>
      </c>
      <c r="O52" s="1645"/>
      <c r="P52" s="245" t="b">
        <f t="shared" si="3"/>
        <v>0</v>
      </c>
      <c r="R52" s="245" t="b">
        <f t="shared" si="1"/>
        <v>1</v>
      </c>
      <c r="AO52" s="238" t="str">
        <f t="shared" si="2"/>
        <v>SG59</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7</v>
      </c>
      <c r="H53" s="1516">
        <v>9</v>
      </c>
      <c r="I53" s="1514"/>
      <c r="J53" s="1515"/>
      <c r="K53" s="1516"/>
      <c r="L53" s="1517" t="s">
        <v>703</v>
      </c>
      <c r="M53" s="1517" t="s">
        <v>1393</v>
      </c>
      <c r="N53" s="1689" t="s">
        <v>116</v>
      </c>
      <c r="O53" s="1645"/>
      <c r="P53" s="245" t="b">
        <f t="shared" si="3"/>
        <v>0</v>
      </c>
      <c r="R53" s="245" t="b">
        <f t="shared" si="1"/>
        <v>0</v>
      </c>
      <c r="AO53" s="238" t="str">
        <f t="shared" si="2"/>
        <v>SG59</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15</v>
      </c>
      <c r="H54" s="1516">
        <v>9</v>
      </c>
      <c r="I54" s="1514"/>
      <c r="J54" s="1515"/>
      <c r="K54" s="1516"/>
      <c r="L54" s="1517" t="s">
        <v>703</v>
      </c>
      <c r="M54" s="1517" t="s">
        <v>1393</v>
      </c>
      <c r="N54" s="1689" t="s">
        <v>116</v>
      </c>
      <c r="O54" s="1645"/>
      <c r="P54" s="245" t="b">
        <f t="shared" si="3"/>
        <v>0</v>
      </c>
      <c r="R54" s="245" t="b">
        <f t="shared" si="1"/>
        <v>0</v>
      </c>
      <c r="AO54" s="238" t="str">
        <f t="shared" si="2"/>
        <v>SG59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23</v>
      </c>
      <c r="H55" s="1525">
        <v>9</v>
      </c>
      <c r="I55" s="1523"/>
      <c r="J55" s="1524"/>
      <c r="K55" s="1525"/>
      <c r="L55" s="1526" t="s">
        <v>703</v>
      </c>
      <c r="M55" s="1526" t="s">
        <v>1393</v>
      </c>
      <c r="N55" s="1690"/>
      <c r="O55" s="1645"/>
      <c r="P55" s="245" t="b">
        <f t="shared" si="3"/>
        <v>0</v>
      </c>
      <c r="R55" s="245" t="b">
        <f t="shared" si="1"/>
        <v>0</v>
      </c>
      <c r="AO55" s="238" t="str">
        <f t="shared" si="2"/>
        <v>SG59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29" priority="4" stopIfTrue="1">
      <formula>AND($B14="NU",F14&lt;0)</formula>
    </cfRule>
  </conditionalFormatting>
  <conditionalFormatting sqref="B14:B55">
    <cfRule type="expression" dxfId="128" priority="5" stopIfTrue="1">
      <formula>OR(AND($B14="NU",F14&lt;0),AND($B14="NU",I14&lt;0))</formula>
    </cfRule>
  </conditionalFormatting>
  <conditionalFormatting sqref="G14:H55 J14:L55">
    <cfRule type="expression" dxfId="127" priority="6" stopIfTrue="1">
      <formula>$R14</formula>
    </cfRule>
  </conditionalFormatting>
  <conditionalFormatting sqref="I2:K4">
    <cfRule type="cellIs" dxfId="126" priority="7" stopIfTrue="1" operator="equal">
      <formula>""</formula>
    </cfRule>
  </conditionalFormatting>
  <conditionalFormatting sqref="I14:I55">
    <cfRule type="expression" dxfId="125" priority="8" stopIfTrue="1">
      <formula>OR($R14,$B14="CZ",AND($B14="NU",I14&lt;0))</formula>
    </cfRule>
  </conditionalFormatting>
  <conditionalFormatting sqref="A14:A55">
    <cfRule type="expression" dxfId="124" priority="3">
      <formula>NOT($P14)</formula>
    </cfRule>
  </conditionalFormatting>
  <conditionalFormatting sqref="B14:D55">
    <cfRule type="expression" dxfId="1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2" priority="9">
      <formula>AND(NOT($P14),$T$1)</formula>
    </cfRule>
    <cfRule type="expression" dxfId="121" priority="10">
      <formula>AND($AP14,$S$1="M")</formula>
    </cfRule>
  </conditionalFormatting>
  <conditionalFormatting sqref="L14:L55">
    <cfRule type="expression" dxfId="1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F5001EB-D80E-467D-8934-1254C706B1CB}">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8483868-B152-42C2-8574-13B18D654D0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C8279310-BDB8-4A56-83F5-41ED79DC362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C9ACC66-7BC7-40DF-9F3C-F1AF4825A572}">
      <formula1>IF($CA$14,$CA$16:$CA$21,$CB$16:$CB$19)</formula1>
    </dataValidation>
    <dataValidation type="list" allowBlank="1" showErrorMessage="1" errorTitle="Invalid Type" error="You MUST select a Type from the dropdown list provided._x000a__x000a_Also, make sure your Cap Lock is turned on." sqref="B14:B55" xr:uid="{882EB679-470F-4320-9AC0-9C0C562C768E}">
      <formula1>$BF$15:$BU$15</formula1>
    </dataValidation>
    <dataValidation allowBlank="1" showInputMessage="1" errorTitle="Invalid Load Case" error="You MUST use a Load Case from the list provided." sqref="M14:M55" xr:uid="{A0D33E4C-B0A6-48B3-8F29-AD82B62F2C13}"/>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9C24A-DCD0-47EF-A65B-CAE15EFD6B85}">
  <sheetPr codeName="Sheet6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7000</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7</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15</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23</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532</v>
      </c>
      <c r="G20" s="1515">
        <v>31</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39</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47</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t="s">
        <v>2011</v>
      </c>
      <c r="B23" s="1512" t="s">
        <v>155</v>
      </c>
      <c r="C23" s="1512" t="s">
        <v>165</v>
      </c>
      <c r="D23" s="1512" t="s">
        <v>145</v>
      </c>
      <c r="E23" s="1513"/>
      <c r="F23" s="1514">
        <v>250</v>
      </c>
      <c r="G23" s="1515"/>
      <c r="H23" s="1516"/>
      <c r="I23" s="1514"/>
      <c r="J23" s="1515"/>
      <c r="K23" s="1516"/>
      <c r="L23" s="1517" t="s">
        <v>116</v>
      </c>
      <c r="M23" s="1518" t="s">
        <v>1393</v>
      </c>
      <c r="N23" s="1519"/>
      <c r="O23" s="1646"/>
      <c r="P23" s="245" t="b">
        <f t="shared" si="3"/>
        <v>0</v>
      </c>
      <c r="R23" s="245" t="b">
        <f t="shared" si="1"/>
        <v>1</v>
      </c>
      <c r="AO23" s="238" t="str">
        <f t="shared" si="2"/>
        <v>SG60</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155</v>
      </c>
      <c r="C24" s="1512" t="s">
        <v>165</v>
      </c>
      <c r="D24" s="1512" t="s">
        <v>159</v>
      </c>
      <c r="E24" s="1513"/>
      <c r="F24" s="1514">
        <v>250</v>
      </c>
      <c r="G24" s="1515"/>
      <c r="H24" s="1516"/>
      <c r="I24" s="1514"/>
      <c r="J24" s="1515"/>
      <c r="K24" s="1516"/>
      <c r="L24" s="1517" t="s">
        <v>116</v>
      </c>
      <c r="M24" s="1518" t="s">
        <v>1393</v>
      </c>
      <c r="N24" s="1519"/>
      <c r="O24" s="1646"/>
      <c r="P24" s="245" t="b">
        <f t="shared" si="3"/>
        <v>0</v>
      </c>
      <c r="R24" s="245" t="b">
        <f t="shared" si="1"/>
        <v>1</v>
      </c>
      <c r="AO24" s="238" t="str">
        <f t="shared" si="2"/>
        <v>SG60</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154</v>
      </c>
      <c r="C25" s="1512" t="s">
        <v>165</v>
      </c>
      <c r="D25" s="1512" t="s">
        <v>145</v>
      </c>
      <c r="E25" s="1513"/>
      <c r="F25" s="1514">
        <v>1500</v>
      </c>
      <c r="G25" s="1515"/>
      <c r="H25" s="1516"/>
      <c r="I25" s="1514"/>
      <c r="J25" s="1515"/>
      <c r="K25" s="1516"/>
      <c r="L25" s="1517" t="s">
        <v>116</v>
      </c>
      <c r="M25" s="1518" t="s">
        <v>1393</v>
      </c>
      <c r="N25" s="1519"/>
      <c r="O25" s="1646"/>
      <c r="P25" s="245" t="b">
        <f t="shared" si="3"/>
        <v>0</v>
      </c>
      <c r="R25" s="245" t="b">
        <f t="shared" si="1"/>
        <v>1</v>
      </c>
      <c r="AO25" s="238" t="str">
        <f t="shared" si="2"/>
        <v>SG60</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154</v>
      </c>
      <c r="C26" s="1512" t="s">
        <v>165</v>
      </c>
      <c r="D26" s="1512" t="s">
        <v>145</v>
      </c>
      <c r="E26" s="1513"/>
      <c r="F26" s="1514">
        <v>2220</v>
      </c>
      <c r="G26" s="1515"/>
      <c r="H26" s="1516"/>
      <c r="I26" s="1514"/>
      <c r="J26" s="1515"/>
      <c r="K26" s="1516"/>
      <c r="L26" s="1517" t="s">
        <v>116</v>
      </c>
      <c r="M26" s="1518" t="s">
        <v>1393</v>
      </c>
      <c r="N26" s="1519"/>
      <c r="O26" s="1646"/>
      <c r="P26" s="245" t="b">
        <f t="shared" si="3"/>
        <v>0</v>
      </c>
      <c r="R26" s="245" t="b">
        <f t="shared" si="1"/>
        <v>1</v>
      </c>
      <c r="AO26" s="238" t="str">
        <f t="shared" si="2"/>
        <v>SG60</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153</v>
      </c>
      <c r="C27" s="1512" t="s">
        <v>165</v>
      </c>
      <c r="D27" s="1512" t="s">
        <v>145</v>
      </c>
      <c r="E27" s="1513"/>
      <c r="F27" s="1514">
        <v>300</v>
      </c>
      <c r="G27" s="1515">
        <v>39</v>
      </c>
      <c r="H27" s="1516">
        <v>9</v>
      </c>
      <c r="I27" s="1514"/>
      <c r="J27" s="1515"/>
      <c r="K27" s="1516"/>
      <c r="L27" s="1517" t="s">
        <v>703</v>
      </c>
      <c r="M27" s="1518" t="s">
        <v>1393</v>
      </c>
      <c r="N27" s="1519"/>
      <c r="O27" s="1646"/>
      <c r="P27" s="245" t="b">
        <f t="shared" si="3"/>
        <v>0</v>
      </c>
      <c r="R27" s="245" t="b">
        <f t="shared" si="1"/>
        <v>0</v>
      </c>
      <c r="AO27" s="238" t="str">
        <f t="shared" si="2"/>
        <v>SG60</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153</v>
      </c>
      <c r="C28" s="1512" t="s">
        <v>165</v>
      </c>
      <c r="D28" s="1512" t="s">
        <v>145</v>
      </c>
      <c r="E28" s="1513"/>
      <c r="F28" s="1514">
        <v>300</v>
      </c>
      <c r="G28" s="1515">
        <v>47</v>
      </c>
      <c r="H28" s="1516">
        <v>9</v>
      </c>
      <c r="I28" s="1514"/>
      <c r="J28" s="1515"/>
      <c r="K28" s="1516"/>
      <c r="L28" s="1517" t="s">
        <v>703</v>
      </c>
      <c r="M28" s="1518" t="s">
        <v>1393</v>
      </c>
      <c r="N28" s="1689"/>
      <c r="O28" s="1645"/>
      <c r="P28" s="245" t="b">
        <f t="shared" si="3"/>
        <v>0</v>
      </c>
      <c r="R28" s="245" t="b">
        <f t="shared" si="1"/>
        <v>0</v>
      </c>
      <c r="AO28" s="238" t="str">
        <f t="shared" si="2"/>
        <v>SG60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7</v>
      </c>
      <c r="H29" s="1516">
        <v>9</v>
      </c>
      <c r="I29" s="1514"/>
      <c r="J29" s="1515"/>
      <c r="K29" s="1516"/>
      <c r="L29" s="1517" t="s">
        <v>703</v>
      </c>
      <c r="M29" s="1518" t="s">
        <v>1393</v>
      </c>
      <c r="N29" s="1689"/>
      <c r="O29" s="1645"/>
      <c r="P29" s="245" t="b">
        <f t="shared" si="3"/>
        <v>0</v>
      </c>
      <c r="R29" s="245" t="b">
        <f t="shared" si="1"/>
        <v>0</v>
      </c>
      <c r="AO29" s="238" t="str">
        <f t="shared" si="2"/>
        <v>SG60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15</v>
      </c>
      <c r="H30" s="1516">
        <v>9</v>
      </c>
      <c r="I30" s="1514"/>
      <c r="J30" s="1515"/>
      <c r="K30" s="1516"/>
      <c r="L30" s="1517" t="s">
        <v>703</v>
      </c>
      <c r="M30" s="1518" t="s">
        <v>1393</v>
      </c>
      <c r="N30" s="1689" t="s">
        <v>116</v>
      </c>
      <c r="O30" s="1645"/>
      <c r="P30" s="245" t="b">
        <f t="shared" si="3"/>
        <v>0</v>
      </c>
      <c r="R30" s="245" t="b">
        <f t="shared" si="1"/>
        <v>0</v>
      </c>
      <c r="AO30" s="238" t="str">
        <f t="shared" si="2"/>
        <v>SG60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23</v>
      </c>
      <c r="H31" s="1516">
        <v>9</v>
      </c>
      <c r="I31" s="1514"/>
      <c r="J31" s="1515"/>
      <c r="K31" s="1516"/>
      <c r="L31" s="1517" t="s">
        <v>703</v>
      </c>
      <c r="M31" s="1517" t="s">
        <v>1393</v>
      </c>
      <c r="N31" s="1689" t="s">
        <v>116</v>
      </c>
      <c r="O31" s="1645"/>
      <c r="P31" s="245" t="b">
        <f t="shared" si="3"/>
        <v>0</v>
      </c>
      <c r="R31" s="245" t="b">
        <f t="shared" si="1"/>
        <v>0</v>
      </c>
      <c r="AO31" s="238" t="str">
        <f t="shared" si="2"/>
        <v>SG60</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31</v>
      </c>
      <c r="H32" s="1516">
        <v>9</v>
      </c>
      <c r="I32" s="1514"/>
      <c r="J32" s="1515"/>
      <c r="K32" s="1516"/>
      <c r="L32" s="1517" t="s">
        <v>703</v>
      </c>
      <c r="M32" s="1517" t="s">
        <v>1393</v>
      </c>
      <c r="N32" s="1689" t="s">
        <v>116</v>
      </c>
      <c r="O32" s="1645"/>
      <c r="P32" s="245" t="b">
        <f t="shared" si="3"/>
        <v>0</v>
      </c>
      <c r="R32" s="245" t="b">
        <f t="shared" si="1"/>
        <v>0</v>
      </c>
      <c r="AO32" s="238" t="str">
        <f t="shared" si="2"/>
        <v>SG60</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39</v>
      </c>
      <c r="H33" s="1516">
        <v>9</v>
      </c>
      <c r="I33" s="1514"/>
      <c r="J33" s="1515"/>
      <c r="K33" s="1516"/>
      <c r="L33" s="1517" t="s">
        <v>703</v>
      </c>
      <c r="M33" s="1517" t="s">
        <v>1393</v>
      </c>
      <c r="N33" s="1689" t="s">
        <v>116</v>
      </c>
      <c r="O33" s="1645"/>
      <c r="P33" s="245" t="b">
        <f t="shared" si="3"/>
        <v>0</v>
      </c>
      <c r="R33" s="245" t="b">
        <f t="shared" si="1"/>
        <v>0</v>
      </c>
      <c r="AO33" s="238" t="str">
        <f t="shared" si="2"/>
        <v>SG60</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47</v>
      </c>
      <c r="H34" s="1516">
        <v>9</v>
      </c>
      <c r="I34" s="1514"/>
      <c r="J34" s="1515"/>
      <c r="K34" s="1516"/>
      <c r="L34" s="1517" t="s">
        <v>703</v>
      </c>
      <c r="M34" s="1517" t="s">
        <v>1393</v>
      </c>
      <c r="N34" s="1689" t="s">
        <v>116</v>
      </c>
      <c r="O34" s="1645"/>
      <c r="P34" s="245" t="b">
        <f t="shared" si="3"/>
        <v>0</v>
      </c>
      <c r="R34" s="245" t="b">
        <f t="shared" si="1"/>
        <v>0</v>
      </c>
      <c r="AO34" s="238" t="str">
        <f t="shared" si="2"/>
        <v>SG60</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7</v>
      </c>
      <c r="H35" s="1516">
        <v>9</v>
      </c>
      <c r="I35" s="1514"/>
      <c r="J35" s="1515"/>
      <c r="K35" s="1516"/>
      <c r="L35" s="1517" t="s">
        <v>703</v>
      </c>
      <c r="M35" s="1517" t="s">
        <v>1393</v>
      </c>
      <c r="N35" s="1689" t="s">
        <v>116</v>
      </c>
      <c r="O35" s="1645"/>
      <c r="P35" s="245" t="b">
        <f t="shared" si="3"/>
        <v>0</v>
      </c>
      <c r="R35" s="245" t="b">
        <f t="shared" si="1"/>
        <v>0</v>
      </c>
      <c r="AO35" s="238" t="str">
        <f t="shared" si="2"/>
        <v>SG60</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15</v>
      </c>
      <c r="H36" s="1516">
        <v>9</v>
      </c>
      <c r="I36" s="1514"/>
      <c r="J36" s="1515"/>
      <c r="K36" s="1516"/>
      <c r="L36" s="1517" t="s">
        <v>703</v>
      </c>
      <c r="M36" s="1517" t="s">
        <v>1393</v>
      </c>
      <c r="N36" s="1689" t="s">
        <v>116</v>
      </c>
      <c r="O36" s="1645"/>
      <c r="P36" s="245" t="b">
        <f t="shared" si="3"/>
        <v>0</v>
      </c>
      <c r="R36" s="245" t="b">
        <f t="shared" si="1"/>
        <v>0</v>
      </c>
      <c r="AO36" s="238" t="str">
        <f t="shared" si="2"/>
        <v>SG60</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23</v>
      </c>
      <c r="H37" s="1516">
        <v>9</v>
      </c>
      <c r="I37" s="1514"/>
      <c r="J37" s="1515"/>
      <c r="K37" s="1516"/>
      <c r="L37" s="1517" t="s">
        <v>703</v>
      </c>
      <c r="M37" s="1517" t="s">
        <v>1393</v>
      </c>
      <c r="N37" s="1689" t="s">
        <v>116</v>
      </c>
      <c r="O37" s="1645"/>
      <c r="P37" s="245" t="b">
        <f t="shared" si="3"/>
        <v>0</v>
      </c>
      <c r="R37" s="245" t="b">
        <f t="shared" si="1"/>
        <v>0</v>
      </c>
      <c r="AO37" s="238" t="str">
        <f t="shared" si="2"/>
        <v>SG60</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31</v>
      </c>
      <c r="H38" s="1516">
        <v>9</v>
      </c>
      <c r="I38" s="1514"/>
      <c r="J38" s="1515"/>
      <c r="K38" s="1516"/>
      <c r="L38" s="1517" t="s">
        <v>703</v>
      </c>
      <c r="M38" s="1517" t="s">
        <v>1393</v>
      </c>
      <c r="N38" s="1689" t="s">
        <v>116</v>
      </c>
      <c r="O38" s="1645"/>
      <c r="P38" s="245" t="b">
        <f t="shared" si="3"/>
        <v>0</v>
      </c>
      <c r="R38" s="245" t="b">
        <f t="shared" si="1"/>
        <v>0</v>
      </c>
      <c r="AO38" s="238" t="str">
        <f t="shared" si="2"/>
        <v>SG60</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39</v>
      </c>
      <c r="H39" s="1516">
        <v>9</v>
      </c>
      <c r="I39" s="1514"/>
      <c r="J39" s="1515"/>
      <c r="K39" s="1516"/>
      <c r="L39" s="1517" t="s">
        <v>703</v>
      </c>
      <c r="M39" s="1517" t="s">
        <v>1393</v>
      </c>
      <c r="N39" s="1689" t="s">
        <v>116</v>
      </c>
      <c r="O39" s="1645"/>
      <c r="P39" s="245" t="b">
        <f t="shared" si="3"/>
        <v>0</v>
      </c>
      <c r="R39" s="245" t="b">
        <f t="shared" si="1"/>
        <v>0</v>
      </c>
      <c r="AO39" s="238" t="str">
        <f t="shared" si="2"/>
        <v>SG60</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47</v>
      </c>
      <c r="H40" s="1516">
        <v>9</v>
      </c>
      <c r="I40" s="1514"/>
      <c r="J40" s="1515"/>
      <c r="K40" s="1516"/>
      <c r="L40" s="1517" t="s">
        <v>703</v>
      </c>
      <c r="M40" s="1517" t="s">
        <v>1393</v>
      </c>
      <c r="N40" s="1689" t="s">
        <v>116</v>
      </c>
      <c r="O40" s="1645"/>
      <c r="P40" s="245" t="b">
        <f t="shared" si="3"/>
        <v>0</v>
      </c>
      <c r="R40" s="245" t="b">
        <f t="shared" si="1"/>
        <v>0</v>
      </c>
      <c r="AO40" s="238" t="str">
        <f t="shared" si="2"/>
        <v>SG60</v>
      </c>
      <c r="AP40" s="945" t="b">
        <v>0</v>
      </c>
      <c r="AQ40" s="1323"/>
      <c r="AR40" s="1324"/>
      <c r="AS40" s="1324"/>
      <c r="AT40" s="1324"/>
      <c r="AU40" s="1324"/>
      <c r="AV40" s="1324"/>
      <c r="AW40" s="1324"/>
      <c r="AX40" s="1324"/>
      <c r="AY40" s="1324"/>
      <c r="AZ40" s="1324"/>
      <c r="BA40" s="1533"/>
      <c r="BB40" s="1533"/>
      <c r="BC40" s="1534"/>
    </row>
    <row r="41" spans="1:55" ht="14.1" customHeight="1" x14ac:dyDescent="0.2">
      <c r="A41" s="1511" t="s">
        <v>2012</v>
      </c>
      <c r="B41" s="1512" t="s">
        <v>155</v>
      </c>
      <c r="C41" s="1512" t="s">
        <v>165</v>
      </c>
      <c r="D41" s="1512" t="s">
        <v>145</v>
      </c>
      <c r="E41" s="1513"/>
      <c r="F41" s="1514">
        <v>250</v>
      </c>
      <c r="G41" s="1515"/>
      <c r="H41" s="1516"/>
      <c r="I41" s="1514"/>
      <c r="J41" s="1515"/>
      <c r="K41" s="1516"/>
      <c r="L41" s="1517" t="s">
        <v>116</v>
      </c>
      <c r="M41" s="1517" t="s">
        <v>1393</v>
      </c>
      <c r="N41" s="1689" t="s">
        <v>116</v>
      </c>
      <c r="O41" s="1645"/>
      <c r="P41" s="245" t="b">
        <f t="shared" si="3"/>
        <v>0</v>
      </c>
      <c r="R41" s="245" t="b">
        <f t="shared" si="1"/>
        <v>1</v>
      </c>
      <c r="AO41" s="238" t="str">
        <f t="shared" si="2"/>
        <v>SG61</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155</v>
      </c>
      <c r="C42" s="1512" t="s">
        <v>165</v>
      </c>
      <c r="D42" s="1512" t="s">
        <v>159</v>
      </c>
      <c r="E42" s="1513"/>
      <c r="F42" s="1514">
        <v>250</v>
      </c>
      <c r="G42" s="1515"/>
      <c r="H42" s="1516"/>
      <c r="I42" s="1514"/>
      <c r="J42" s="1515"/>
      <c r="K42" s="1516"/>
      <c r="L42" s="1517" t="s">
        <v>116</v>
      </c>
      <c r="M42" s="1517" t="s">
        <v>1393</v>
      </c>
      <c r="N42" s="1689" t="s">
        <v>116</v>
      </c>
      <c r="O42" s="1645"/>
      <c r="P42" s="245" t="b">
        <f t="shared" si="3"/>
        <v>0</v>
      </c>
      <c r="R42" s="245" t="b">
        <f t="shared" si="1"/>
        <v>1</v>
      </c>
      <c r="AO42" s="238" t="str">
        <f t="shared" si="2"/>
        <v>SG61</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154</v>
      </c>
      <c r="C43" s="1512" t="s">
        <v>165</v>
      </c>
      <c r="D43" s="1512" t="s">
        <v>145</v>
      </c>
      <c r="E43" s="1513"/>
      <c r="F43" s="1514">
        <v>1500</v>
      </c>
      <c r="G43" s="1515"/>
      <c r="H43" s="1516"/>
      <c r="I43" s="1514"/>
      <c r="J43" s="1515"/>
      <c r="K43" s="1516"/>
      <c r="L43" s="1517" t="s">
        <v>116</v>
      </c>
      <c r="M43" s="1517" t="s">
        <v>1393</v>
      </c>
      <c r="N43" s="1689" t="s">
        <v>116</v>
      </c>
      <c r="O43" s="1645"/>
      <c r="P43" s="245" t="b">
        <f t="shared" si="3"/>
        <v>0</v>
      </c>
      <c r="R43" s="245" t="b">
        <f t="shared" si="1"/>
        <v>1</v>
      </c>
      <c r="AO43" s="238" t="str">
        <f t="shared" si="2"/>
        <v>SG61</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154</v>
      </c>
      <c r="C44" s="1512" t="s">
        <v>165</v>
      </c>
      <c r="D44" s="1512" t="s">
        <v>145</v>
      </c>
      <c r="E44" s="1513"/>
      <c r="F44" s="1514">
        <v>720</v>
      </c>
      <c r="G44" s="1515"/>
      <c r="H44" s="1516"/>
      <c r="I44" s="1514"/>
      <c r="J44" s="1515"/>
      <c r="K44" s="1516"/>
      <c r="L44" s="1517" t="s">
        <v>116</v>
      </c>
      <c r="M44" s="1517" t="s">
        <v>1393</v>
      </c>
      <c r="N44" s="1689" t="s">
        <v>116</v>
      </c>
      <c r="O44" s="1645"/>
      <c r="P44" s="245" t="b">
        <f t="shared" si="3"/>
        <v>0</v>
      </c>
      <c r="R44" s="245" t="b">
        <f t="shared" si="1"/>
        <v>1</v>
      </c>
      <c r="AO44" s="238" t="str">
        <f t="shared" si="2"/>
        <v>SG61</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153</v>
      </c>
      <c r="C45" s="1512" t="s">
        <v>165</v>
      </c>
      <c r="D45" s="1512" t="s">
        <v>145</v>
      </c>
      <c r="E45" s="1513"/>
      <c r="F45" s="1514">
        <v>300</v>
      </c>
      <c r="G45" s="1515">
        <v>7</v>
      </c>
      <c r="H45" s="1516">
        <v>9</v>
      </c>
      <c r="I45" s="1514"/>
      <c r="J45" s="1515"/>
      <c r="K45" s="1516"/>
      <c r="L45" s="1517" t="s">
        <v>703</v>
      </c>
      <c r="M45" s="1517" t="s">
        <v>1393</v>
      </c>
      <c r="N45" s="1689" t="s">
        <v>116</v>
      </c>
      <c r="O45" s="1645"/>
      <c r="P45" s="245" t="b">
        <f t="shared" si="3"/>
        <v>0</v>
      </c>
      <c r="R45" s="245" t="b">
        <f t="shared" si="1"/>
        <v>0</v>
      </c>
      <c r="AO45" s="238" t="str">
        <f t="shared" si="2"/>
        <v>SG61</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153</v>
      </c>
      <c r="C46" s="1512" t="s">
        <v>165</v>
      </c>
      <c r="D46" s="1512" t="s">
        <v>145</v>
      </c>
      <c r="E46" s="1513"/>
      <c r="F46" s="1514">
        <v>300</v>
      </c>
      <c r="G46" s="1515">
        <v>15</v>
      </c>
      <c r="H46" s="1516">
        <v>9</v>
      </c>
      <c r="I46" s="1514"/>
      <c r="J46" s="1515"/>
      <c r="K46" s="1516"/>
      <c r="L46" s="1517" t="s">
        <v>703</v>
      </c>
      <c r="M46" s="1517" t="s">
        <v>1393</v>
      </c>
      <c r="N46" s="1689" t="s">
        <v>116</v>
      </c>
      <c r="O46" s="1645"/>
      <c r="P46" s="245" t="b">
        <f t="shared" si="3"/>
        <v>0</v>
      </c>
      <c r="R46" s="245" t="b">
        <f t="shared" si="1"/>
        <v>0</v>
      </c>
      <c r="AO46" s="238" t="str">
        <f t="shared" si="2"/>
        <v>SG61</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7</v>
      </c>
      <c r="H47" s="1516">
        <v>9</v>
      </c>
      <c r="I47" s="1514"/>
      <c r="J47" s="1515"/>
      <c r="K47" s="1516"/>
      <c r="L47" s="1517" t="s">
        <v>703</v>
      </c>
      <c r="M47" s="1517" t="s">
        <v>1393</v>
      </c>
      <c r="N47" s="1689" t="s">
        <v>116</v>
      </c>
      <c r="O47" s="1645"/>
      <c r="P47" s="245" t="b">
        <f t="shared" si="3"/>
        <v>0</v>
      </c>
      <c r="R47" s="245" t="b">
        <f t="shared" si="1"/>
        <v>0</v>
      </c>
      <c r="AO47" s="238" t="str">
        <f t="shared" si="2"/>
        <v>SG61</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15</v>
      </c>
      <c r="H48" s="1516">
        <v>9</v>
      </c>
      <c r="I48" s="1514"/>
      <c r="J48" s="1515"/>
      <c r="K48" s="1516"/>
      <c r="L48" s="1517" t="s">
        <v>703</v>
      </c>
      <c r="M48" s="1517" t="s">
        <v>1393</v>
      </c>
      <c r="N48" s="1689" t="s">
        <v>116</v>
      </c>
      <c r="O48" s="1645"/>
      <c r="P48" s="245" t="b">
        <f t="shared" si="3"/>
        <v>0</v>
      </c>
      <c r="R48" s="245" t="b">
        <f t="shared" si="1"/>
        <v>0</v>
      </c>
      <c r="AO48" s="238" t="str">
        <f t="shared" si="2"/>
        <v>SG61</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23</v>
      </c>
      <c r="H49" s="1516">
        <v>9</v>
      </c>
      <c r="I49" s="1514"/>
      <c r="J49" s="1515"/>
      <c r="K49" s="1516"/>
      <c r="L49" s="1517" t="s">
        <v>703</v>
      </c>
      <c r="M49" s="1517" t="s">
        <v>1393</v>
      </c>
      <c r="N49" s="1689" t="s">
        <v>116</v>
      </c>
      <c r="O49" s="1645"/>
      <c r="P49" s="245" t="b">
        <f t="shared" si="3"/>
        <v>0</v>
      </c>
      <c r="R49" s="245" t="b">
        <f t="shared" si="1"/>
        <v>0</v>
      </c>
      <c r="AO49" s="238" t="str">
        <f t="shared" si="2"/>
        <v>SG61</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31</v>
      </c>
      <c r="H50" s="1516">
        <v>9</v>
      </c>
      <c r="I50" s="1514"/>
      <c r="J50" s="1515"/>
      <c r="K50" s="1516"/>
      <c r="L50" s="1517" t="s">
        <v>703</v>
      </c>
      <c r="M50" s="1517" t="s">
        <v>1393</v>
      </c>
      <c r="N50" s="1689" t="s">
        <v>116</v>
      </c>
      <c r="O50" s="1645"/>
      <c r="P50" s="245" t="b">
        <f t="shared" si="3"/>
        <v>0</v>
      </c>
      <c r="R50" s="245" t="b">
        <f t="shared" si="1"/>
        <v>0</v>
      </c>
      <c r="AO50" s="238" t="str">
        <f t="shared" si="2"/>
        <v>SG61</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39</v>
      </c>
      <c r="H51" s="1516">
        <v>9</v>
      </c>
      <c r="I51" s="1514"/>
      <c r="J51" s="1515"/>
      <c r="K51" s="1516"/>
      <c r="L51" s="1517" t="s">
        <v>703</v>
      </c>
      <c r="M51" s="1517" t="s">
        <v>1393</v>
      </c>
      <c r="N51" s="1689" t="s">
        <v>116</v>
      </c>
      <c r="O51" s="1645"/>
      <c r="P51" s="245" t="b">
        <f t="shared" si="3"/>
        <v>0</v>
      </c>
      <c r="R51" s="245" t="b">
        <f t="shared" si="1"/>
        <v>0</v>
      </c>
      <c r="AO51" s="238" t="str">
        <f t="shared" si="2"/>
        <v>SG61</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47</v>
      </c>
      <c r="H52" s="1516">
        <v>9</v>
      </c>
      <c r="I52" s="1514"/>
      <c r="J52" s="1515"/>
      <c r="K52" s="1516"/>
      <c r="L52" s="1517" t="s">
        <v>703</v>
      </c>
      <c r="M52" s="1517" t="s">
        <v>1393</v>
      </c>
      <c r="N52" s="1689" t="s">
        <v>116</v>
      </c>
      <c r="O52" s="1645"/>
      <c r="P52" s="245" t="b">
        <f t="shared" si="3"/>
        <v>0</v>
      </c>
      <c r="R52" s="245" t="b">
        <f t="shared" si="1"/>
        <v>0</v>
      </c>
      <c r="AO52" s="238" t="str">
        <f t="shared" si="2"/>
        <v>SG61</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7</v>
      </c>
      <c r="H53" s="1516">
        <v>9</v>
      </c>
      <c r="I53" s="1514"/>
      <c r="J53" s="1515"/>
      <c r="K53" s="1516"/>
      <c r="L53" s="1517" t="s">
        <v>703</v>
      </c>
      <c r="M53" s="1517" t="s">
        <v>1393</v>
      </c>
      <c r="N53" s="1689" t="s">
        <v>116</v>
      </c>
      <c r="O53" s="1645"/>
      <c r="P53" s="245" t="b">
        <f t="shared" si="3"/>
        <v>0</v>
      </c>
      <c r="R53" s="245" t="b">
        <f t="shared" si="1"/>
        <v>0</v>
      </c>
      <c r="AO53" s="238" t="str">
        <f t="shared" si="2"/>
        <v>SG61</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15</v>
      </c>
      <c r="H54" s="1516">
        <v>9</v>
      </c>
      <c r="I54" s="1514"/>
      <c r="J54" s="1515"/>
      <c r="K54" s="1516"/>
      <c r="L54" s="1517" t="s">
        <v>703</v>
      </c>
      <c r="M54" s="1517" t="s">
        <v>1393</v>
      </c>
      <c r="N54" s="1689" t="s">
        <v>116</v>
      </c>
      <c r="O54" s="1645"/>
      <c r="P54" s="245" t="b">
        <f t="shared" si="3"/>
        <v>0</v>
      </c>
      <c r="R54" s="245" t="b">
        <f t="shared" si="1"/>
        <v>0</v>
      </c>
      <c r="AO54" s="238" t="str">
        <f t="shared" si="2"/>
        <v>SG61</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23</v>
      </c>
      <c r="H55" s="1525">
        <v>9</v>
      </c>
      <c r="I55" s="1523"/>
      <c r="J55" s="1524"/>
      <c r="K55" s="1525"/>
      <c r="L55" s="1526" t="s">
        <v>703</v>
      </c>
      <c r="M55" s="1526" t="s">
        <v>1393</v>
      </c>
      <c r="N55" s="1690"/>
      <c r="O55" s="1645"/>
      <c r="P55" s="245" t="b">
        <f t="shared" si="3"/>
        <v>0</v>
      </c>
      <c r="R55" s="245" t="b">
        <f t="shared" si="1"/>
        <v>0</v>
      </c>
      <c r="AO55" s="238" t="str">
        <f t="shared" si="2"/>
        <v>SG61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9" priority="4" stopIfTrue="1">
      <formula>AND($B14="NU",F14&lt;0)</formula>
    </cfRule>
  </conditionalFormatting>
  <conditionalFormatting sqref="B14:B55">
    <cfRule type="expression" dxfId="118" priority="5" stopIfTrue="1">
      <formula>OR(AND($B14="NU",F14&lt;0),AND($B14="NU",I14&lt;0))</formula>
    </cfRule>
  </conditionalFormatting>
  <conditionalFormatting sqref="G14:H55 J14:L55">
    <cfRule type="expression" dxfId="117" priority="6" stopIfTrue="1">
      <formula>$R14</formula>
    </cfRule>
  </conditionalFormatting>
  <conditionalFormatting sqref="I2:K4">
    <cfRule type="cellIs" dxfId="116" priority="7" stopIfTrue="1" operator="equal">
      <formula>""</formula>
    </cfRule>
  </conditionalFormatting>
  <conditionalFormatting sqref="I14:I55">
    <cfRule type="expression" dxfId="115" priority="8" stopIfTrue="1">
      <formula>OR($R14,$B14="CZ",AND($B14="NU",I14&lt;0))</formula>
    </cfRule>
  </conditionalFormatting>
  <conditionalFormatting sqref="A14:A55">
    <cfRule type="expression" dxfId="114" priority="3">
      <formula>NOT($P14)</formula>
    </cfRule>
  </conditionalFormatting>
  <conditionalFormatting sqref="B14:D55">
    <cfRule type="expression" dxfId="1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12" priority="9">
      <formula>AND(NOT($P14),$T$1)</formula>
    </cfRule>
    <cfRule type="expression" dxfId="111" priority="10">
      <formula>AND($AP14,$S$1="M")</formula>
    </cfRule>
  </conditionalFormatting>
  <conditionalFormatting sqref="L14:L55">
    <cfRule type="expression" dxfId="1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CF9C7743-A5AA-4965-8E27-63FF00138E70}">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AB2DFFD-C0D2-4837-BCDF-1BDB7291C9B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520568A-AC3B-4745-9D9D-769DAFDDC3A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B98E15E-0E02-4941-A909-2E4B3C634CA3}">
      <formula1>IF($CA$14,$CA$16:$CA$21,$CB$16:$CB$19)</formula1>
    </dataValidation>
    <dataValidation type="list" allowBlank="1" showErrorMessage="1" errorTitle="Invalid Type" error="You MUST select a Type from the dropdown list provided._x000a__x000a_Also, make sure your Cap Lock is turned on." sqref="B14:B55" xr:uid="{F1104C57-B160-444B-B323-41E926B12F24}">
      <formula1>$BF$15:$BU$15</formula1>
    </dataValidation>
    <dataValidation allowBlank="1" showInputMessage="1" errorTitle="Invalid Load Case" error="You MUST use a Load Case from the list provided." sqref="M14:M55" xr:uid="{D1C2A2D0-26B1-47DA-9902-37BFDCEA64C1}"/>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B44A8-A0F0-4BDD-B4D7-4311717FCE1E}">
  <sheetPr codeName="Sheet6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2013</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SG62</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SG62</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SG62</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7</v>
      </c>
      <c r="H20" s="1516">
        <v>9</v>
      </c>
      <c r="I20" s="1514"/>
      <c r="J20" s="1515"/>
      <c r="K20" s="1516"/>
      <c r="L20" s="1517" t="s">
        <v>703</v>
      </c>
      <c r="M20" s="1518" t="s">
        <v>1393</v>
      </c>
      <c r="N20" s="1519"/>
      <c r="O20" s="1646"/>
      <c r="P20" s="245" t="b">
        <f t="shared" si="3"/>
        <v>0</v>
      </c>
      <c r="R20" s="245" t="b">
        <f t="shared" si="1"/>
        <v>0</v>
      </c>
      <c r="AO20" s="238" t="str">
        <f t="shared" si="2"/>
        <v>SG62</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15</v>
      </c>
      <c r="H21" s="1516">
        <v>9</v>
      </c>
      <c r="I21" s="1514"/>
      <c r="J21" s="1515"/>
      <c r="K21" s="1516"/>
      <c r="L21" s="1517" t="s">
        <v>703</v>
      </c>
      <c r="M21" s="1518" t="s">
        <v>1393</v>
      </c>
      <c r="N21" s="1519"/>
      <c r="O21" s="1646"/>
      <c r="P21" s="245" t="b">
        <f t="shared" si="3"/>
        <v>0</v>
      </c>
      <c r="R21" s="245" t="b">
        <f t="shared" si="1"/>
        <v>0</v>
      </c>
      <c r="AO21" s="238" t="str">
        <f t="shared" si="2"/>
        <v>SG62</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23</v>
      </c>
      <c r="H22" s="1516">
        <v>9</v>
      </c>
      <c r="I22" s="1514"/>
      <c r="J22" s="1515"/>
      <c r="K22" s="1516"/>
      <c r="L22" s="1517" t="s">
        <v>703</v>
      </c>
      <c r="M22" s="1518" t="s">
        <v>1393</v>
      </c>
      <c r="N22" s="1519"/>
      <c r="O22" s="1646"/>
      <c r="P22" s="245" t="b">
        <f t="shared" si="3"/>
        <v>0</v>
      </c>
      <c r="R22" s="245" t="b">
        <f t="shared" si="1"/>
        <v>0</v>
      </c>
      <c r="AO22" s="238" t="str">
        <f t="shared" si="2"/>
        <v>SG62</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31</v>
      </c>
      <c r="H23" s="1516">
        <v>9</v>
      </c>
      <c r="I23" s="1514"/>
      <c r="J23" s="1515"/>
      <c r="K23" s="1516"/>
      <c r="L23" s="1517" t="s">
        <v>703</v>
      </c>
      <c r="M23" s="1518" t="s">
        <v>1393</v>
      </c>
      <c r="N23" s="1519"/>
      <c r="O23" s="1646"/>
      <c r="P23" s="245" t="b">
        <f t="shared" si="3"/>
        <v>0</v>
      </c>
      <c r="R23" s="245" t="b">
        <f t="shared" si="1"/>
        <v>0</v>
      </c>
      <c r="AO23" s="238" t="str">
        <f t="shared" si="2"/>
        <v>SG62</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39</v>
      </c>
      <c r="H24" s="1516">
        <v>9</v>
      </c>
      <c r="I24" s="1514"/>
      <c r="J24" s="1515"/>
      <c r="K24" s="1516"/>
      <c r="L24" s="1517" t="s">
        <v>703</v>
      </c>
      <c r="M24" s="1518" t="s">
        <v>1393</v>
      </c>
      <c r="N24" s="1519"/>
      <c r="O24" s="1646"/>
      <c r="P24" s="245" t="b">
        <f t="shared" si="3"/>
        <v>0</v>
      </c>
      <c r="R24" s="245" t="b">
        <f t="shared" si="1"/>
        <v>0</v>
      </c>
      <c r="AO24" s="238" t="str">
        <f t="shared" si="2"/>
        <v>SG62</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47</v>
      </c>
      <c r="H25" s="1516">
        <v>9</v>
      </c>
      <c r="I25" s="1514"/>
      <c r="J25" s="1515"/>
      <c r="K25" s="1516"/>
      <c r="L25" s="1517" t="s">
        <v>703</v>
      </c>
      <c r="M25" s="1518" t="s">
        <v>1393</v>
      </c>
      <c r="N25" s="1519"/>
      <c r="O25" s="1646"/>
      <c r="P25" s="245" t="b">
        <f t="shared" si="3"/>
        <v>0</v>
      </c>
      <c r="R25" s="245" t="b">
        <f t="shared" si="1"/>
        <v>0</v>
      </c>
      <c r="AO25" s="238" t="str">
        <f t="shared" si="2"/>
        <v>SG62</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7</v>
      </c>
      <c r="H26" s="1516">
        <v>9</v>
      </c>
      <c r="I26" s="1514"/>
      <c r="J26" s="1515"/>
      <c r="K26" s="1516"/>
      <c r="L26" s="1517" t="s">
        <v>703</v>
      </c>
      <c r="M26" s="1518" t="s">
        <v>1393</v>
      </c>
      <c r="N26" s="1519"/>
      <c r="O26" s="1646"/>
      <c r="P26" s="245" t="b">
        <f t="shared" si="3"/>
        <v>0</v>
      </c>
      <c r="R26" s="245" t="b">
        <f t="shared" si="1"/>
        <v>0</v>
      </c>
      <c r="AO26" s="238" t="str">
        <f t="shared" si="2"/>
        <v>SG62</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15</v>
      </c>
      <c r="H27" s="1516">
        <v>9</v>
      </c>
      <c r="I27" s="1514"/>
      <c r="J27" s="1515"/>
      <c r="K27" s="1516"/>
      <c r="L27" s="1517" t="s">
        <v>703</v>
      </c>
      <c r="M27" s="1518" t="s">
        <v>1393</v>
      </c>
      <c r="N27" s="1519"/>
      <c r="O27" s="1646"/>
      <c r="P27" s="245" t="b">
        <f t="shared" si="3"/>
        <v>0</v>
      </c>
      <c r="R27" s="245" t="b">
        <f t="shared" si="1"/>
        <v>0</v>
      </c>
      <c r="AO27" s="238" t="str">
        <f t="shared" si="2"/>
        <v>SG62</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23</v>
      </c>
      <c r="H28" s="1516">
        <v>9</v>
      </c>
      <c r="I28" s="1514"/>
      <c r="J28" s="1515"/>
      <c r="K28" s="1516"/>
      <c r="L28" s="1517" t="s">
        <v>703</v>
      </c>
      <c r="M28" s="1518" t="s">
        <v>1393</v>
      </c>
      <c r="N28" s="1689"/>
      <c r="O28" s="1645"/>
      <c r="P28" s="245" t="b">
        <f t="shared" si="3"/>
        <v>0</v>
      </c>
      <c r="R28" s="245" t="b">
        <f t="shared" si="1"/>
        <v>0</v>
      </c>
      <c r="AO28" s="238" t="str">
        <f t="shared" si="2"/>
        <v>SG62</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31</v>
      </c>
      <c r="H29" s="1516">
        <v>9</v>
      </c>
      <c r="I29" s="1514"/>
      <c r="J29" s="1515"/>
      <c r="K29" s="1516"/>
      <c r="L29" s="1517" t="s">
        <v>703</v>
      </c>
      <c r="M29" s="1518" t="s">
        <v>1393</v>
      </c>
      <c r="N29" s="1689"/>
      <c r="O29" s="1645"/>
      <c r="P29" s="245" t="b">
        <f t="shared" si="3"/>
        <v>0</v>
      </c>
      <c r="R29" s="245" t="b">
        <f t="shared" si="1"/>
        <v>0</v>
      </c>
      <c r="AO29" s="238" t="str">
        <f t="shared" si="2"/>
        <v>SG62</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39</v>
      </c>
      <c r="H30" s="1516">
        <v>9</v>
      </c>
      <c r="I30" s="1514"/>
      <c r="J30" s="1515"/>
      <c r="K30" s="1516"/>
      <c r="L30" s="1517" t="s">
        <v>703</v>
      </c>
      <c r="M30" s="1518" t="s">
        <v>1393</v>
      </c>
      <c r="N30" s="1689" t="s">
        <v>116</v>
      </c>
      <c r="O30" s="1645"/>
      <c r="P30" s="245" t="b">
        <f t="shared" si="3"/>
        <v>0</v>
      </c>
      <c r="R30" s="245" t="b">
        <f t="shared" si="1"/>
        <v>0</v>
      </c>
      <c r="AO30" s="238" t="str">
        <f t="shared" si="2"/>
        <v>SG62</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47</v>
      </c>
      <c r="H31" s="1516">
        <v>9</v>
      </c>
      <c r="I31" s="1514"/>
      <c r="J31" s="1515"/>
      <c r="K31" s="1516"/>
      <c r="L31" s="1517" t="s">
        <v>703</v>
      </c>
      <c r="M31" s="1517" t="s">
        <v>1393</v>
      </c>
      <c r="N31" s="1689" t="s">
        <v>116</v>
      </c>
      <c r="O31" s="1645"/>
      <c r="P31" s="245" t="b">
        <f t="shared" si="3"/>
        <v>0</v>
      </c>
      <c r="R31" s="245" t="b">
        <f t="shared" si="1"/>
        <v>0</v>
      </c>
      <c r="AO31" s="238" t="str">
        <f t="shared" si="2"/>
        <v>SG62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t="s">
        <v>2014</v>
      </c>
      <c r="B32" s="1512" t="s">
        <v>155</v>
      </c>
      <c r="C32" s="1512" t="s">
        <v>165</v>
      </c>
      <c r="D32" s="1512" t="s">
        <v>145</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SG63</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155</v>
      </c>
      <c r="C33" s="1512" t="s">
        <v>165</v>
      </c>
      <c r="D33" s="1512" t="s">
        <v>159</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SG63</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154</v>
      </c>
      <c r="C34" s="1512" t="s">
        <v>165</v>
      </c>
      <c r="D34" s="1512" t="s">
        <v>145</v>
      </c>
      <c r="E34" s="1513"/>
      <c r="F34" s="1514">
        <v>1500</v>
      </c>
      <c r="G34" s="1515"/>
      <c r="H34" s="1516"/>
      <c r="I34" s="1514"/>
      <c r="J34" s="1515"/>
      <c r="K34" s="1516"/>
      <c r="L34" s="1517" t="s">
        <v>116</v>
      </c>
      <c r="M34" s="1517" t="s">
        <v>1393</v>
      </c>
      <c r="N34" s="1689" t="s">
        <v>116</v>
      </c>
      <c r="O34" s="1645"/>
      <c r="P34" s="245" t="b">
        <f t="shared" si="3"/>
        <v>0</v>
      </c>
      <c r="R34" s="245" t="b">
        <f t="shared" si="1"/>
        <v>1</v>
      </c>
      <c r="AO34" s="238" t="str">
        <f t="shared" si="2"/>
        <v>SG63</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7</v>
      </c>
      <c r="H35" s="1516">
        <v>9</v>
      </c>
      <c r="I35" s="1514"/>
      <c r="J35" s="1515"/>
      <c r="K35" s="1516"/>
      <c r="L35" s="1517" t="s">
        <v>703</v>
      </c>
      <c r="M35" s="1517" t="s">
        <v>1393</v>
      </c>
      <c r="N35" s="1689" t="s">
        <v>116</v>
      </c>
      <c r="O35" s="1645"/>
      <c r="P35" s="245" t="b">
        <f t="shared" si="3"/>
        <v>0</v>
      </c>
      <c r="R35" s="245" t="b">
        <f t="shared" si="1"/>
        <v>0</v>
      </c>
      <c r="AO35" s="238" t="str">
        <f t="shared" si="2"/>
        <v>SG63</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15</v>
      </c>
      <c r="H36" s="1516">
        <v>9</v>
      </c>
      <c r="I36" s="1514"/>
      <c r="J36" s="1515"/>
      <c r="K36" s="1516"/>
      <c r="L36" s="1517" t="s">
        <v>703</v>
      </c>
      <c r="M36" s="1517" t="s">
        <v>1393</v>
      </c>
      <c r="N36" s="1689" t="s">
        <v>116</v>
      </c>
      <c r="O36" s="1645"/>
      <c r="P36" s="245" t="b">
        <f t="shared" si="3"/>
        <v>0</v>
      </c>
      <c r="R36" s="245" t="b">
        <f t="shared" si="1"/>
        <v>0</v>
      </c>
      <c r="AO36" s="238" t="str">
        <f t="shared" si="2"/>
        <v>SG63</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23</v>
      </c>
      <c r="H37" s="1516">
        <v>9</v>
      </c>
      <c r="I37" s="1514"/>
      <c r="J37" s="1515"/>
      <c r="K37" s="1516"/>
      <c r="L37" s="1517" t="s">
        <v>703</v>
      </c>
      <c r="M37" s="1517" t="s">
        <v>1393</v>
      </c>
      <c r="N37" s="1689" t="s">
        <v>116</v>
      </c>
      <c r="O37" s="1645"/>
      <c r="P37" s="245" t="b">
        <f t="shared" si="3"/>
        <v>0</v>
      </c>
      <c r="R37" s="245" t="b">
        <f t="shared" si="1"/>
        <v>0</v>
      </c>
      <c r="AO37" s="238" t="str">
        <f t="shared" si="2"/>
        <v>SG63</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31</v>
      </c>
      <c r="H38" s="1516">
        <v>9</v>
      </c>
      <c r="I38" s="1514"/>
      <c r="J38" s="1515"/>
      <c r="K38" s="1516"/>
      <c r="L38" s="1517" t="s">
        <v>703</v>
      </c>
      <c r="M38" s="1517" t="s">
        <v>1393</v>
      </c>
      <c r="N38" s="1689" t="s">
        <v>116</v>
      </c>
      <c r="O38" s="1645"/>
      <c r="P38" s="245" t="b">
        <f t="shared" si="3"/>
        <v>0</v>
      </c>
      <c r="R38" s="245" t="b">
        <f t="shared" si="1"/>
        <v>0</v>
      </c>
      <c r="AO38" s="238" t="str">
        <f t="shared" si="2"/>
        <v>SG63</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39</v>
      </c>
      <c r="H39" s="1516">
        <v>9</v>
      </c>
      <c r="I39" s="1514"/>
      <c r="J39" s="1515"/>
      <c r="K39" s="1516"/>
      <c r="L39" s="1517" t="s">
        <v>703</v>
      </c>
      <c r="M39" s="1517" t="s">
        <v>1393</v>
      </c>
      <c r="N39" s="1689" t="s">
        <v>116</v>
      </c>
      <c r="O39" s="1645"/>
      <c r="P39" s="245" t="b">
        <f t="shared" si="3"/>
        <v>0</v>
      </c>
      <c r="R39" s="245" t="b">
        <f t="shared" si="1"/>
        <v>0</v>
      </c>
      <c r="AO39" s="238" t="str">
        <f t="shared" si="2"/>
        <v>SG63</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47</v>
      </c>
      <c r="H40" s="1516">
        <v>9</v>
      </c>
      <c r="I40" s="1514"/>
      <c r="J40" s="1515"/>
      <c r="K40" s="1516"/>
      <c r="L40" s="1517" t="s">
        <v>703</v>
      </c>
      <c r="M40" s="1517" t="s">
        <v>1393</v>
      </c>
      <c r="N40" s="1689" t="s">
        <v>116</v>
      </c>
      <c r="O40" s="1645"/>
      <c r="P40" s="245" t="b">
        <f t="shared" si="3"/>
        <v>0</v>
      </c>
      <c r="R40" s="245" t="b">
        <f t="shared" si="1"/>
        <v>0</v>
      </c>
      <c r="AO40" s="238" t="str">
        <f t="shared" si="2"/>
        <v>SG63</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7</v>
      </c>
      <c r="H41" s="1516">
        <v>9</v>
      </c>
      <c r="I41" s="1514"/>
      <c r="J41" s="1515"/>
      <c r="K41" s="1516"/>
      <c r="L41" s="1517" t="s">
        <v>703</v>
      </c>
      <c r="M41" s="1517" t="s">
        <v>1393</v>
      </c>
      <c r="N41" s="1689" t="s">
        <v>116</v>
      </c>
      <c r="O41" s="1645"/>
      <c r="P41" s="245" t="b">
        <f t="shared" si="3"/>
        <v>0</v>
      </c>
      <c r="R41" s="245" t="b">
        <f t="shared" si="1"/>
        <v>0</v>
      </c>
      <c r="AO41" s="238" t="str">
        <f t="shared" si="2"/>
        <v>SG63</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15</v>
      </c>
      <c r="H42" s="1516">
        <v>9</v>
      </c>
      <c r="I42" s="1514"/>
      <c r="J42" s="1515"/>
      <c r="K42" s="1516"/>
      <c r="L42" s="1517" t="s">
        <v>703</v>
      </c>
      <c r="M42" s="1517" t="s">
        <v>1393</v>
      </c>
      <c r="N42" s="1689" t="s">
        <v>116</v>
      </c>
      <c r="O42" s="1645"/>
      <c r="P42" s="245" t="b">
        <f t="shared" si="3"/>
        <v>0</v>
      </c>
      <c r="R42" s="245" t="b">
        <f t="shared" si="1"/>
        <v>0</v>
      </c>
      <c r="AO42" s="238" t="str">
        <f t="shared" si="2"/>
        <v>SG63</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23</v>
      </c>
      <c r="H43" s="1516">
        <v>9</v>
      </c>
      <c r="I43" s="1514"/>
      <c r="J43" s="1515"/>
      <c r="K43" s="1516"/>
      <c r="L43" s="1517" t="s">
        <v>703</v>
      </c>
      <c r="M43" s="1517" t="s">
        <v>1393</v>
      </c>
      <c r="N43" s="1689" t="s">
        <v>116</v>
      </c>
      <c r="O43" s="1645"/>
      <c r="P43" s="245" t="b">
        <f t="shared" si="3"/>
        <v>0</v>
      </c>
      <c r="R43" s="245" t="b">
        <f t="shared" si="1"/>
        <v>0</v>
      </c>
      <c r="AO43" s="238" t="str">
        <f t="shared" si="2"/>
        <v>SG63</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31</v>
      </c>
      <c r="H44" s="1516">
        <v>9</v>
      </c>
      <c r="I44" s="1514"/>
      <c r="J44" s="1515"/>
      <c r="K44" s="1516"/>
      <c r="L44" s="1517" t="s">
        <v>703</v>
      </c>
      <c r="M44" s="1517" t="s">
        <v>1393</v>
      </c>
      <c r="N44" s="1689" t="s">
        <v>116</v>
      </c>
      <c r="O44" s="1645"/>
      <c r="P44" s="245" t="b">
        <f t="shared" si="3"/>
        <v>0</v>
      </c>
      <c r="R44" s="245" t="b">
        <f t="shared" si="1"/>
        <v>0</v>
      </c>
      <c r="AO44" s="238" t="str">
        <f t="shared" si="2"/>
        <v>SG63</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39</v>
      </c>
      <c r="H45" s="1516">
        <v>9</v>
      </c>
      <c r="I45" s="1514"/>
      <c r="J45" s="1515"/>
      <c r="K45" s="1516"/>
      <c r="L45" s="1517" t="s">
        <v>703</v>
      </c>
      <c r="M45" s="1517" t="s">
        <v>1393</v>
      </c>
      <c r="N45" s="1689" t="s">
        <v>116</v>
      </c>
      <c r="O45" s="1645"/>
      <c r="P45" s="245" t="b">
        <f t="shared" si="3"/>
        <v>0</v>
      </c>
      <c r="R45" s="245" t="b">
        <f t="shared" si="1"/>
        <v>0</v>
      </c>
      <c r="AO45" s="238" t="str">
        <f t="shared" si="2"/>
        <v>SG63</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47</v>
      </c>
      <c r="H46" s="1516">
        <v>9</v>
      </c>
      <c r="I46" s="1514"/>
      <c r="J46" s="1515"/>
      <c r="K46" s="1516"/>
      <c r="L46" s="1517" t="s">
        <v>703</v>
      </c>
      <c r="M46" s="1517" t="s">
        <v>1393</v>
      </c>
      <c r="N46" s="1689" t="s">
        <v>116</v>
      </c>
      <c r="O46" s="1645"/>
      <c r="P46" s="245" t="b">
        <f t="shared" si="3"/>
        <v>0</v>
      </c>
      <c r="R46" s="245" t="b">
        <f t="shared" si="1"/>
        <v>0</v>
      </c>
      <c r="AO46" s="238" t="str">
        <f t="shared" si="2"/>
        <v>SG63</v>
      </c>
      <c r="AP46" s="945" t="b">
        <v>0</v>
      </c>
      <c r="AQ46" s="1323"/>
      <c r="AR46" s="1324"/>
      <c r="AS46" s="1324"/>
      <c r="AT46" s="1324"/>
      <c r="AU46" s="1324"/>
      <c r="AV46" s="1324"/>
      <c r="AW46" s="1324"/>
      <c r="AX46" s="1324"/>
      <c r="AY46" s="1324"/>
      <c r="AZ46" s="1324"/>
      <c r="BA46" s="1533"/>
      <c r="BB46" s="1533"/>
      <c r="BC46" s="1534"/>
    </row>
    <row r="47" spans="1:55" ht="14.1" customHeight="1" x14ac:dyDescent="0.2">
      <c r="A47" s="1511" t="s">
        <v>2015</v>
      </c>
      <c r="B47" s="1512" t="s">
        <v>155</v>
      </c>
      <c r="C47" s="1512" t="s">
        <v>165</v>
      </c>
      <c r="D47" s="1512" t="s">
        <v>145</v>
      </c>
      <c r="E47" s="1513"/>
      <c r="F47" s="1514">
        <v>250</v>
      </c>
      <c r="G47" s="1515"/>
      <c r="H47" s="1516"/>
      <c r="I47" s="1514"/>
      <c r="J47" s="1515"/>
      <c r="K47" s="1516"/>
      <c r="L47" s="1517" t="s">
        <v>116</v>
      </c>
      <c r="M47" s="1517" t="s">
        <v>1393</v>
      </c>
      <c r="N47" s="1689" t="s">
        <v>116</v>
      </c>
      <c r="O47" s="1645"/>
      <c r="P47" s="245" t="b">
        <f t="shared" si="3"/>
        <v>0</v>
      </c>
      <c r="R47" s="245" t="b">
        <f t="shared" si="1"/>
        <v>1</v>
      </c>
      <c r="AO47" s="238" t="str">
        <f t="shared" si="2"/>
        <v>SG64</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155</v>
      </c>
      <c r="C48" s="1512" t="s">
        <v>165</v>
      </c>
      <c r="D48" s="1512" t="s">
        <v>159</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SG64</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154</v>
      </c>
      <c r="C49" s="1512" t="s">
        <v>165</v>
      </c>
      <c r="D49" s="1512" t="s">
        <v>145</v>
      </c>
      <c r="E49" s="1513"/>
      <c r="F49" s="1514">
        <v>1500</v>
      </c>
      <c r="G49" s="1515"/>
      <c r="H49" s="1516"/>
      <c r="I49" s="1514"/>
      <c r="J49" s="1515"/>
      <c r="K49" s="1516"/>
      <c r="L49" s="1517" t="s">
        <v>116</v>
      </c>
      <c r="M49" s="1517" t="s">
        <v>1393</v>
      </c>
      <c r="N49" s="1689" t="s">
        <v>116</v>
      </c>
      <c r="O49" s="1645"/>
      <c r="P49" s="245" t="b">
        <f t="shared" si="3"/>
        <v>0</v>
      </c>
      <c r="R49" s="245" t="b">
        <f t="shared" si="1"/>
        <v>1</v>
      </c>
      <c r="AO49" s="238" t="str">
        <f t="shared" si="2"/>
        <v>SG64</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7</v>
      </c>
      <c r="H50" s="1516">
        <v>9</v>
      </c>
      <c r="I50" s="1514"/>
      <c r="J50" s="1515"/>
      <c r="K50" s="1516"/>
      <c r="L50" s="1517" t="s">
        <v>703</v>
      </c>
      <c r="M50" s="1517" t="s">
        <v>1393</v>
      </c>
      <c r="N50" s="1689" t="s">
        <v>116</v>
      </c>
      <c r="O50" s="1645"/>
      <c r="P50" s="245" t="b">
        <f t="shared" si="3"/>
        <v>0</v>
      </c>
      <c r="R50" s="245" t="b">
        <f t="shared" si="1"/>
        <v>0</v>
      </c>
      <c r="AO50" s="238" t="str">
        <f t="shared" si="2"/>
        <v>SG64</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15</v>
      </c>
      <c r="H51" s="1516">
        <v>9</v>
      </c>
      <c r="I51" s="1514"/>
      <c r="J51" s="1515"/>
      <c r="K51" s="1516"/>
      <c r="L51" s="1517" t="s">
        <v>703</v>
      </c>
      <c r="M51" s="1517" t="s">
        <v>1393</v>
      </c>
      <c r="N51" s="1689" t="s">
        <v>116</v>
      </c>
      <c r="O51" s="1645"/>
      <c r="P51" s="245" t="b">
        <f t="shared" si="3"/>
        <v>0</v>
      </c>
      <c r="R51" s="245" t="b">
        <f t="shared" si="1"/>
        <v>0</v>
      </c>
      <c r="AO51" s="238" t="str">
        <f t="shared" si="2"/>
        <v>SG64</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23</v>
      </c>
      <c r="H52" s="1516">
        <v>9</v>
      </c>
      <c r="I52" s="1514"/>
      <c r="J52" s="1515"/>
      <c r="K52" s="1516"/>
      <c r="L52" s="1517" t="s">
        <v>703</v>
      </c>
      <c r="M52" s="1517" t="s">
        <v>1393</v>
      </c>
      <c r="N52" s="1689" t="s">
        <v>116</v>
      </c>
      <c r="O52" s="1645"/>
      <c r="P52" s="245" t="b">
        <f t="shared" si="3"/>
        <v>0</v>
      </c>
      <c r="R52" s="245" t="b">
        <f t="shared" si="1"/>
        <v>0</v>
      </c>
      <c r="AO52" s="238" t="str">
        <f t="shared" si="2"/>
        <v>SG64</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31</v>
      </c>
      <c r="H53" s="1516">
        <v>9</v>
      </c>
      <c r="I53" s="1514"/>
      <c r="J53" s="1515"/>
      <c r="K53" s="1516"/>
      <c r="L53" s="1517" t="s">
        <v>703</v>
      </c>
      <c r="M53" s="1517" t="s">
        <v>1393</v>
      </c>
      <c r="N53" s="1689" t="s">
        <v>116</v>
      </c>
      <c r="O53" s="1645"/>
      <c r="P53" s="245" t="b">
        <f t="shared" si="3"/>
        <v>0</v>
      </c>
      <c r="R53" s="245" t="b">
        <f t="shared" si="1"/>
        <v>0</v>
      </c>
      <c r="AO53" s="238" t="str">
        <f t="shared" si="2"/>
        <v>SG64</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39</v>
      </c>
      <c r="H54" s="1516">
        <v>9</v>
      </c>
      <c r="I54" s="1514"/>
      <c r="J54" s="1515"/>
      <c r="K54" s="1516"/>
      <c r="L54" s="1517" t="s">
        <v>703</v>
      </c>
      <c r="M54" s="1517" t="s">
        <v>1393</v>
      </c>
      <c r="N54" s="1689" t="s">
        <v>116</v>
      </c>
      <c r="O54" s="1645"/>
      <c r="P54" s="245" t="b">
        <f t="shared" si="3"/>
        <v>0</v>
      </c>
      <c r="R54" s="245" t="b">
        <f t="shared" si="1"/>
        <v>0</v>
      </c>
      <c r="AO54" s="238" t="str">
        <f t="shared" si="2"/>
        <v>SG64</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47</v>
      </c>
      <c r="H55" s="1525">
        <v>9</v>
      </c>
      <c r="I55" s="1523"/>
      <c r="J55" s="1524"/>
      <c r="K55" s="1525"/>
      <c r="L55" s="1526" t="s">
        <v>703</v>
      </c>
      <c r="M55" s="1526" t="s">
        <v>1393</v>
      </c>
      <c r="N55" s="1690"/>
      <c r="O55" s="1645"/>
      <c r="P55" s="245" t="b">
        <f t="shared" si="3"/>
        <v>0</v>
      </c>
      <c r="R55" s="245" t="b">
        <f t="shared" si="1"/>
        <v>0</v>
      </c>
      <c r="AO55" s="238" t="str">
        <f t="shared" si="2"/>
        <v>SG64</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9" priority="4" stopIfTrue="1">
      <formula>AND($B14="NU",F14&lt;0)</formula>
    </cfRule>
  </conditionalFormatting>
  <conditionalFormatting sqref="B14:B55">
    <cfRule type="expression" dxfId="108" priority="5" stopIfTrue="1">
      <formula>OR(AND($B14="NU",F14&lt;0),AND($B14="NU",I14&lt;0))</formula>
    </cfRule>
  </conditionalFormatting>
  <conditionalFormatting sqref="G14:H55 J14:L55">
    <cfRule type="expression" dxfId="107" priority="6" stopIfTrue="1">
      <formula>$R14</formula>
    </cfRule>
  </conditionalFormatting>
  <conditionalFormatting sqref="I2:K4">
    <cfRule type="cellIs" dxfId="106" priority="7" stopIfTrue="1" operator="equal">
      <formula>""</formula>
    </cfRule>
  </conditionalFormatting>
  <conditionalFormatting sqref="I14:I55">
    <cfRule type="expression" dxfId="105" priority="8" stopIfTrue="1">
      <formula>OR($R14,$B14="CZ",AND($B14="NU",I14&lt;0))</formula>
    </cfRule>
  </conditionalFormatting>
  <conditionalFormatting sqref="A14:A55">
    <cfRule type="expression" dxfId="104" priority="3">
      <formula>NOT($P14)</formula>
    </cfRule>
  </conditionalFormatting>
  <conditionalFormatting sqref="B14:D55">
    <cfRule type="expression" dxfId="10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2" priority="9">
      <formula>AND(NOT($P14),$T$1)</formula>
    </cfRule>
    <cfRule type="expression" dxfId="101" priority="10">
      <formula>AND($AP14,$S$1="M")</formula>
    </cfRule>
  </conditionalFormatting>
  <conditionalFormatting sqref="L14:L55">
    <cfRule type="expression" dxfId="10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12B27E3-6A00-450D-95AE-87E7F050F49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BC324FED-5817-4D55-BB54-6403F3DEA599}">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F57BB75-D980-4B08-824D-13C9BC68C8D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0C888CC-5D0E-4EA9-903E-4B1DBFA10B44}">
      <formula1>IF($CA$14,$CA$16:$CA$21,$CB$16:$CB$19)</formula1>
    </dataValidation>
    <dataValidation type="list" allowBlank="1" showErrorMessage="1" errorTitle="Invalid Type" error="You MUST select a Type from the dropdown list provided._x000a__x000a_Also, make sure your Cap Lock is turned on." sqref="B14:B55" xr:uid="{23690197-D25C-41A8-A58A-13AE89A6334A}">
      <formula1>$BF$15:$BU$15</formula1>
    </dataValidation>
    <dataValidation allowBlank="1" showInputMessage="1" errorTitle="Invalid Load Case" error="You MUST use a Load Case from the list provided." sqref="M14:M55" xr:uid="{617D640C-96A6-4863-9E84-CCDFB9C95B9D}"/>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FC20F-0B66-440E-8BBE-306127F0B41E}">
  <sheetPr codeName="Sheet6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7</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15</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23</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31</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39</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47</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t="s">
        <v>2016</v>
      </c>
      <c r="B20" s="1512" t="s">
        <v>155</v>
      </c>
      <c r="C20" s="1512" t="s">
        <v>165</v>
      </c>
      <c r="D20" s="1512" t="s">
        <v>145</v>
      </c>
      <c r="E20" s="1513"/>
      <c r="F20" s="1514">
        <v>250</v>
      </c>
      <c r="G20" s="1515"/>
      <c r="H20" s="1516"/>
      <c r="I20" s="1514"/>
      <c r="J20" s="1515"/>
      <c r="K20" s="1516"/>
      <c r="L20" s="1517" t="s">
        <v>116</v>
      </c>
      <c r="M20" s="1518" t="s">
        <v>1393</v>
      </c>
      <c r="N20" s="1519"/>
      <c r="O20" s="1646"/>
      <c r="P20" s="245" t="b">
        <f t="shared" si="3"/>
        <v>0</v>
      </c>
      <c r="R20" s="245" t="b">
        <f t="shared" si="1"/>
        <v>1</v>
      </c>
      <c r="AO20" s="238" t="str">
        <f t="shared" si="2"/>
        <v>SG65</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155</v>
      </c>
      <c r="C21" s="1512" t="s">
        <v>165</v>
      </c>
      <c r="D21" s="1512" t="s">
        <v>159</v>
      </c>
      <c r="E21" s="1513"/>
      <c r="F21" s="1514">
        <v>250</v>
      </c>
      <c r="G21" s="1515"/>
      <c r="H21" s="1516"/>
      <c r="I21" s="1514"/>
      <c r="J21" s="1515"/>
      <c r="K21" s="1516"/>
      <c r="L21" s="1517" t="s">
        <v>116</v>
      </c>
      <c r="M21" s="1518" t="s">
        <v>1393</v>
      </c>
      <c r="N21" s="1519"/>
      <c r="O21" s="1646"/>
      <c r="P21" s="245" t="b">
        <f t="shared" si="3"/>
        <v>0</v>
      </c>
      <c r="R21" s="245" t="b">
        <f t="shared" si="1"/>
        <v>1</v>
      </c>
      <c r="AO21" s="238" t="str">
        <f t="shared" si="2"/>
        <v>SG65</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1500</v>
      </c>
      <c r="G22" s="1515"/>
      <c r="H22" s="1516"/>
      <c r="I22" s="1514"/>
      <c r="J22" s="1515"/>
      <c r="K22" s="1516"/>
      <c r="L22" s="1517" t="s">
        <v>116</v>
      </c>
      <c r="M22" s="1518" t="s">
        <v>1393</v>
      </c>
      <c r="N22" s="1519"/>
      <c r="O22" s="1646"/>
      <c r="P22" s="245" t="b">
        <f t="shared" si="3"/>
        <v>0</v>
      </c>
      <c r="R22" s="245" t="b">
        <f t="shared" si="1"/>
        <v>1</v>
      </c>
      <c r="AO22" s="238" t="str">
        <f t="shared" si="2"/>
        <v>SG65</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2220</v>
      </c>
      <c r="G23" s="1515">
        <v>24</v>
      </c>
      <c r="H23" s="1516">
        <v>0</v>
      </c>
      <c r="I23" s="1514">
        <v>2220</v>
      </c>
      <c r="J23" s="1515">
        <v>48</v>
      </c>
      <c r="K23" s="1516">
        <v>0</v>
      </c>
      <c r="L23" s="1517" t="s">
        <v>700</v>
      </c>
      <c r="M23" s="1518" t="s">
        <v>1393</v>
      </c>
      <c r="N23" s="1519"/>
      <c r="O23" s="1646"/>
      <c r="P23" s="245" t="b">
        <f t="shared" si="3"/>
        <v>0</v>
      </c>
      <c r="R23" s="245" t="b">
        <f t="shared" si="1"/>
        <v>0</v>
      </c>
      <c r="AO23" s="238" t="str">
        <f t="shared" si="2"/>
        <v>SG65</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7</v>
      </c>
      <c r="H24" s="1516">
        <v>9</v>
      </c>
      <c r="I24" s="1514"/>
      <c r="J24" s="1515"/>
      <c r="K24" s="1516"/>
      <c r="L24" s="1517" t="s">
        <v>703</v>
      </c>
      <c r="M24" s="1518" t="s">
        <v>1393</v>
      </c>
      <c r="N24" s="1519"/>
      <c r="O24" s="1646"/>
      <c r="P24" s="245" t="b">
        <f t="shared" si="3"/>
        <v>0</v>
      </c>
      <c r="R24" s="245" t="b">
        <f t="shared" si="1"/>
        <v>0</v>
      </c>
      <c r="AO24" s="238" t="str">
        <f t="shared" si="2"/>
        <v>SG65</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15</v>
      </c>
      <c r="H25" s="1516">
        <v>9</v>
      </c>
      <c r="I25" s="1514"/>
      <c r="J25" s="1515"/>
      <c r="K25" s="1516"/>
      <c r="L25" s="1517" t="s">
        <v>703</v>
      </c>
      <c r="M25" s="1518" t="s">
        <v>1393</v>
      </c>
      <c r="N25" s="1519"/>
      <c r="O25" s="1646"/>
      <c r="P25" s="245" t="b">
        <f t="shared" si="3"/>
        <v>0</v>
      </c>
      <c r="R25" s="245" t="b">
        <f t="shared" si="1"/>
        <v>0</v>
      </c>
      <c r="AO25" s="238" t="str">
        <f t="shared" si="2"/>
        <v>SG65</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23</v>
      </c>
      <c r="H26" s="1516">
        <v>9</v>
      </c>
      <c r="I26" s="1514"/>
      <c r="J26" s="1515"/>
      <c r="K26" s="1516"/>
      <c r="L26" s="1517" t="s">
        <v>703</v>
      </c>
      <c r="M26" s="1518" t="s">
        <v>1393</v>
      </c>
      <c r="N26" s="1519"/>
      <c r="O26" s="1646"/>
      <c r="P26" s="245" t="b">
        <f t="shared" si="3"/>
        <v>0</v>
      </c>
      <c r="R26" s="245" t="b">
        <f t="shared" si="1"/>
        <v>0</v>
      </c>
      <c r="AO26" s="238" t="str">
        <f t="shared" si="2"/>
        <v>SG65</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31</v>
      </c>
      <c r="H27" s="1516">
        <v>9</v>
      </c>
      <c r="I27" s="1514"/>
      <c r="J27" s="1515"/>
      <c r="K27" s="1516"/>
      <c r="L27" s="1517" t="s">
        <v>703</v>
      </c>
      <c r="M27" s="1518" t="s">
        <v>1393</v>
      </c>
      <c r="N27" s="1519"/>
      <c r="O27" s="1646"/>
      <c r="P27" s="245" t="b">
        <f t="shared" si="3"/>
        <v>0</v>
      </c>
      <c r="R27" s="245" t="b">
        <f t="shared" si="1"/>
        <v>0</v>
      </c>
      <c r="AO27" s="238" t="str">
        <f t="shared" si="2"/>
        <v>SG65</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39</v>
      </c>
      <c r="H28" s="1516">
        <v>9</v>
      </c>
      <c r="I28" s="1514"/>
      <c r="J28" s="1515"/>
      <c r="K28" s="1516"/>
      <c r="L28" s="1517" t="s">
        <v>703</v>
      </c>
      <c r="M28" s="1518" t="s">
        <v>1393</v>
      </c>
      <c r="N28" s="1689"/>
      <c r="O28" s="1645"/>
      <c r="P28" s="245" t="b">
        <f t="shared" si="3"/>
        <v>0</v>
      </c>
      <c r="R28" s="245" t="b">
        <f t="shared" si="1"/>
        <v>0</v>
      </c>
      <c r="AO28" s="238" t="str">
        <f t="shared" si="2"/>
        <v>SG65</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47</v>
      </c>
      <c r="H29" s="1516">
        <v>9</v>
      </c>
      <c r="I29" s="1514"/>
      <c r="J29" s="1515"/>
      <c r="K29" s="1516"/>
      <c r="L29" s="1517" t="s">
        <v>703</v>
      </c>
      <c r="M29" s="1518" t="s">
        <v>1393</v>
      </c>
      <c r="N29" s="1689"/>
      <c r="O29" s="1645"/>
      <c r="P29" s="245" t="b">
        <f t="shared" si="3"/>
        <v>0</v>
      </c>
      <c r="R29" s="245" t="b">
        <f t="shared" si="1"/>
        <v>0</v>
      </c>
      <c r="AO29" s="238" t="str">
        <f t="shared" si="2"/>
        <v>SG65</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7</v>
      </c>
      <c r="H30" s="1516">
        <v>9</v>
      </c>
      <c r="I30" s="1514"/>
      <c r="J30" s="1515"/>
      <c r="K30" s="1516"/>
      <c r="L30" s="1517" t="s">
        <v>703</v>
      </c>
      <c r="M30" s="1518" t="s">
        <v>1393</v>
      </c>
      <c r="N30" s="1689" t="s">
        <v>116</v>
      </c>
      <c r="O30" s="1645"/>
      <c r="P30" s="245" t="b">
        <f t="shared" si="3"/>
        <v>0</v>
      </c>
      <c r="R30" s="245" t="b">
        <f t="shared" si="1"/>
        <v>0</v>
      </c>
      <c r="AO30" s="238" t="str">
        <f t="shared" si="2"/>
        <v>SG65</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15</v>
      </c>
      <c r="H31" s="1516">
        <v>9</v>
      </c>
      <c r="I31" s="1514"/>
      <c r="J31" s="1515"/>
      <c r="K31" s="1516"/>
      <c r="L31" s="1517" t="s">
        <v>703</v>
      </c>
      <c r="M31" s="1517" t="s">
        <v>1393</v>
      </c>
      <c r="N31" s="1689" t="s">
        <v>116</v>
      </c>
      <c r="O31" s="1645"/>
      <c r="P31" s="245" t="b">
        <f t="shared" si="3"/>
        <v>0</v>
      </c>
      <c r="R31" s="245" t="b">
        <f t="shared" si="1"/>
        <v>0</v>
      </c>
      <c r="AO31" s="238" t="str">
        <f t="shared" si="2"/>
        <v>SG65</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23</v>
      </c>
      <c r="H32" s="1516">
        <v>9</v>
      </c>
      <c r="I32" s="1514"/>
      <c r="J32" s="1515"/>
      <c r="K32" s="1516"/>
      <c r="L32" s="1517" t="s">
        <v>703</v>
      </c>
      <c r="M32" s="1517" t="s">
        <v>1393</v>
      </c>
      <c r="N32" s="1689" t="s">
        <v>116</v>
      </c>
      <c r="O32" s="1645"/>
      <c r="P32" s="245" t="b">
        <f t="shared" si="3"/>
        <v>0</v>
      </c>
      <c r="R32" s="245" t="b">
        <f t="shared" si="1"/>
        <v>0</v>
      </c>
      <c r="AO32" s="238" t="str">
        <f t="shared" si="2"/>
        <v>SG65</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31</v>
      </c>
      <c r="H33" s="1516">
        <v>9</v>
      </c>
      <c r="I33" s="1514"/>
      <c r="J33" s="1515"/>
      <c r="K33" s="1516"/>
      <c r="L33" s="1517" t="s">
        <v>703</v>
      </c>
      <c r="M33" s="1517" t="s">
        <v>1393</v>
      </c>
      <c r="N33" s="1689" t="s">
        <v>116</v>
      </c>
      <c r="O33" s="1645"/>
      <c r="P33" s="245" t="b">
        <f t="shared" si="3"/>
        <v>0</v>
      </c>
      <c r="R33" s="245" t="b">
        <f t="shared" si="1"/>
        <v>0</v>
      </c>
      <c r="AO33" s="238" t="str">
        <f t="shared" si="2"/>
        <v>SG65</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39</v>
      </c>
      <c r="H34" s="1516">
        <v>9</v>
      </c>
      <c r="I34" s="1514"/>
      <c r="J34" s="1515"/>
      <c r="K34" s="1516"/>
      <c r="L34" s="1517" t="s">
        <v>703</v>
      </c>
      <c r="M34" s="1517" t="s">
        <v>1393</v>
      </c>
      <c r="N34" s="1689" t="s">
        <v>116</v>
      </c>
      <c r="O34" s="1645"/>
      <c r="P34" s="245" t="b">
        <f t="shared" si="3"/>
        <v>0</v>
      </c>
      <c r="R34" s="245" t="b">
        <f t="shared" si="1"/>
        <v>0</v>
      </c>
      <c r="AO34" s="238" t="str">
        <f t="shared" si="2"/>
        <v>SG65</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47</v>
      </c>
      <c r="H35" s="1516">
        <v>9</v>
      </c>
      <c r="I35" s="1514"/>
      <c r="J35" s="1515"/>
      <c r="K35" s="1516"/>
      <c r="L35" s="1517" t="s">
        <v>703</v>
      </c>
      <c r="M35" s="1517" t="s">
        <v>1393</v>
      </c>
      <c r="N35" s="1689" t="s">
        <v>116</v>
      </c>
      <c r="O35" s="1645"/>
      <c r="P35" s="245" t="b">
        <f t="shared" si="3"/>
        <v>0</v>
      </c>
      <c r="R35" s="245" t="b">
        <f t="shared" si="1"/>
        <v>0</v>
      </c>
      <c r="AO35" s="238" t="str">
        <f t="shared" si="2"/>
        <v>SG65</v>
      </c>
      <c r="AP35" s="945" t="b">
        <v>0</v>
      </c>
      <c r="AQ35" s="1323"/>
      <c r="AR35" s="1324"/>
      <c r="AS35" s="1324"/>
      <c r="AT35" s="1324"/>
      <c r="AU35" s="1324"/>
      <c r="AV35" s="1324"/>
      <c r="AW35" s="1324"/>
      <c r="AX35" s="1324"/>
      <c r="AY35" s="1324"/>
      <c r="AZ35" s="1324"/>
      <c r="BA35" s="1533"/>
      <c r="BB35" s="1533"/>
      <c r="BC35" s="1534"/>
    </row>
    <row r="36" spans="1:55" ht="14.1" customHeight="1" x14ac:dyDescent="0.2">
      <c r="A36" s="1511" t="s">
        <v>2017</v>
      </c>
      <c r="B36" s="1512" t="s">
        <v>155</v>
      </c>
      <c r="C36" s="1512" t="s">
        <v>165</v>
      </c>
      <c r="D36" s="1512" t="s">
        <v>145</v>
      </c>
      <c r="E36" s="1513"/>
      <c r="F36" s="1514">
        <v>250</v>
      </c>
      <c r="G36" s="1515"/>
      <c r="H36" s="1516"/>
      <c r="I36" s="1514"/>
      <c r="J36" s="1515"/>
      <c r="K36" s="1516"/>
      <c r="L36" s="1517" t="s">
        <v>116</v>
      </c>
      <c r="M36" s="1517" t="s">
        <v>1393</v>
      </c>
      <c r="N36" s="1689" t="s">
        <v>116</v>
      </c>
      <c r="O36" s="1645"/>
      <c r="P36" s="245" t="b">
        <f t="shared" si="3"/>
        <v>0</v>
      </c>
      <c r="R36" s="245" t="b">
        <f t="shared" si="1"/>
        <v>1</v>
      </c>
      <c r="AO36" s="238" t="str">
        <f t="shared" si="2"/>
        <v>SG66</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155</v>
      </c>
      <c r="C37" s="1512" t="s">
        <v>165</v>
      </c>
      <c r="D37" s="1512" t="s">
        <v>159</v>
      </c>
      <c r="E37" s="1513"/>
      <c r="F37" s="1514">
        <v>250</v>
      </c>
      <c r="G37" s="1515"/>
      <c r="H37" s="1516"/>
      <c r="I37" s="1514"/>
      <c r="J37" s="1515"/>
      <c r="K37" s="1516"/>
      <c r="L37" s="1517" t="s">
        <v>116</v>
      </c>
      <c r="M37" s="1517" t="s">
        <v>1393</v>
      </c>
      <c r="N37" s="1689" t="s">
        <v>116</v>
      </c>
      <c r="O37" s="1645"/>
      <c r="P37" s="245" t="b">
        <f t="shared" si="3"/>
        <v>0</v>
      </c>
      <c r="R37" s="245" t="b">
        <f t="shared" si="1"/>
        <v>1</v>
      </c>
      <c r="AO37" s="238" t="str">
        <f t="shared" si="2"/>
        <v>SG66</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154</v>
      </c>
      <c r="C38" s="1512" t="s">
        <v>165</v>
      </c>
      <c r="D38" s="1512" t="s">
        <v>145</v>
      </c>
      <c r="E38" s="1513"/>
      <c r="F38" s="1514">
        <v>1500</v>
      </c>
      <c r="G38" s="1515"/>
      <c r="H38" s="1516"/>
      <c r="I38" s="1514"/>
      <c r="J38" s="1515"/>
      <c r="K38" s="1516"/>
      <c r="L38" s="1517" t="s">
        <v>116</v>
      </c>
      <c r="M38" s="1517" t="s">
        <v>1393</v>
      </c>
      <c r="N38" s="1689" t="s">
        <v>116</v>
      </c>
      <c r="O38" s="1645"/>
      <c r="P38" s="245" t="b">
        <f t="shared" si="3"/>
        <v>0</v>
      </c>
      <c r="R38" s="245" t="b">
        <f t="shared" si="1"/>
        <v>1</v>
      </c>
      <c r="AO38" s="238" t="str">
        <f t="shared" si="2"/>
        <v>SG66</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720</v>
      </c>
      <c r="G39" s="1515">
        <v>8</v>
      </c>
      <c r="H39" s="1516">
        <v>0</v>
      </c>
      <c r="I39" s="1514">
        <v>2220</v>
      </c>
      <c r="J39" s="1515">
        <v>48</v>
      </c>
      <c r="K39" s="1516">
        <v>0</v>
      </c>
      <c r="L39" s="1517" t="s">
        <v>700</v>
      </c>
      <c r="M39" s="1517" t="s">
        <v>1393</v>
      </c>
      <c r="N39" s="1689" t="s">
        <v>116</v>
      </c>
      <c r="O39" s="1645"/>
      <c r="P39" s="245" t="b">
        <f t="shared" si="3"/>
        <v>0</v>
      </c>
      <c r="R39" s="245" t="b">
        <f t="shared" si="1"/>
        <v>0</v>
      </c>
      <c r="AO39" s="238" t="str">
        <f t="shared" si="2"/>
        <v>SG66</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7</v>
      </c>
      <c r="H40" s="1516">
        <v>9</v>
      </c>
      <c r="I40" s="1514"/>
      <c r="J40" s="1515"/>
      <c r="K40" s="1516"/>
      <c r="L40" s="1517" t="s">
        <v>703</v>
      </c>
      <c r="M40" s="1517" t="s">
        <v>1393</v>
      </c>
      <c r="N40" s="1689" t="s">
        <v>116</v>
      </c>
      <c r="O40" s="1645"/>
      <c r="P40" s="245" t="b">
        <f t="shared" si="3"/>
        <v>0</v>
      </c>
      <c r="R40" s="245" t="b">
        <f t="shared" si="1"/>
        <v>0</v>
      </c>
      <c r="AO40" s="238" t="str">
        <f t="shared" si="2"/>
        <v>SG66</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15</v>
      </c>
      <c r="H41" s="1516">
        <v>9</v>
      </c>
      <c r="I41" s="1514"/>
      <c r="J41" s="1515"/>
      <c r="K41" s="1516"/>
      <c r="L41" s="1517" t="s">
        <v>703</v>
      </c>
      <c r="M41" s="1517" t="s">
        <v>1393</v>
      </c>
      <c r="N41" s="1689" t="s">
        <v>116</v>
      </c>
      <c r="O41" s="1645"/>
      <c r="P41" s="245" t="b">
        <f t="shared" si="3"/>
        <v>0</v>
      </c>
      <c r="R41" s="245" t="b">
        <f t="shared" si="1"/>
        <v>0</v>
      </c>
      <c r="AO41" s="238" t="str">
        <f t="shared" si="2"/>
        <v>SG66</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23</v>
      </c>
      <c r="H42" s="1516">
        <v>9</v>
      </c>
      <c r="I42" s="1514"/>
      <c r="J42" s="1515"/>
      <c r="K42" s="1516"/>
      <c r="L42" s="1517" t="s">
        <v>703</v>
      </c>
      <c r="M42" s="1517" t="s">
        <v>1393</v>
      </c>
      <c r="N42" s="1689" t="s">
        <v>116</v>
      </c>
      <c r="O42" s="1645"/>
      <c r="P42" s="245" t="b">
        <f t="shared" si="3"/>
        <v>0</v>
      </c>
      <c r="R42" s="245" t="b">
        <f t="shared" si="1"/>
        <v>0</v>
      </c>
      <c r="AO42" s="238" t="str">
        <f t="shared" si="2"/>
        <v>SG66</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31</v>
      </c>
      <c r="H43" s="1516">
        <v>9</v>
      </c>
      <c r="I43" s="1514"/>
      <c r="J43" s="1515"/>
      <c r="K43" s="1516"/>
      <c r="L43" s="1517" t="s">
        <v>703</v>
      </c>
      <c r="M43" s="1517" t="s">
        <v>1393</v>
      </c>
      <c r="N43" s="1689" t="s">
        <v>116</v>
      </c>
      <c r="O43" s="1645"/>
      <c r="P43" s="245" t="b">
        <f t="shared" si="3"/>
        <v>0</v>
      </c>
      <c r="R43" s="245" t="b">
        <f t="shared" si="1"/>
        <v>0</v>
      </c>
      <c r="AO43" s="238" t="str">
        <f t="shared" si="2"/>
        <v>SG66</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39</v>
      </c>
      <c r="H44" s="1516">
        <v>9</v>
      </c>
      <c r="I44" s="1514"/>
      <c r="J44" s="1515"/>
      <c r="K44" s="1516"/>
      <c r="L44" s="1517" t="s">
        <v>703</v>
      </c>
      <c r="M44" s="1517" t="s">
        <v>1393</v>
      </c>
      <c r="N44" s="1689" t="s">
        <v>116</v>
      </c>
      <c r="O44" s="1645"/>
      <c r="P44" s="245" t="b">
        <f t="shared" si="3"/>
        <v>0</v>
      </c>
      <c r="R44" s="245" t="b">
        <f t="shared" si="1"/>
        <v>0</v>
      </c>
      <c r="AO44" s="238" t="str">
        <f t="shared" si="2"/>
        <v>SG66</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47</v>
      </c>
      <c r="H45" s="1516">
        <v>9</v>
      </c>
      <c r="I45" s="1514"/>
      <c r="J45" s="1515"/>
      <c r="K45" s="1516"/>
      <c r="L45" s="1517" t="s">
        <v>703</v>
      </c>
      <c r="M45" s="1517" t="s">
        <v>1393</v>
      </c>
      <c r="N45" s="1689" t="s">
        <v>116</v>
      </c>
      <c r="O45" s="1645"/>
      <c r="P45" s="245" t="b">
        <f t="shared" si="3"/>
        <v>0</v>
      </c>
      <c r="R45" s="245" t="b">
        <f t="shared" si="1"/>
        <v>0</v>
      </c>
      <c r="AO45" s="238" t="str">
        <f t="shared" si="2"/>
        <v>SG66</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7</v>
      </c>
      <c r="H46" s="1516">
        <v>9</v>
      </c>
      <c r="I46" s="1514"/>
      <c r="J46" s="1515"/>
      <c r="K46" s="1516"/>
      <c r="L46" s="1517" t="s">
        <v>703</v>
      </c>
      <c r="M46" s="1517" t="s">
        <v>1393</v>
      </c>
      <c r="N46" s="1689" t="s">
        <v>116</v>
      </c>
      <c r="O46" s="1645"/>
      <c r="P46" s="245" t="b">
        <f t="shared" si="3"/>
        <v>0</v>
      </c>
      <c r="R46" s="245" t="b">
        <f t="shared" si="1"/>
        <v>0</v>
      </c>
      <c r="AO46" s="238" t="str">
        <f t="shared" si="2"/>
        <v>SG66</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15</v>
      </c>
      <c r="H47" s="1516">
        <v>9</v>
      </c>
      <c r="I47" s="1514"/>
      <c r="J47" s="1515"/>
      <c r="K47" s="1516"/>
      <c r="L47" s="1517" t="s">
        <v>703</v>
      </c>
      <c r="M47" s="1517" t="s">
        <v>1393</v>
      </c>
      <c r="N47" s="1689" t="s">
        <v>116</v>
      </c>
      <c r="O47" s="1645"/>
      <c r="P47" s="245" t="b">
        <f t="shared" si="3"/>
        <v>0</v>
      </c>
      <c r="R47" s="245" t="b">
        <f t="shared" si="1"/>
        <v>0</v>
      </c>
      <c r="AO47" s="238" t="str">
        <f t="shared" si="2"/>
        <v>SG66</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23</v>
      </c>
      <c r="H48" s="1516">
        <v>9</v>
      </c>
      <c r="I48" s="1514"/>
      <c r="J48" s="1515"/>
      <c r="K48" s="1516"/>
      <c r="L48" s="1517" t="s">
        <v>703</v>
      </c>
      <c r="M48" s="1517" t="s">
        <v>1393</v>
      </c>
      <c r="N48" s="1689" t="s">
        <v>116</v>
      </c>
      <c r="O48" s="1645"/>
      <c r="P48" s="245" t="b">
        <f t="shared" si="3"/>
        <v>0</v>
      </c>
      <c r="R48" s="245" t="b">
        <f t="shared" si="1"/>
        <v>0</v>
      </c>
      <c r="AO48" s="238" t="str">
        <f t="shared" si="2"/>
        <v>SG66</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31</v>
      </c>
      <c r="H49" s="1516">
        <v>9</v>
      </c>
      <c r="I49" s="1514"/>
      <c r="J49" s="1515"/>
      <c r="K49" s="1516"/>
      <c r="L49" s="1517" t="s">
        <v>703</v>
      </c>
      <c r="M49" s="1517" t="s">
        <v>1393</v>
      </c>
      <c r="N49" s="1689" t="s">
        <v>116</v>
      </c>
      <c r="O49" s="1645"/>
      <c r="P49" s="245" t="b">
        <f t="shared" si="3"/>
        <v>0</v>
      </c>
      <c r="R49" s="245" t="b">
        <f t="shared" si="1"/>
        <v>0</v>
      </c>
      <c r="AO49" s="238" t="str">
        <f t="shared" si="2"/>
        <v>SG66</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39</v>
      </c>
      <c r="H50" s="1516">
        <v>9</v>
      </c>
      <c r="I50" s="1514"/>
      <c r="J50" s="1515"/>
      <c r="K50" s="1516"/>
      <c r="L50" s="1517" t="s">
        <v>703</v>
      </c>
      <c r="M50" s="1517" t="s">
        <v>1393</v>
      </c>
      <c r="N50" s="1689" t="s">
        <v>116</v>
      </c>
      <c r="O50" s="1645"/>
      <c r="P50" s="245" t="b">
        <f t="shared" si="3"/>
        <v>0</v>
      </c>
      <c r="R50" s="245" t="b">
        <f t="shared" si="1"/>
        <v>0</v>
      </c>
      <c r="AO50" s="238" t="str">
        <f t="shared" si="2"/>
        <v>SG66</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47</v>
      </c>
      <c r="H51" s="1516">
        <v>9</v>
      </c>
      <c r="I51" s="1514"/>
      <c r="J51" s="1515"/>
      <c r="K51" s="1516"/>
      <c r="L51" s="1517" t="s">
        <v>703</v>
      </c>
      <c r="M51" s="1517" t="s">
        <v>1393</v>
      </c>
      <c r="N51" s="1689" t="s">
        <v>116</v>
      </c>
      <c r="O51" s="1645"/>
      <c r="P51" s="245" t="b">
        <f t="shared" si="3"/>
        <v>0</v>
      </c>
      <c r="R51" s="245" t="b">
        <f t="shared" si="1"/>
        <v>0</v>
      </c>
      <c r="AO51" s="238" t="str">
        <f t="shared" si="2"/>
        <v>SG66</v>
      </c>
      <c r="AP51" s="945" t="b">
        <v>0</v>
      </c>
      <c r="AQ51" s="1323"/>
      <c r="AR51" s="1324"/>
      <c r="AS51" s="1324"/>
      <c r="AT51" s="1324"/>
      <c r="AU51" s="1324"/>
      <c r="AV51" s="1324"/>
      <c r="AW51" s="1324"/>
      <c r="AX51" s="1324"/>
      <c r="AY51" s="1324"/>
      <c r="AZ51" s="1324"/>
      <c r="BA51" s="1533"/>
      <c r="BB51" s="1533"/>
      <c r="BC51" s="1534"/>
    </row>
    <row r="52" spans="1:55" ht="14.1" customHeight="1" x14ac:dyDescent="0.2">
      <c r="A52" s="1511" t="s">
        <v>2018</v>
      </c>
      <c r="B52" s="1512" t="s">
        <v>155</v>
      </c>
      <c r="C52" s="1512" t="s">
        <v>165</v>
      </c>
      <c r="D52" s="1512" t="s">
        <v>145</v>
      </c>
      <c r="E52" s="1513"/>
      <c r="F52" s="1514">
        <v>250</v>
      </c>
      <c r="G52" s="1515"/>
      <c r="H52" s="1516"/>
      <c r="I52" s="1514"/>
      <c r="J52" s="1515"/>
      <c r="K52" s="1516"/>
      <c r="L52" s="1517" t="s">
        <v>116</v>
      </c>
      <c r="M52" s="1517" t="s">
        <v>1393</v>
      </c>
      <c r="N52" s="1689" t="s">
        <v>116</v>
      </c>
      <c r="O52" s="1645"/>
      <c r="P52" s="245" t="b">
        <f t="shared" si="3"/>
        <v>0</v>
      </c>
      <c r="R52" s="245" t="b">
        <f t="shared" si="1"/>
        <v>1</v>
      </c>
      <c r="AO52" s="238" t="str">
        <f t="shared" si="2"/>
        <v>SG67</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155</v>
      </c>
      <c r="C53" s="1512" t="s">
        <v>165</v>
      </c>
      <c r="D53" s="1512" t="s">
        <v>159</v>
      </c>
      <c r="E53" s="1513"/>
      <c r="F53" s="1514">
        <v>250</v>
      </c>
      <c r="G53" s="1515"/>
      <c r="H53" s="1516"/>
      <c r="I53" s="1514"/>
      <c r="J53" s="1515"/>
      <c r="K53" s="1516"/>
      <c r="L53" s="1517" t="s">
        <v>116</v>
      </c>
      <c r="M53" s="1517" t="s">
        <v>1393</v>
      </c>
      <c r="N53" s="1689" t="s">
        <v>116</v>
      </c>
      <c r="O53" s="1645"/>
      <c r="P53" s="245" t="b">
        <f t="shared" si="3"/>
        <v>0</v>
      </c>
      <c r="R53" s="245" t="b">
        <f t="shared" si="1"/>
        <v>1</v>
      </c>
      <c r="AO53" s="238" t="str">
        <f t="shared" si="2"/>
        <v>SG67</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154</v>
      </c>
      <c r="C54" s="1512" t="s">
        <v>165</v>
      </c>
      <c r="D54" s="1512" t="s">
        <v>145</v>
      </c>
      <c r="E54" s="1513"/>
      <c r="F54" s="1514">
        <v>1500</v>
      </c>
      <c r="G54" s="1515"/>
      <c r="H54" s="1516"/>
      <c r="I54" s="1514"/>
      <c r="J54" s="1515"/>
      <c r="K54" s="1516"/>
      <c r="L54" s="1517" t="s">
        <v>116</v>
      </c>
      <c r="M54" s="1517" t="s">
        <v>1393</v>
      </c>
      <c r="N54" s="1689" t="s">
        <v>116</v>
      </c>
      <c r="O54" s="1645"/>
      <c r="P54" s="245" t="b">
        <f t="shared" si="3"/>
        <v>0</v>
      </c>
      <c r="R54" s="245" t="b">
        <f t="shared" si="1"/>
        <v>1</v>
      </c>
      <c r="AO54" s="238" t="str">
        <f t="shared" si="2"/>
        <v>SG67</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7</v>
      </c>
      <c r="H55" s="1525">
        <v>9</v>
      </c>
      <c r="I55" s="1523"/>
      <c r="J55" s="1524"/>
      <c r="K55" s="1525"/>
      <c r="L55" s="1526" t="s">
        <v>703</v>
      </c>
      <c r="M55" s="1526" t="s">
        <v>1393</v>
      </c>
      <c r="N55" s="1690"/>
      <c r="O55" s="1645"/>
      <c r="P55" s="245" t="b">
        <f t="shared" si="3"/>
        <v>0</v>
      </c>
      <c r="R55" s="245" t="b">
        <f t="shared" si="1"/>
        <v>0</v>
      </c>
      <c r="AO55" s="238" t="str">
        <f t="shared" si="2"/>
        <v>SG67</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9" priority="4" stopIfTrue="1">
      <formula>AND($B14="NU",F14&lt;0)</formula>
    </cfRule>
  </conditionalFormatting>
  <conditionalFormatting sqref="B14:B55">
    <cfRule type="expression" dxfId="98" priority="5" stopIfTrue="1">
      <formula>OR(AND($B14="NU",F14&lt;0),AND($B14="NU",I14&lt;0))</formula>
    </cfRule>
  </conditionalFormatting>
  <conditionalFormatting sqref="G14:H55 J14:L55">
    <cfRule type="expression" dxfId="97" priority="6" stopIfTrue="1">
      <formula>$R14</formula>
    </cfRule>
  </conditionalFormatting>
  <conditionalFormatting sqref="I2:K4">
    <cfRule type="cellIs" dxfId="96" priority="7" stopIfTrue="1" operator="equal">
      <formula>""</formula>
    </cfRule>
  </conditionalFormatting>
  <conditionalFormatting sqref="I14:I55">
    <cfRule type="expression" dxfId="95" priority="8" stopIfTrue="1">
      <formula>OR($R14,$B14="CZ",AND($B14="NU",I14&lt;0))</formula>
    </cfRule>
  </conditionalFormatting>
  <conditionalFormatting sqref="A14:A55">
    <cfRule type="expression" dxfId="94" priority="3">
      <formula>NOT($P14)</formula>
    </cfRule>
  </conditionalFormatting>
  <conditionalFormatting sqref="B14:D55">
    <cfRule type="expression" dxfId="9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92" priority="9">
      <formula>AND(NOT($P14),$T$1)</formula>
    </cfRule>
    <cfRule type="expression" dxfId="91" priority="10">
      <formula>AND($AP14,$S$1="M")</formula>
    </cfRule>
  </conditionalFormatting>
  <conditionalFormatting sqref="L14:L55">
    <cfRule type="expression" dxfId="9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0012FEE-C171-4363-AFAD-7B743C1E67A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F945E40-6D8A-4215-B959-E6AD1DFC874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D5792FA4-248B-49D8-8E6C-4D98AD678B3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6D06C8D3-81C1-46AF-92E9-316EA1EA2147}">
      <formula1>IF($CA$14,$CA$16:$CA$21,$CB$16:$CB$19)</formula1>
    </dataValidation>
    <dataValidation type="list" allowBlank="1" showErrorMessage="1" errorTitle="Invalid Type" error="You MUST select a Type from the dropdown list provided._x000a__x000a_Also, make sure your Cap Lock is turned on." sqref="B14:B55" xr:uid="{24822C5F-E95D-4598-BB64-D2C5D52A166E}">
      <formula1>$BF$15:$BU$15</formula1>
    </dataValidation>
    <dataValidation allowBlank="1" showInputMessage="1" errorTitle="Invalid Load Case" error="You MUST use a Load Case from the list provided." sqref="M14:M55" xr:uid="{D835ED0E-240B-41D9-BD39-CFDE80C27F2C}"/>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02A41-65BB-4098-A127-4DB6F0AA2665}">
  <sheetPr codeName="Sheet65">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7000</v>
      </c>
      <c r="G14" s="1507">
        <v>15</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23</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31</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39</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47</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55</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532</v>
      </c>
      <c r="G20" s="1515">
        <v>7</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15</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23</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31</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39</v>
      </c>
      <c r="H24" s="1516">
        <v>9</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47</v>
      </c>
      <c r="H25" s="1516">
        <v>9</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55</v>
      </c>
      <c r="H26" s="1516">
        <v>9</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t="s">
        <v>2019</v>
      </c>
      <c r="B27" s="1512" t="s">
        <v>155</v>
      </c>
      <c r="C27" s="1512" t="s">
        <v>165</v>
      </c>
      <c r="D27" s="1512" t="s">
        <v>145</v>
      </c>
      <c r="E27" s="1513"/>
      <c r="F27" s="1514">
        <v>250</v>
      </c>
      <c r="G27" s="1515"/>
      <c r="H27" s="1516"/>
      <c r="I27" s="1514"/>
      <c r="J27" s="1515"/>
      <c r="K27" s="1516"/>
      <c r="L27" s="1517" t="s">
        <v>116</v>
      </c>
      <c r="M27" s="1518" t="s">
        <v>1393</v>
      </c>
      <c r="N27" s="1519"/>
      <c r="O27" s="1646"/>
      <c r="P27" s="245" t="b">
        <f t="shared" si="3"/>
        <v>0</v>
      </c>
      <c r="R27" s="245" t="b">
        <f t="shared" si="1"/>
        <v>1</v>
      </c>
      <c r="AO27" s="238" t="str">
        <f t="shared" si="2"/>
        <v>SG68</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155</v>
      </c>
      <c r="C28" s="1512" t="s">
        <v>165</v>
      </c>
      <c r="D28" s="1512" t="s">
        <v>159</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SG68</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154</v>
      </c>
      <c r="C29" s="1512" t="s">
        <v>165</v>
      </c>
      <c r="D29" s="1512" t="s">
        <v>145</v>
      </c>
      <c r="E29" s="1513"/>
      <c r="F29" s="1514">
        <v>1500</v>
      </c>
      <c r="G29" s="1515"/>
      <c r="H29" s="1516"/>
      <c r="I29" s="1514"/>
      <c r="J29" s="1515"/>
      <c r="K29" s="1516"/>
      <c r="L29" s="1517" t="s">
        <v>116</v>
      </c>
      <c r="M29" s="1518" t="s">
        <v>1393</v>
      </c>
      <c r="N29" s="1689"/>
      <c r="O29" s="1645"/>
      <c r="P29" s="245" t="b">
        <f t="shared" si="3"/>
        <v>0</v>
      </c>
      <c r="R29" s="245" t="b">
        <f t="shared" si="1"/>
        <v>1</v>
      </c>
      <c r="AO29" s="238" t="str">
        <f t="shared" si="2"/>
        <v>SG68</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154</v>
      </c>
      <c r="C30" s="1512" t="s">
        <v>165</v>
      </c>
      <c r="D30" s="1512" t="s">
        <v>145</v>
      </c>
      <c r="E30" s="1513"/>
      <c r="F30" s="1514">
        <v>720</v>
      </c>
      <c r="G30" s="1515"/>
      <c r="H30" s="1516"/>
      <c r="I30" s="1514"/>
      <c r="J30" s="1515"/>
      <c r="K30" s="1516"/>
      <c r="L30" s="1517" t="s">
        <v>116</v>
      </c>
      <c r="M30" s="1518" t="s">
        <v>1393</v>
      </c>
      <c r="N30" s="1689" t="s">
        <v>116</v>
      </c>
      <c r="O30" s="1645"/>
      <c r="P30" s="245" t="b">
        <f t="shared" si="3"/>
        <v>0</v>
      </c>
      <c r="R30" s="245" t="b">
        <f t="shared" si="1"/>
        <v>1</v>
      </c>
      <c r="AO30" s="238" t="str">
        <f t="shared" si="2"/>
        <v>SG68</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3</v>
      </c>
      <c r="H31" s="1516">
        <v>9</v>
      </c>
      <c r="I31" s="1514"/>
      <c r="J31" s="1515"/>
      <c r="K31" s="1516"/>
      <c r="L31" s="1517" t="s">
        <v>703</v>
      </c>
      <c r="M31" s="1517" t="s">
        <v>1393</v>
      </c>
      <c r="N31" s="1689" t="s">
        <v>116</v>
      </c>
      <c r="O31" s="1645"/>
      <c r="P31" s="245" t="b">
        <f t="shared" si="3"/>
        <v>0</v>
      </c>
      <c r="R31" s="245" t="b">
        <f t="shared" si="1"/>
        <v>0</v>
      </c>
      <c r="AO31" s="238" t="str">
        <f t="shared" si="2"/>
        <v>SG68</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11</v>
      </c>
      <c r="H32" s="1516">
        <v>9</v>
      </c>
      <c r="I32" s="1514"/>
      <c r="J32" s="1515"/>
      <c r="K32" s="1516"/>
      <c r="L32" s="1517" t="s">
        <v>703</v>
      </c>
      <c r="M32" s="1517" t="s">
        <v>1393</v>
      </c>
      <c r="N32" s="1689" t="s">
        <v>116</v>
      </c>
      <c r="O32" s="1645"/>
      <c r="P32" s="245" t="b">
        <f t="shared" si="3"/>
        <v>0</v>
      </c>
      <c r="R32" s="245" t="b">
        <f t="shared" si="1"/>
        <v>0</v>
      </c>
      <c r="AO32" s="238" t="str">
        <f t="shared" si="2"/>
        <v>SG68</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19</v>
      </c>
      <c r="H33" s="1516">
        <v>9</v>
      </c>
      <c r="I33" s="1514"/>
      <c r="J33" s="1515"/>
      <c r="K33" s="1516"/>
      <c r="L33" s="1517" t="s">
        <v>703</v>
      </c>
      <c r="M33" s="1517" t="s">
        <v>1393</v>
      </c>
      <c r="N33" s="1689" t="s">
        <v>116</v>
      </c>
      <c r="O33" s="1645"/>
      <c r="P33" s="245" t="b">
        <f t="shared" si="3"/>
        <v>0</v>
      </c>
      <c r="R33" s="245" t="b">
        <f t="shared" si="1"/>
        <v>0</v>
      </c>
      <c r="AO33" s="238" t="str">
        <f t="shared" si="2"/>
        <v>SG68</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27</v>
      </c>
      <c r="H34" s="1516">
        <v>9</v>
      </c>
      <c r="I34" s="1514"/>
      <c r="J34" s="1515"/>
      <c r="K34" s="1516"/>
      <c r="L34" s="1517" t="s">
        <v>703</v>
      </c>
      <c r="M34" s="1517" t="s">
        <v>1393</v>
      </c>
      <c r="N34" s="1689" t="s">
        <v>116</v>
      </c>
      <c r="O34" s="1645"/>
      <c r="P34" s="245" t="b">
        <f t="shared" si="3"/>
        <v>0</v>
      </c>
      <c r="R34" s="245" t="b">
        <f t="shared" si="1"/>
        <v>0</v>
      </c>
      <c r="AO34" s="238" t="str">
        <f t="shared" si="2"/>
        <v>SG68</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35</v>
      </c>
      <c r="H35" s="1516">
        <v>9</v>
      </c>
      <c r="I35" s="1514"/>
      <c r="J35" s="1515"/>
      <c r="K35" s="1516"/>
      <c r="L35" s="1517" t="s">
        <v>703</v>
      </c>
      <c r="M35" s="1517" t="s">
        <v>1393</v>
      </c>
      <c r="N35" s="1689" t="s">
        <v>116</v>
      </c>
      <c r="O35" s="1645"/>
      <c r="P35" s="245" t="b">
        <f t="shared" si="3"/>
        <v>0</v>
      </c>
      <c r="R35" s="245" t="b">
        <f t="shared" si="1"/>
        <v>0</v>
      </c>
      <c r="AO35" s="238" t="str">
        <f t="shared" si="2"/>
        <v>SG68</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43</v>
      </c>
      <c r="H36" s="1516">
        <v>9</v>
      </c>
      <c r="I36" s="1514"/>
      <c r="J36" s="1515"/>
      <c r="K36" s="1516"/>
      <c r="L36" s="1517" t="s">
        <v>703</v>
      </c>
      <c r="M36" s="1517" t="s">
        <v>1393</v>
      </c>
      <c r="N36" s="1689" t="s">
        <v>116</v>
      </c>
      <c r="O36" s="1645"/>
      <c r="P36" s="245" t="b">
        <f t="shared" si="3"/>
        <v>0</v>
      </c>
      <c r="R36" s="245" t="b">
        <f t="shared" si="1"/>
        <v>0</v>
      </c>
      <c r="AO36" s="238" t="str">
        <f t="shared" si="2"/>
        <v>SG68</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51</v>
      </c>
      <c r="H37" s="1516">
        <v>9</v>
      </c>
      <c r="I37" s="1514"/>
      <c r="J37" s="1515"/>
      <c r="K37" s="1516"/>
      <c r="L37" s="1517" t="s">
        <v>703</v>
      </c>
      <c r="M37" s="1517" t="s">
        <v>1393</v>
      </c>
      <c r="N37" s="1689" t="s">
        <v>116</v>
      </c>
      <c r="O37" s="1645"/>
      <c r="P37" s="245" t="b">
        <f t="shared" si="3"/>
        <v>0</v>
      </c>
      <c r="R37" s="245" t="b">
        <f t="shared" si="1"/>
        <v>0</v>
      </c>
      <c r="AO37" s="238" t="str">
        <f t="shared" si="2"/>
        <v>SG68</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3</v>
      </c>
      <c r="H38" s="1516">
        <v>9</v>
      </c>
      <c r="I38" s="1514"/>
      <c r="J38" s="1515"/>
      <c r="K38" s="1516"/>
      <c r="L38" s="1517" t="s">
        <v>703</v>
      </c>
      <c r="M38" s="1517" t="s">
        <v>1393</v>
      </c>
      <c r="N38" s="1689" t="s">
        <v>116</v>
      </c>
      <c r="O38" s="1645"/>
      <c r="P38" s="245" t="b">
        <f t="shared" si="3"/>
        <v>0</v>
      </c>
      <c r="R38" s="245" t="b">
        <f t="shared" si="1"/>
        <v>0</v>
      </c>
      <c r="AO38" s="238" t="str">
        <f t="shared" si="2"/>
        <v>SG68</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11</v>
      </c>
      <c r="H39" s="1516">
        <v>9</v>
      </c>
      <c r="I39" s="1514"/>
      <c r="J39" s="1515"/>
      <c r="K39" s="1516"/>
      <c r="L39" s="1517" t="s">
        <v>703</v>
      </c>
      <c r="M39" s="1517" t="s">
        <v>1393</v>
      </c>
      <c r="N39" s="1689" t="s">
        <v>116</v>
      </c>
      <c r="O39" s="1645"/>
      <c r="P39" s="245" t="b">
        <f t="shared" si="3"/>
        <v>0</v>
      </c>
      <c r="R39" s="245" t="b">
        <f t="shared" si="1"/>
        <v>0</v>
      </c>
      <c r="AO39" s="238" t="str">
        <f t="shared" si="2"/>
        <v>SG68</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19</v>
      </c>
      <c r="H40" s="1516">
        <v>9</v>
      </c>
      <c r="I40" s="1514"/>
      <c r="J40" s="1515"/>
      <c r="K40" s="1516"/>
      <c r="L40" s="1517" t="s">
        <v>703</v>
      </c>
      <c r="M40" s="1517" t="s">
        <v>1393</v>
      </c>
      <c r="N40" s="1689" t="s">
        <v>116</v>
      </c>
      <c r="O40" s="1645"/>
      <c r="P40" s="245" t="b">
        <f t="shared" si="3"/>
        <v>0</v>
      </c>
      <c r="R40" s="245" t="b">
        <f t="shared" si="1"/>
        <v>0</v>
      </c>
      <c r="AO40" s="238" t="str">
        <f t="shared" si="2"/>
        <v>SG68</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27</v>
      </c>
      <c r="H41" s="1516">
        <v>9</v>
      </c>
      <c r="I41" s="1514"/>
      <c r="J41" s="1515"/>
      <c r="K41" s="1516"/>
      <c r="L41" s="1517" t="s">
        <v>703</v>
      </c>
      <c r="M41" s="1517" t="s">
        <v>1393</v>
      </c>
      <c r="N41" s="1689" t="s">
        <v>116</v>
      </c>
      <c r="O41" s="1645"/>
      <c r="P41" s="245" t="b">
        <f t="shared" si="3"/>
        <v>0</v>
      </c>
      <c r="R41" s="245" t="b">
        <f t="shared" si="1"/>
        <v>0</v>
      </c>
      <c r="AO41" s="238" t="str">
        <f t="shared" si="2"/>
        <v>SG68</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35</v>
      </c>
      <c r="H42" s="1516">
        <v>9</v>
      </c>
      <c r="I42" s="1514"/>
      <c r="J42" s="1515"/>
      <c r="K42" s="1516"/>
      <c r="L42" s="1517" t="s">
        <v>703</v>
      </c>
      <c r="M42" s="1517" t="s">
        <v>1393</v>
      </c>
      <c r="N42" s="1689" t="s">
        <v>116</v>
      </c>
      <c r="O42" s="1645"/>
      <c r="P42" s="245" t="b">
        <f t="shared" si="3"/>
        <v>0</v>
      </c>
      <c r="R42" s="245" t="b">
        <f t="shared" si="1"/>
        <v>0</v>
      </c>
      <c r="AO42" s="238" t="str">
        <f t="shared" si="2"/>
        <v>SG68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43</v>
      </c>
      <c r="H43" s="1516">
        <v>9</v>
      </c>
      <c r="I43" s="1514"/>
      <c r="J43" s="1515"/>
      <c r="K43" s="1516"/>
      <c r="L43" s="1517" t="s">
        <v>703</v>
      </c>
      <c r="M43" s="1517" t="s">
        <v>1393</v>
      </c>
      <c r="N43" s="1689" t="s">
        <v>116</v>
      </c>
      <c r="O43" s="1645"/>
      <c r="P43" s="245" t="b">
        <f t="shared" si="3"/>
        <v>0</v>
      </c>
      <c r="R43" s="245" t="b">
        <f t="shared" si="1"/>
        <v>0</v>
      </c>
      <c r="AO43" s="238" t="str">
        <f t="shared" si="2"/>
        <v>SG68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51</v>
      </c>
      <c r="H44" s="1516">
        <v>9</v>
      </c>
      <c r="I44" s="1514"/>
      <c r="J44" s="1515"/>
      <c r="K44" s="1516"/>
      <c r="L44" s="1517" t="s">
        <v>703</v>
      </c>
      <c r="M44" s="1517" t="s">
        <v>1393</v>
      </c>
      <c r="N44" s="1689" t="s">
        <v>116</v>
      </c>
      <c r="O44" s="1645"/>
      <c r="P44" s="245" t="b">
        <f t="shared" si="3"/>
        <v>0</v>
      </c>
      <c r="R44" s="245" t="b">
        <f t="shared" si="1"/>
        <v>0</v>
      </c>
      <c r="AO44" s="238" t="str">
        <f t="shared" si="2"/>
        <v>SG68</v>
      </c>
      <c r="AP44" s="945" t="b">
        <v>0</v>
      </c>
      <c r="AQ44" s="1323"/>
      <c r="AR44" s="1324"/>
      <c r="AS44" s="1324"/>
      <c r="AT44" s="1324"/>
      <c r="AU44" s="1324"/>
      <c r="AV44" s="1324"/>
      <c r="AW44" s="1324"/>
      <c r="AX44" s="1324"/>
      <c r="AY44" s="1324"/>
      <c r="AZ44" s="1324"/>
      <c r="BA44" s="1533"/>
      <c r="BB44" s="1533"/>
      <c r="BC44" s="1534"/>
    </row>
    <row r="45" spans="1:55" ht="14.1" customHeight="1" x14ac:dyDescent="0.2">
      <c r="A45" s="1511" t="s">
        <v>2020</v>
      </c>
      <c r="B45" s="1512" t="s">
        <v>155</v>
      </c>
      <c r="C45" s="1512" t="s">
        <v>165</v>
      </c>
      <c r="D45" s="1512" t="s">
        <v>145</v>
      </c>
      <c r="E45" s="1513"/>
      <c r="F45" s="1514">
        <v>250</v>
      </c>
      <c r="G45" s="1515"/>
      <c r="H45" s="1516"/>
      <c r="I45" s="1514"/>
      <c r="J45" s="1515"/>
      <c r="K45" s="1516"/>
      <c r="L45" s="1517" t="s">
        <v>116</v>
      </c>
      <c r="M45" s="1517" t="s">
        <v>1393</v>
      </c>
      <c r="N45" s="1689" t="s">
        <v>116</v>
      </c>
      <c r="O45" s="1645"/>
      <c r="P45" s="245" t="b">
        <f t="shared" si="3"/>
        <v>0</v>
      </c>
      <c r="R45" s="245" t="b">
        <f t="shared" si="1"/>
        <v>1</v>
      </c>
      <c r="AO45" s="238" t="str">
        <f t="shared" si="2"/>
        <v>SG69</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155</v>
      </c>
      <c r="C46" s="1512" t="s">
        <v>165</v>
      </c>
      <c r="D46" s="1512" t="s">
        <v>159</v>
      </c>
      <c r="E46" s="1513"/>
      <c r="F46" s="1514">
        <v>250</v>
      </c>
      <c r="G46" s="1515"/>
      <c r="H46" s="1516"/>
      <c r="I46" s="1514"/>
      <c r="J46" s="1515"/>
      <c r="K46" s="1516"/>
      <c r="L46" s="1517" t="s">
        <v>116</v>
      </c>
      <c r="M46" s="1517" t="s">
        <v>1393</v>
      </c>
      <c r="N46" s="1689" t="s">
        <v>116</v>
      </c>
      <c r="O46" s="1645"/>
      <c r="P46" s="245" t="b">
        <f t="shared" si="3"/>
        <v>0</v>
      </c>
      <c r="R46" s="245" t="b">
        <f t="shared" si="1"/>
        <v>1</v>
      </c>
      <c r="AO46" s="238" t="str">
        <f t="shared" si="2"/>
        <v>SG69</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154</v>
      </c>
      <c r="C47" s="1512" t="s">
        <v>165</v>
      </c>
      <c r="D47" s="1512" t="s">
        <v>145</v>
      </c>
      <c r="E47" s="1513"/>
      <c r="F47" s="1514">
        <v>1500</v>
      </c>
      <c r="G47" s="1515"/>
      <c r="H47" s="1516"/>
      <c r="I47" s="1514"/>
      <c r="J47" s="1515"/>
      <c r="K47" s="1516"/>
      <c r="L47" s="1517" t="s">
        <v>116</v>
      </c>
      <c r="M47" s="1517" t="s">
        <v>1393</v>
      </c>
      <c r="N47" s="1689" t="s">
        <v>116</v>
      </c>
      <c r="O47" s="1645"/>
      <c r="P47" s="245" t="b">
        <f t="shared" si="3"/>
        <v>0</v>
      </c>
      <c r="R47" s="245" t="b">
        <f t="shared" si="1"/>
        <v>1</v>
      </c>
      <c r="AO47" s="238" t="str">
        <f t="shared" si="2"/>
        <v>SG69</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3</v>
      </c>
      <c r="H48" s="1516">
        <v>9</v>
      </c>
      <c r="I48" s="1514"/>
      <c r="J48" s="1515"/>
      <c r="K48" s="1516"/>
      <c r="L48" s="1517" t="s">
        <v>703</v>
      </c>
      <c r="M48" s="1517" t="s">
        <v>1393</v>
      </c>
      <c r="N48" s="1689" t="s">
        <v>116</v>
      </c>
      <c r="O48" s="1645"/>
      <c r="P48" s="245" t="b">
        <f t="shared" si="3"/>
        <v>0</v>
      </c>
      <c r="R48" s="245" t="b">
        <f t="shared" si="1"/>
        <v>0</v>
      </c>
      <c r="AO48" s="238" t="str">
        <f t="shared" si="2"/>
        <v>SG69</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11</v>
      </c>
      <c r="H49" s="1516">
        <v>9</v>
      </c>
      <c r="I49" s="1514"/>
      <c r="J49" s="1515"/>
      <c r="K49" s="1516"/>
      <c r="L49" s="1517" t="s">
        <v>703</v>
      </c>
      <c r="M49" s="1517" t="s">
        <v>1393</v>
      </c>
      <c r="N49" s="1689" t="s">
        <v>116</v>
      </c>
      <c r="O49" s="1645"/>
      <c r="P49" s="245" t="b">
        <f t="shared" si="3"/>
        <v>0</v>
      </c>
      <c r="R49" s="245" t="b">
        <f t="shared" si="1"/>
        <v>0</v>
      </c>
      <c r="AO49" s="238" t="str">
        <f t="shared" si="2"/>
        <v>SG69</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19</v>
      </c>
      <c r="H50" s="1516">
        <v>9</v>
      </c>
      <c r="I50" s="1514"/>
      <c r="J50" s="1515"/>
      <c r="K50" s="1516"/>
      <c r="L50" s="1517" t="s">
        <v>703</v>
      </c>
      <c r="M50" s="1517" t="s">
        <v>1393</v>
      </c>
      <c r="N50" s="1689" t="s">
        <v>116</v>
      </c>
      <c r="O50" s="1645"/>
      <c r="P50" s="245" t="b">
        <f t="shared" si="3"/>
        <v>0</v>
      </c>
      <c r="R50" s="245" t="b">
        <f t="shared" si="1"/>
        <v>0</v>
      </c>
      <c r="AO50" s="238" t="str">
        <f t="shared" si="2"/>
        <v>SG69</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27</v>
      </c>
      <c r="H51" s="1516">
        <v>9</v>
      </c>
      <c r="I51" s="1514"/>
      <c r="J51" s="1515"/>
      <c r="K51" s="1516"/>
      <c r="L51" s="1517" t="s">
        <v>703</v>
      </c>
      <c r="M51" s="1517" t="s">
        <v>1393</v>
      </c>
      <c r="N51" s="1689" t="s">
        <v>116</v>
      </c>
      <c r="O51" s="1645"/>
      <c r="P51" s="245" t="b">
        <f t="shared" si="3"/>
        <v>0</v>
      </c>
      <c r="R51" s="245" t="b">
        <f t="shared" si="1"/>
        <v>0</v>
      </c>
      <c r="AO51" s="238" t="str">
        <f t="shared" si="2"/>
        <v>SG69</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35</v>
      </c>
      <c r="H52" s="1516">
        <v>9</v>
      </c>
      <c r="I52" s="1514"/>
      <c r="J52" s="1515"/>
      <c r="K52" s="1516"/>
      <c r="L52" s="1517" t="s">
        <v>703</v>
      </c>
      <c r="M52" s="1517" t="s">
        <v>1393</v>
      </c>
      <c r="N52" s="1689" t="s">
        <v>116</v>
      </c>
      <c r="O52" s="1645"/>
      <c r="P52" s="245" t="b">
        <f t="shared" si="3"/>
        <v>0</v>
      </c>
      <c r="R52" s="245" t="b">
        <f t="shared" si="1"/>
        <v>0</v>
      </c>
      <c r="AO52" s="238" t="str">
        <f t="shared" si="2"/>
        <v>SG69</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43</v>
      </c>
      <c r="H53" s="1516">
        <v>9</v>
      </c>
      <c r="I53" s="1514"/>
      <c r="J53" s="1515"/>
      <c r="K53" s="1516"/>
      <c r="L53" s="1517" t="s">
        <v>703</v>
      </c>
      <c r="M53" s="1517" t="s">
        <v>1393</v>
      </c>
      <c r="N53" s="1689" t="s">
        <v>116</v>
      </c>
      <c r="O53" s="1645"/>
      <c r="P53" s="245" t="b">
        <f t="shared" si="3"/>
        <v>0</v>
      </c>
      <c r="R53" s="245" t="b">
        <f t="shared" si="1"/>
        <v>0</v>
      </c>
      <c r="AO53" s="238" t="str">
        <f t="shared" si="2"/>
        <v>SG69</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51</v>
      </c>
      <c r="H54" s="1516">
        <v>9</v>
      </c>
      <c r="I54" s="1514"/>
      <c r="J54" s="1515"/>
      <c r="K54" s="1516"/>
      <c r="L54" s="1517" t="s">
        <v>703</v>
      </c>
      <c r="M54" s="1517" t="s">
        <v>1393</v>
      </c>
      <c r="N54" s="1689" t="s">
        <v>116</v>
      </c>
      <c r="O54" s="1645"/>
      <c r="P54" s="245" t="b">
        <f t="shared" si="3"/>
        <v>0</v>
      </c>
      <c r="R54" s="245" t="b">
        <f t="shared" si="1"/>
        <v>0</v>
      </c>
      <c r="AO54" s="238" t="str">
        <f t="shared" si="2"/>
        <v>SG69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3</v>
      </c>
      <c r="H55" s="1525">
        <v>9</v>
      </c>
      <c r="I55" s="1523"/>
      <c r="J55" s="1524"/>
      <c r="K55" s="1525"/>
      <c r="L55" s="1526" t="s">
        <v>703</v>
      </c>
      <c r="M55" s="1526" t="s">
        <v>1393</v>
      </c>
      <c r="N55" s="1690"/>
      <c r="O55" s="1645"/>
      <c r="P55" s="245" t="b">
        <f t="shared" si="3"/>
        <v>0</v>
      </c>
      <c r="R55" s="245" t="b">
        <f t="shared" si="1"/>
        <v>0</v>
      </c>
      <c r="AO55" s="238" t="str">
        <f t="shared" si="2"/>
        <v>SG69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9" priority="4" stopIfTrue="1">
      <formula>AND($B14="NU",F14&lt;0)</formula>
    </cfRule>
  </conditionalFormatting>
  <conditionalFormatting sqref="B14:B55">
    <cfRule type="expression" dxfId="88" priority="5" stopIfTrue="1">
      <formula>OR(AND($B14="NU",F14&lt;0),AND($B14="NU",I14&lt;0))</formula>
    </cfRule>
  </conditionalFormatting>
  <conditionalFormatting sqref="G14:H55 J14:L55">
    <cfRule type="expression" dxfId="87" priority="6" stopIfTrue="1">
      <formula>$R14</formula>
    </cfRule>
  </conditionalFormatting>
  <conditionalFormatting sqref="I2:K4">
    <cfRule type="cellIs" dxfId="86" priority="7" stopIfTrue="1" operator="equal">
      <formula>""</formula>
    </cfRule>
  </conditionalFormatting>
  <conditionalFormatting sqref="I14:I55">
    <cfRule type="expression" dxfId="85" priority="8" stopIfTrue="1">
      <formula>OR($R14,$B14="CZ",AND($B14="NU",I14&lt;0))</formula>
    </cfRule>
  </conditionalFormatting>
  <conditionalFormatting sqref="A14:A55">
    <cfRule type="expression" dxfId="84" priority="3">
      <formula>NOT($P14)</formula>
    </cfRule>
  </conditionalFormatting>
  <conditionalFormatting sqref="B14:D55">
    <cfRule type="expression" dxfId="8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2" priority="9">
      <formula>AND(NOT($P14),$T$1)</formula>
    </cfRule>
    <cfRule type="expression" dxfId="81" priority="10">
      <formula>AND($AP14,$S$1="M")</formula>
    </cfRule>
  </conditionalFormatting>
  <conditionalFormatting sqref="L14:L55">
    <cfRule type="expression" dxfId="8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E2752EAB-EAB0-4F63-B8C3-2253FD19D10C}">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D9159E2-690F-4237-86DD-F337BF86D678}">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3435528-BB2D-4671-9615-559A5FEAE2D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347BA39-4813-4AF5-BECE-E43D9BE68BFC}">
      <formula1>IF($CA$14,$CA$16:$CA$21,$CB$16:$CB$19)</formula1>
    </dataValidation>
    <dataValidation type="list" allowBlank="1" showErrorMessage="1" errorTitle="Invalid Type" error="You MUST select a Type from the dropdown list provided._x000a__x000a_Also, make sure your Cap Lock is turned on." sqref="B14:B55" xr:uid="{1EA38211-AC24-4770-BD42-97F6A8885C7B}">
      <formula1>$BF$15:$BU$15</formula1>
    </dataValidation>
    <dataValidation allowBlank="1" showInputMessage="1" errorTitle="Invalid Load Case" error="You MUST use a Load Case from the list provided." sqref="M14:M55" xr:uid="{08F1C499-EF8F-40E4-94D9-8D2F4128B18A}"/>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BB26-6209-42B6-9AEE-8F397B559FBB}">
  <sheetPr codeName="Sheet66">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11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19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27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35</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43</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51</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t="s">
        <v>2021</v>
      </c>
      <c r="B20" s="1512" t="s">
        <v>155</v>
      </c>
      <c r="C20" s="1512" t="s">
        <v>165</v>
      </c>
      <c r="D20" s="1512" t="s">
        <v>145</v>
      </c>
      <c r="E20" s="1513"/>
      <c r="F20" s="1514">
        <v>250</v>
      </c>
      <c r="G20" s="1515"/>
      <c r="H20" s="1516"/>
      <c r="I20" s="1514"/>
      <c r="J20" s="1515"/>
      <c r="K20" s="1516"/>
      <c r="L20" s="1517" t="s">
        <v>116</v>
      </c>
      <c r="M20" s="1518" t="s">
        <v>1393</v>
      </c>
      <c r="N20" s="1519"/>
      <c r="O20" s="1646"/>
      <c r="P20" s="245" t="b">
        <f t="shared" si="3"/>
        <v>0</v>
      </c>
      <c r="R20" s="245" t="b">
        <f t="shared" si="1"/>
        <v>1</v>
      </c>
      <c r="AO20" s="238" t="str">
        <f t="shared" si="2"/>
        <v>SG70</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155</v>
      </c>
      <c r="C21" s="1512" t="s">
        <v>165</v>
      </c>
      <c r="D21" s="1512" t="s">
        <v>159</v>
      </c>
      <c r="E21" s="1513"/>
      <c r="F21" s="1514">
        <v>250</v>
      </c>
      <c r="G21" s="1515"/>
      <c r="H21" s="1516"/>
      <c r="I21" s="1514"/>
      <c r="J21" s="1515"/>
      <c r="K21" s="1516"/>
      <c r="L21" s="1517" t="s">
        <v>116</v>
      </c>
      <c r="M21" s="1518" t="s">
        <v>1393</v>
      </c>
      <c r="N21" s="1519"/>
      <c r="O21" s="1646"/>
      <c r="P21" s="245" t="b">
        <f t="shared" si="3"/>
        <v>0</v>
      </c>
      <c r="R21" s="245" t="b">
        <f t="shared" si="1"/>
        <v>1</v>
      </c>
      <c r="AO21" s="238" t="str">
        <f t="shared" si="2"/>
        <v>SG70</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1500</v>
      </c>
      <c r="G22" s="1515"/>
      <c r="H22" s="1516"/>
      <c r="I22" s="1514"/>
      <c r="J22" s="1515"/>
      <c r="K22" s="1516"/>
      <c r="L22" s="1517" t="s">
        <v>116</v>
      </c>
      <c r="M22" s="1518" t="s">
        <v>1393</v>
      </c>
      <c r="N22" s="1519"/>
      <c r="O22" s="1646"/>
      <c r="P22" s="245" t="b">
        <f t="shared" si="3"/>
        <v>0</v>
      </c>
      <c r="R22" s="245" t="b">
        <f t="shared" si="1"/>
        <v>1</v>
      </c>
      <c r="AO22" s="238" t="str">
        <f t="shared" si="2"/>
        <v>SG70</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7</v>
      </c>
      <c r="H23" s="1516">
        <v>9</v>
      </c>
      <c r="I23" s="1514"/>
      <c r="J23" s="1515"/>
      <c r="K23" s="1516"/>
      <c r="L23" s="1517" t="s">
        <v>703</v>
      </c>
      <c r="M23" s="1518" t="s">
        <v>1393</v>
      </c>
      <c r="N23" s="1519"/>
      <c r="O23" s="1646"/>
      <c r="P23" s="245" t="b">
        <f t="shared" si="3"/>
        <v>0</v>
      </c>
      <c r="R23" s="245" t="b">
        <f t="shared" si="1"/>
        <v>0</v>
      </c>
      <c r="AO23" s="238" t="str">
        <f t="shared" si="2"/>
        <v>SG70</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15</v>
      </c>
      <c r="H24" s="1516">
        <v>9</v>
      </c>
      <c r="I24" s="1514"/>
      <c r="J24" s="1515"/>
      <c r="K24" s="1516"/>
      <c r="L24" s="1517" t="s">
        <v>703</v>
      </c>
      <c r="M24" s="1518" t="s">
        <v>1393</v>
      </c>
      <c r="N24" s="1519"/>
      <c r="O24" s="1646"/>
      <c r="P24" s="245" t="b">
        <f t="shared" si="3"/>
        <v>0</v>
      </c>
      <c r="R24" s="245" t="b">
        <f t="shared" si="1"/>
        <v>0</v>
      </c>
      <c r="AO24" s="238" t="str">
        <f t="shared" si="2"/>
        <v>SG70</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23</v>
      </c>
      <c r="H25" s="1516">
        <v>9</v>
      </c>
      <c r="I25" s="1514"/>
      <c r="J25" s="1515"/>
      <c r="K25" s="1516"/>
      <c r="L25" s="1517" t="s">
        <v>703</v>
      </c>
      <c r="M25" s="1518" t="s">
        <v>1393</v>
      </c>
      <c r="N25" s="1519"/>
      <c r="O25" s="1646"/>
      <c r="P25" s="245" t="b">
        <f t="shared" si="3"/>
        <v>0</v>
      </c>
      <c r="R25" s="245" t="b">
        <f t="shared" si="1"/>
        <v>0</v>
      </c>
      <c r="AO25" s="238" t="str">
        <f t="shared" si="2"/>
        <v>SG70</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31</v>
      </c>
      <c r="H26" s="1516">
        <v>9</v>
      </c>
      <c r="I26" s="1514"/>
      <c r="J26" s="1515"/>
      <c r="K26" s="1516"/>
      <c r="L26" s="1517" t="s">
        <v>703</v>
      </c>
      <c r="M26" s="1518" t="s">
        <v>1393</v>
      </c>
      <c r="N26" s="1519"/>
      <c r="O26" s="1646"/>
      <c r="P26" s="245" t="b">
        <f t="shared" si="3"/>
        <v>0</v>
      </c>
      <c r="R26" s="245" t="b">
        <f t="shared" si="1"/>
        <v>0</v>
      </c>
      <c r="AO26" s="238" t="str">
        <f t="shared" si="2"/>
        <v>SG70</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39</v>
      </c>
      <c r="H27" s="1516">
        <v>9</v>
      </c>
      <c r="I27" s="1514"/>
      <c r="J27" s="1515"/>
      <c r="K27" s="1516"/>
      <c r="L27" s="1517" t="s">
        <v>703</v>
      </c>
      <c r="M27" s="1518" t="s">
        <v>1393</v>
      </c>
      <c r="N27" s="1519"/>
      <c r="O27" s="1646"/>
      <c r="P27" s="245" t="b">
        <f t="shared" si="3"/>
        <v>0</v>
      </c>
      <c r="R27" s="245" t="b">
        <f t="shared" si="1"/>
        <v>0</v>
      </c>
      <c r="AO27" s="238" t="str">
        <f t="shared" si="2"/>
        <v>SG70</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47</v>
      </c>
      <c r="H28" s="1516">
        <v>9</v>
      </c>
      <c r="I28" s="1514"/>
      <c r="J28" s="1515"/>
      <c r="K28" s="1516"/>
      <c r="L28" s="1517" t="s">
        <v>703</v>
      </c>
      <c r="M28" s="1518" t="s">
        <v>1393</v>
      </c>
      <c r="N28" s="1689"/>
      <c r="O28" s="1645"/>
      <c r="P28" s="245" t="b">
        <f t="shared" si="3"/>
        <v>0</v>
      </c>
      <c r="R28" s="245" t="b">
        <f t="shared" si="1"/>
        <v>0</v>
      </c>
      <c r="AO28" s="238" t="str">
        <f t="shared" si="2"/>
        <v>SG70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7</v>
      </c>
      <c r="H29" s="1516">
        <v>9</v>
      </c>
      <c r="I29" s="1514"/>
      <c r="J29" s="1515"/>
      <c r="K29" s="1516"/>
      <c r="L29" s="1517" t="s">
        <v>703</v>
      </c>
      <c r="M29" s="1518" t="s">
        <v>1393</v>
      </c>
      <c r="N29" s="1689"/>
      <c r="O29" s="1645"/>
      <c r="P29" s="245" t="b">
        <f t="shared" si="3"/>
        <v>0</v>
      </c>
      <c r="R29" s="245" t="b">
        <f t="shared" si="1"/>
        <v>0</v>
      </c>
      <c r="AO29" s="238" t="str">
        <f t="shared" si="2"/>
        <v>SG70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15</v>
      </c>
      <c r="H30" s="1516">
        <v>9</v>
      </c>
      <c r="I30" s="1514"/>
      <c r="J30" s="1515"/>
      <c r="K30" s="1516"/>
      <c r="L30" s="1517" t="s">
        <v>703</v>
      </c>
      <c r="M30" s="1518" t="s">
        <v>1393</v>
      </c>
      <c r="N30" s="1689" t="s">
        <v>116</v>
      </c>
      <c r="O30" s="1645"/>
      <c r="P30" s="245" t="b">
        <f t="shared" si="3"/>
        <v>0</v>
      </c>
      <c r="R30" s="245" t="b">
        <f t="shared" si="1"/>
        <v>0</v>
      </c>
      <c r="AO30" s="238" t="str">
        <f t="shared" si="2"/>
        <v>SG70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23</v>
      </c>
      <c r="H31" s="1516">
        <v>9</v>
      </c>
      <c r="I31" s="1514"/>
      <c r="J31" s="1515"/>
      <c r="K31" s="1516"/>
      <c r="L31" s="1517" t="s">
        <v>703</v>
      </c>
      <c r="M31" s="1517" t="s">
        <v>1393</v>
      </c>
      <c r="N31" s="1689" t="s">
        <v>116</v>
      </c>
      <c r="O31" s="1645"/>
      <c r="P31" s="245" t="b">
        <f t="shared" si="3"/>
        <v>0</v>
      </c>
      <c r="R31" s="245" t="b">
        <f t="shared" si="1"/>
        <v>0</v>
      </c>
      <c r="AO31" s="238" t="str">
        <f t="shared" si="2"/>
        <v>SG70</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31</v>
      </c>
      <c r="H32" s="1516">
        <v>9</v>
      </c>
      <c r="I32" s="1514"/>
      <c r="J32" s="1515"/>
      <c r="K32" s="1516"/>
      <c r="L32" s="1517" t="s">
        <v>703</v>
      </c>
      <c r="M32" s="1517" t="s">
        <v>1393</v>
      </c>
      <c r="N32" s="1689" t="s">
        <v>116</v>
      </c>
      <c r="O32" s="1645"/>
      <c r="P32" s="245" t="b">
        <f t="shared" si="3"/>
        <v>0</v>
      </c>
      <c r="R32" s="245" t="b">
        <f t="shared" si="1"/>
        <v>0</v>
      </c>
      <c r="AO32" s="238" t="str">
        <f t="shared" si="2"/>
        <v>SG70</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39</v>
      </c>
      <c r="H33" s="1516">
        <v>9</v>
      </c>
      <c r="I33" s="1514"/>
      <c r="J33" s="1515"/>
      <c r="K33" s="1516"/>
      <c r="L33" s="1517" t="s">
        <v>703</v>
      </c>
      <c r="M33" s="1517" t="s">
        <v>1393</v>
      </c>
      <c r="N33" s="1689" t="s">
        <v>116</v>
      </c>
      <c r="O33" s="1645"/>
      <c r="P33" s="245" t="b">
        <f t="shared" si="3"/>
        <v>0</v>
      </c>
      <c r="R33" s="245" t="b">
        <f t="shared" si="1"/>
        <v>0</v>
      </c>
      <c r="AO33" s="238" t="str">
        <f t="shared" si="2"/>
        <v>SG70</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47</v>
      </c>
      <c r="H34" s="1516">
        <v>9</v>
      </c>
      <c r="I34" s="1514"/>
      <c r="J34" s="1515"/>
      <c r="K34" s="1516"/>
      <c r="L34" s="1517" t="s">
        <v>703</v>
      </c>
      <c r="M34" s="1517" t="s">
        <v>1393</v>
      </c>
      <c r="N34" s="1689" t="s">
        <v>116</v>
      </c>
      <c r="O34" s="1645"/>
      <c r="P34" s="245" t="b">
        <f t="shared" si="3"/>
        <v>0</v>
      </c>
      <c r="R34" s="245" t="b">
        <f t="shared" si="1"/>
        <v>0</v>
      </c>
      <c r="AO34" s="238" t="str">
        <f t="shared" si="2"/>
        <v>SG70</v>
      </c>
      <c r="AP34" s="945" t="b">
        <v>0</v>
      </c>
      <c r="AQ34" s="1323"/>
      <c r="AR34" s="1324"/>
      <c r="AS34" s="1324"/>
      <c r="AT34" s="1324"/>
      <c r="AU34" s="1324"/>
      <c r="AV34" s="1324"/>
      <c r="AW34" s="1324"/>
      <c r="AX34" s="1324"/>
      <c r="AY34" s="1324"/>
      <c r="AZ34" s="1324"/>
      <c r="BA34" s="1533"/>
      <c r="BB34" s="1533"/>
      <c r="BC34" s="1534"/>
    </row>
    <row r="35" spans="1:55" ht="14.1" customHeight="1" x14ac:dyDescent="0.2">
      <c r="A35" s="1511" t="s">
        <v>2022</v>
      </c>
      <c r="B35" s="1512" t="s">
        <v>155</v>
      </c>
      <c r="C35" s="1512" t="s">
        <v>165</v>
      </c>
      <c r="D35" s="1512" t="s">
        <v>145</v>
      </c>
      <c r="E35" s="1513"/>
      <c r="F35" s="1514">
        <v>250</v>
      </c>
      <c r="G35" s="1515"/>
      <c r="H35" s="1516"/>
      <c r="I35" s="1514"/>
      <c r="J35" s="1515"/>
      <c r="K35" s="1516"/>
      <c r="L35" s="1517" t="s">
        <v>116</v>
      </c>
      <c r="M35" s="1517" t="s">
        <v>1393</v>
      </c>
      <c r="N35" s="1689" t="s">
        <v>116</v>
      </c>
      <c r="O35" s="1645"/>
      <c r="P35" s="245" t="b">
        <f t="shared" si="3"/>
        <v>0</v>
      </c>
      <c r="R35" s="245" t="b">
        <f t="shared" si="1"/>
        <v>1</v>
      </c>
      <c r="AO35" s="238" t="str">
        <f t="shared" si="2"/>
        <v>SG71</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155</v>
      </c>
      <c r="C36" s="1512" t="s">
        <v>165</v>
      </c>
      <c r="D36" s="1512" t="s">
        <v>159</v>
      </c>
      <c r="E36" s="1513"/>
      <c r="F36" s="1514">
        <v>250</v>
      </c>
      <c r="G36" s="1515"/>
      <c r="H36" s="1516"/>
      <c r="I36" s="1514"/>
      <c r="J36" s="1515"/>
      <c r="K36" s="1516"/>
      <c r="L36" s="1517" t="s">
        <v>116</v>
      </c>
      <c r="M36" s="1517" t="s">
        <v>1393</v>
      </c>
      <c r="N36" s="1689" t="s">
        <v>116</v>
      </c>
      <c r="O36" s="1645"/>
      <c r="P36" s="245" t="b">
        <f t="shared" si="3"/>
        <v>0</v>
      </c>
      <c r="R36" s="245" t="b">
        <f t="shared" si="1"/>
        <v>1</v>
      </c>
      <c r="AO36" s="238" t="str">
        <f t="shared" si="2"/>
        <v>SG71</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154</v>
      </c>
      <c r="C37" s="1512" t="s">
        <v>165</v>
      </c>
      <c r="D37" s="1512" t="s">
        <v>145</v>
      </c>
      <c r="E37" s="1513"/>
      <c r="F37" s="1514">
        <v>1500</v>
      </c>
      <c r="G37" s="1515"/>
      <c r="H37" s="1516"/>
      <c r="I37" s="1514"/>
      <c r="J37" s="1515"/>
      <c r="K37" s="1516"/>
      <c r="L37" s="1517" t="s">
        <v>116</v>
      </c>
      <c r="M37" s="1517" t="s">
        <v>1393</v>
      </c>
      <c r="N37" s="1689" t="s">
        <v>116</v>
      </c>
      <c r="O37" s="1645"/>
      <c r="P37" s="245" t="b">
        <f t="shared" si="3"/>
        <v>0</v>
      </c>
      <c r="R37" s="245" t="b">
        <f t="shared" si="1"/>
        <v>1</v>
      </c>
      <c r="AO37" s="238" t="str">
        <f t="shared" si="2"/>
        <v>SG71</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154</v>
      </c>
      <c r="C38" s="1512" t="s">
        <v>165</v>
      </c>
      <c r="D38" s="1512" t="s">
        <v>145</v>
      </c>
      <c r="E38" s="1513"/>
      <c r="F38" s="1514">
        <v>2220</v>
      </c>
      <c r="G38" s="1515"/>
      <c r="H38" s="1516"/>
      <c r="I38" s="1514"/>
      <c r="J38" s="1515"/>
      <c r="K38" s="1516"/>
      <c r="L38" s="1517" t="s">
        <v>116</v>
      </c>
      <c r="M38" s="1517" t="s">
        <v>1393</v>
      </c>
      <c r="N38" s="1689" t="s">
        <v>116</v>
      </c>
      <c r="O38" s="1645"/>
      <c r="P38" s="245" t="b">
        <f t="shared" si="3"/>
        <v>0</v>
      </c>
      <c r="R38" s="245" t="b">
        <f t="shared" si="1"/>
        <v>1</v>
      </c>
      <c r="AO38" s="238" t="str">
        <f t="shared" si="2"/>
        <v>SG71</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153</v>
      </c>
      <c r="C39" s="1512" t="s">
        <v>165</v>
      </c>
      <c r="D39" s="1512" t="s">
        <v>145</v>
      </c>
      <c r="E39" s="1513"/>
      <c r="F39" s="1514">
        <v>300</v>
      </c>
      <c r="G39" s="1515">
        <v>39</v>
      </c>
      <c r="H39" s="1516">
        <v>9</v>
      </c>
      <c r="I39" s="1514"/>
      <c r="J39" s="1515"/>
      <c r="K39" s="1516"/>
      <c r="L39" s="1517" t="s">
        <v>703</v>
      </c>
      <c r="M39" s="1517" t="s">
        <v>1393</v>
      </c>
      <c r="N39" s="1689" t="s">
        <v>116</v>
      </c>
      <c r="O39" s="1645"/>
      <c r="P39" s="245" t="b">
        <f t="shared" si="3"/>
        <v>0</v>
      </c>
      <c r="R39" s="245" t="b">
        <f t="shared" si="1"/>
        <v>0</v>
      </c>
      <c r="AO39" s="238" t="str">
        <f t="shared" si="2"/>
        <v>SG71</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153</v>
      </c>
      <c r="C40" s="1512" t="s">
        <v>165</v>
      </c>
      <c r="D40" s="1512" t="s">
        <v>145</v>
      </c>
      <c r="E40" s="1513"/>
      <c r="F40" s="1514">
        <v>300</v>
      </c>
      <c r="G40" s="1515">
        <v>47</v>
      </c>
      <c r="H40" s="1516">
        <v>9</v>
      </c>
      <c r="I40" s="1514"/>
      <c r="J40" s="1515"/>
      <c r="K40" s="1516"/>
      <c r="L40" s="1517" t="s">
        <v>703</v>
      </c>
      <c r="M40" s="1517" t="s">
        <v>1393</v>
      </c>
      <c r="N40" s="1689" t="s">
        <v>116</v>
      </c>
      <c r="O40" s="1645"/>
      <c r="P40" s="245" t="b">
        <f t="shared" si="3"/>
        <v>0</v>
      </c>
      <c r="R40" s="245" t="b">
        <f t="shared" si="1"/>
        <v>0</v>
      </c>
      <c r="AO40" s="238" t="str">
        <f t="shared" si="2"/>
        <v>SG71</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7</v>
      </c>
      <c r="H41" s="1516">
        <v>9</v>
      </c>
      <c r="I41" s="1514"/>
      <c r="J41" s="1515"/>
      <c r="K41" s="1516"/>
      <c r="L41" s="1517" t="s">
        <v>703</v>
      </c>
      <c r="M41" s="1517" t="s">
        <v>1393</v>
      </c>
      <c r="N41" s="1689" t="s">
        <v>116</v>
      </c>
      <c r="O41" s="1645"/>
      <c r="P41" s="245" t="b">
        <f t="shared" si="3"/>
        <v>0</v>
      </c>
      <c r="R41" s="245" t="b">
        <f t="shared" si="1"/>
        <v>0</v>
      </c>
      <c r="AO41" s="238" t="str">
        <f t="shared" si="2"/>
        <v>SG71</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15</v>
      </c>
      <c r="H42" s="1516">
        <v>9</v>
      </c>
      <c r="I42" s="1514"/>
      <c r="J42" s="1515"/>
      <c r="K42" s="1516"/>
      <c r="L42" s="1517" t="s">
        <v>703</v>
      </c>
      <c r="M42" s="1517" t="s">
        <v>1393</v>
      </c>
      <c r="N42" s="1689" t="s">
        <v>116</v>
      </c>
      <c r="O42" s="1645"/>
      <c r="P42" s="245" t="b">
        <f t="shared" si="3"/>
        <v>0</v>
      </c>
      <c r="R42" s="245" t="b">
        <f t="shared" si="1"/>
        <v>0</v>
      </c>
      <c r="AO42" s="238" t="str">
        <f t="shared" si="2"/>
        <v>SG71</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23</v>
      </c>
      <c r="H43" s="1516">
        <v>9</v>
      </c>
      <c r="I43" s="1514"/>
      <c r="J43" s="1515"/>
      <c r="K43" s="1516"/>
      <c r="L43" s="1517" t="s">
        <v>703</v>
      </c>
      <c r="M43" s="1517" t="s">
        <v>1393</v>
      </c>
      <c r="N43" s="1689" t="s">
        <v>116</v>
      </c>
      <c r="O43" s="1645"/>
      <c r="P43" s="245" t="b">
        <f t="shared" si="3"/>
        <v>0</v>
      </c>
      <c r="R43" s="245" t="b">
        <f t="shared" si="1"/>
        <v>0</v>
      </c>
      <c r="AO43" s="238" t="str">
        <f t="shared" si="2"/>
        <v>SG71</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31</v>
      </c>
      <c r="H44" s="1516">
        <v>9</v>
      </c>
      <c r="I44" s="1514"/>
      <c r="J44" s="1515"/>
      <c r="K44" s="1516"/>
      <c r="L44" s="1517" t="s">
        <v>703</v>
      </c>
      <c r="M44" s="1517" t="s">
        <v>1393</v>
      </c>
      <c r="N44" s="1689" t="s">
        <v>116</v>
      </c>
      <c r="O44" s="1645"/>
      <c r="P44" s="245" t="b">
        <f t="shared" si="3"/>
        <v>0</v>
      </c>
      <c r="R44" s="245" t="b">
        <f t="shared" si="1"/>
        <v>0</v>
      </c>
      <c r="AO44" s="238" t="str">
        <f t="shared" si="2"/>
        <v>SG71</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39</v>
      </c>
      <c r="H45" s="1516">
        <v>9</v>
      </c>
      <c r="I45" s="1514"/>
      <c r="J45" s="1515"/>
      <c r="K45" s="1516"/>
      <c r="L45" s="1517" t="s">
        <v>703</v>
      </c>
      <c r="M45" s="1517" t="s">
        <v>1393</v>
      </c>
      <c r="N45" s="1689" t="s">
        <v>116</v>
      </c>
      <c r="O45" s="1645"/>
      <c r="P45" s="245" t="b">
        <f t="shared" si="3"/>
        <v>0</v>
      </c>
      <c r="R45" s="245" t="b">
        <f t="shared" si="1"/>
        <v>0</v>
      </c>
      <c r="AO45" s="238" t="str">
        <f t="shared" si="2"/>
        <v>SG71</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7000</v>
      </c>
      <c r="G46" s="1515">
        <v>47</v>
      </c>
      <c r="H46" s="1516">
        <v>9</v>
      </c>
      <c r="I46" s="1514"/>
      <c r="J46" s="1515"/>
      <c r="K46" s="1516"/>
      <c r="L46" s="1517" t="s">
        <v>703</v>
      </c>
      <c r="M46" s="1517" t="s">
        <v>1393</v>
      </c>
      <c r="N46" s="1689" t="s">
        <v>116</v>
      </c>
      <c r="O46" s="1645"/>
      <c r="P46" s="245" t="b">
        <f t="shared" si="3"/>
        <v>0</v>
      </c>
      <c r="R46" s="245" t="b">
        <f t="shared" si="1"/>
        <v>0</v>
      </c>
      <c r="AO46" s="238" t="str">
        <f t="shared" si="2"/>
        <v>SG71</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7</v>
      </c>
      <c r="H47" s="1516">
        <v>9</v>
      </c>
      <c r="I47" s="1514"/>
      <c r="J47" s="1515"/>
      <c r="K47" s="1516"/>
      <c r="L47" s="1517" t="s">
        <v>703</v>
      </c>
      <c r="M47" s="1517" t="s">
        <v>1393</v>
      </c>
      <c r="N47" s="1689" t="s">
        <v>116</v>
      </c>
      <c r="O47" s="1645"/>
      <c r="P47" s="245" t="b">
        <f t="shared" si="3"/>
        <v>0</v>
      </c>
      <c r="R47" s="245" t="b">
        <f t="shared" si="1"/>
        <v>0</v>
      </c>
      <c r="AO47" s="238" t="str">
        <f t="shared" si="2"/>
        <v>SG71</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15</v>
      </c>
      <c r="H48" s="1516">
        <v>9</v>
      </c>
      <c r="I48" s="1514"/>
      <c r="J48" s="1515"/>
      <c r="K48" s="1516"/>
      <c r="L48" s="1517" t="s">
        <v>703</v>
      </c>
      <c r="M48" s="1517" t="s">
        <v>1393</v>
      </c>
      <c r="N48" s="1689" t="s">
        <v>116</v>
      </c>
      <c r="O48" s="1645"/>
      <c r="P48" s="245" t="b">
        <f t="shared" si="3"/>
        <v>0</v>
      </c>
      <c r="R48" s="245" t="b">
        <f t="shared" si="1"/>
        <v>0</v>
      </c>
      <c r="AO48" s="238" t="str">
        <f t="shared" si="2"/>
        <v>SG71</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23</v>
      </c>
      <c r="H49" s="1516">
        <v>9</v>
      </c>
      <c r="I49" s="1514"/>
      <c r="J49" s="1515"/>
      <c r="K49" s="1516"/>
      <c r="L49" s="1517" t="s">
        <v>703</v>
      </c>
      <c r="M49" s="1517" t="s">
        <v>1393</v>
      </c>
      <c r="N49" s="1689" t="s">
        <v>116</v>
      </c>
      <c r="O49" s="1645"/>
      <c r="P49" s="245" t="b">
        <f t="shared" si="3"/>
        <v>0</v>
      </c>
      <c r="R49" s="245" t="b">
        <f t="shared" si="1"/>
        <v>0</v>
      </c>
      <c r="AO49" s="238" t="str">
        <f t="shared" si="2"/>
        <v>SG71</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31</v>
      </c>
      <c r="H50" s="1516">
        <v>9</v>
      </c>
      <c r="I50" s="1514"/>
      <c r="J50" s="1515"/>
      <c r="K50" s="1516"/>
      <c r="L50" s="1517" t="s">
        <v>703</v>
      </c>
      <c r="M50" s="1517" t="s">
        <v>1393</v>
      </c>
      <c r="N50" s="1689" t="s">
        <v>116</v>
      </c>
      <c r="O50" s="1645"/>
      <c r="P50" s="245" t="b">
        <f t="shared" si="3"/>
        <v>0</v>
      </c>
      <c r="R50" s="245" t="b">
        <f t="shared" si="1"/>
        <v>0</v>
      </c>
      <c r="AO50" s="238" t="str">
        <f t="shared" si="2"/>
        <v>SG71</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39</v>
      </c>
      <c r="H51" s="1516">
        <v>9</v>
      </c>
      <c r="I51" s="1514"/>
      <c r="J51" s="1515"/>
      <c r="K51" s="1516"/>
      <c r="L51" s="1517" t="s">
        <v>703</v>
      </c>
      <c r="M51" s="1517" t="s">
        <v>1393</v>
      </c>
      <c r="N51" s="1689" t="s">
        <v>116</v>
      </c>
      <c r="O51" s="1645"/>
      <c r="P51" s="245" t="b">
        <f t="shared" si="3"/>
        <v>0</v>
      </c>
      <c r="R51" s="245" t="b">
        <f t="shared" si="1"/>
        <v>0</v>
      </c>
      <c r="AO51" s="238" t="str">
        <f t="shared" si="2"/>
        <v>SG71</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532</v>
      </c>
      <c r="G52" s="1515">
        <v>47</v>
      </c>
      <c r="H52" s="1516">
        <v>9</v>
      </c>
      <c r="I52" s="1514"/>
      <c r="J52" s="1515"/>
      <c r="K52" s="1516"/>
      <c r="L52" s="1517" t="s">
        <v>703</v>
      </c>
      <c r="M52" s="1517" t="s">
        <v>1393</v>
      </c>
      <c r="N52" s="1689" t="s">
        <v>116</v>
      </c>
      <c r="O52" s="1645"/>
      <c r="P52" s="245" t="b">
        <f t="shared" si="3"/>
        <v>0</v>
      </c>
      <c r="R52" s="245" t="b">
        <f t="shared" si="1"/>
        <v>0</v>
      </c>
      <c r="AO52" s="238" t="str">
        <f t="shared" si="2"/>
        <v>SG71</v>
      </c>
      <c r="AP52" s="945" t="b">
        <v>0</v>
      </c>
      <c r="AQ52" s="1323"/>
      <c r="AR52" s="1324"/>
      <c r="AS52" s="1324"/>
      <c r="AT52" s="1324"/>
      <c r="AU52" s="1324"/>
      <c r="AV52" s="1324"/>
      <c r="AW52" s="1324"/>
      <c r="AX52" s="1324"/>
      <c r="AY52" s="1324"/>
      <c r="AZ52" s="1324"/>
      <c r="BA52" s="1533"/>
      <c r="BB52" s="1533"/>
      <c r="BC52" s="1534"/>
    </row>
    <row r="53" spans="1:55" ht="14.1" customHeight="1" x14ac:dyDescent="0.2">
      <c r="A53" s="1511" t="s">
        <v>2023</v>
      </c>
      <c r="B53" s="1512" t="s">
        <v>155</v>
      </c>
      <c r="C53" s="1512" t="s">
        <v>165</v>
      </c>
      <c r="D53" s="1512" t="s">
        <v>145</v>
      </c>
      <c r="E53" s="1513"/>
      <c r="F53" s="1514">
        <v>250</v>
      </c>
      <c r="G53" s="1515"/>
      <c r="H53" s="1516"/>
      <c r="I53" s="1514"/>
      <c r="J53" s="1515"/>
      <c r="K53" s="1516"/>
      <c r="L53" s="1517" t="s">
        <v>116</v>
      </c>
      <c r="M53" s="1517" t="s">
        <v>1393</v>
      </c>
      <c r="N53" s="1689" t="s">
        <v>116</v>
      </c>
      <c r="O53" s="1645"/>
      <c r="P53" s="245" t="b">
        <f t="shared" si="3"/>
        <v>0</v>
      </c>
      <c r="R53" s="245" t="b">
        <f t="shared" si="1"/>
        <v>1</v>
      </c>
      <c r="AO53" s="238" t="str">
        <f t="shared" si="2"/>
        <v>SG72</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155</v>
      </c>
      <c r="C54" s="1512" t="s">
        <v>165</v>
      </c>
      <c r="D54" s="1512" t="s">
        <v>159</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SG72</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154</v>
      </c>
      <c r="C55" s="1521" t="s">
        <v>165</v>
      </c>
      <c r="D55" s="1521" t="s">
        <v>145</v>
      </c>
      <c r="E55" s="1522"/>
      <c r="F55" s="1523">
        <v>1500</v>
      </c>
      <c r="G55" s="1524"/>
      <c r="H55" s="1525"/>
      <c r="I55" s="1523"/>
      <c r="J55" s="1524"/>
      <c r="K55" s="1525"/>
      <c r="L55" s="1526" t="s">
        <v>116</v>
      </c>
      <c r="M55" s="1526" t="s">
        <v>1393</v>
      </c>
      <c r="N55" s="1690"/>
      <c r="O55" s="1645"/>
      <c r="P55" s="245" t="b">
        <f t="shared" si="3"/>
        <v>0</v>
      </c>
      <c r="R55" s="245" t="b">
        <f t="shared" si="1"/>
        <v>1</v>
      </c>
      <c r="AO55" s="238" t="str">
        <f t="shared" si="2"/>
        <v>SG72</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9" priority="4" stopIfTrue="1">
      <formula>AND($B14="NU",F14&lt;0)</formula>
    </cfRule>
  </conditionalFormatting>
  <conditionalFormatting sqref="B14:B55">
    <cfRule type="expression" dxfId="78" priority="5" stopIfTrue="1">
      <formula>OR(AND($B14="NU",F14&lt;0),AND($B14="NU",I14&lt;0))</formula>
    </cfRule>
  </conditionalFormatting>
  <conditionalFormatting sqref="G14:H55 J14:L55">
    <cfRule type="expression" dxfId="77" priority="6" stopIfTrue="1">
      <formula>$R14</formula>
    </cfRule>
  </conditionalFormatting>
  <conditionalFormatting sqref="I2:K4">
    <cfRule type="cellIs" dxfId="76" priority="7" stopIfTrue="1" operator="equal">
      <formula>""</formula>
    </cfRule>
  </conditionalFormatting>
  <conditionalFormatting sqref="I14:I55">
    <cfRule type="expression" dxfId="75" priority="8" stopIfTrue="1">
      <formula>OR($R14,$B14="CZ",AND($B14="NU",I14&lt;0))</formula>
    </cfRule>
  </conditionalFormatting>
  <conditionalFormatting sqref="A14:A55">
    <cfRule type="expression" dxfId="74" priority="3">
      <formula>NOT($P14)</formula>
    </cfRule>
  </conditionalFormatting>
  <conditionalFormatting sqref="B14:D55">
    <cfRule type="expression" dxfId="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2" priority="9">
      <formula>AND(NOT($P14),$T$1)</formula>
    </cfRule>
    <cfRule type="expression" dxfId="71" priority="10">
      <formula>AND($AP14,$S$1="M")</formula>
    </cfRule>
  </conditionalFormatting>
  <conditionalFormatting sqref="L14:L55">
    <cfRule type="expression" dxfId="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1640EA8-210B-4D6F-8E37-F97ECE69DB79}">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95A19F5D-688A-473F-9302-AF3664EB2AE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3014633-0549-4A50-9195-A39D867E7A28}">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28080EC-6CFA-412D-852E-50452BE059E0}">
      <formula1>IF($CA$14,$CA$16:$CA$21,$CB$16:$CB$19)</formula1>
    </dataValidation>
    <dataValidation type="list" allowBlank="1" showErrorMessage="1" errorTitle="Invalid Type" error="You MUST select a Type from the dropdown list provided._x000a__x000a_Also, make sure your Cap Lock is turned on." sqref="B14:B55" xr:uid="{74625312-27C8-499A-A3F6-023772C96AE0}">
      <formula1>$BF$15:$BU$15</formula1>
    </dataValidation>
    <dataValidation allowBlank="1" showInputMessage="1" errorTitle="Invalid Load Case" error="You MUST use a Load Case from the list provided." sqref="M14:M55" xr:uid="{4D5AC25E-F69B-42B1-9320-B14C8BF14D32}"/>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80AC6-51E6-4FDA-99F7-315D3B8031F9}">
  <sheetPr codeName="Sheet67">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720</v>
      </c>
      <c r="G14" s="1507">
        <v>8</v>
      </c>
      <c r="H14" s="1508">
        <v>0</v>
      </c>
      <c r="I14" s="1506">
        <v>2220</v>
      </c>
      <c r="J14" s="1507">
        <v>16</v>
      </c>
      <c r="K14" s="1508">
        <v>0</v>
      </c>
      <c r="L14" s="1509" t="s">
        <v>700</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153</v>
      </c>
      <c r="C15" s="1512" t="s">
        <v>165</v>
      </c>
      <c r="D15" s="1512" t="s">
        <v>145</v>
      </c>
      <c r="E15" s="1513"/>
      <c r="F15" s="1514">
        <v>300</v>
      </c>
      <c r="G15" s="1515">
        <v>7</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153</v>
      </c>
      <c r="C16" s="1512" t="s">
        <v>165</v>
      </c>
      <c r="D16" s="1512" t="s">
        <v>145</v>
      </c>
      <c r="E16" s="1513"/>
      <c r="F16" s="1514">
        <v>300</v>
      </c>
      <c r="G16" s="1515">
        <v>15</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7</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15</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23</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31</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39</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47</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7</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15</v>
      </c>
      <c r="H24" s="1516">
        <v>9</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23</v>
      </c>
      <c r="H25" s="1516">
        <v>9</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31</v>
      </c>
      <c r="H26" s="1516">
        <v>9</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39</v>
      </c>
      <c r="H27" s="1516">
        <v>9</v>
      </c>
      <c r="I27" s="1514"/>
      <c r="J27" s="1515"/>
      <c r="K27" s="1516"/>
      <c r="L27" s="1517" t="s">
        <v>703</v>
      </c>
      <c r="M27" s="1518" t="s">
        <v>1393</v>
      </c>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47</v>
      </c>
      <c r="H28" s="1516">
        <v>9</v>
      </c>
      <c r="I28" s="1514"/>
      <c r="J28" s="1515"/>
      <c r="K28" s="1516"/>
      <c r="L28" s="1517" t="s">
        <v>703</v>
      </c>
      <c r="M28" s="1518" t="s">
        <v>1393</v>
      </c>
      <c r="N28" s="1689"/>
      <c r="O28" s="1645"/>
      <c r="P28" s="245" t="b">
        <f t="shared" si="3"/>
        <v>0</v>
      </c>
      <c r="R28" s="245" t="b">
        <f t="shared" si="1"/>
        <v>0</v>
      </c>
      <c r="AO28" s="238" t="str">
        <f t="shared" si="2"/>
        <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t="s">
        <v>2024</v>
      </c>
      <c r="B29" s="1512" t="s">
        <v>155</v>
      </c>
      <c r="C29" s="1512" t="s">
        <v>165</v>
      </c>
      <c r="D29" s="1512" t="s">
        <v>145</v>
      </c>
      <c r="E29" s="1513"/>
      <c r="F29" s="1514">
        <v>250</v>
      </c>
      <c r="G29" s="1515"/>
      <c r="H29" s="1516"/>
      <c r="I29" s="1514"/>
      <c r="J29" s="1515"/>
      <c r="K29" s="1516"/>
      <c r="L29" s="1517" t="s">
        <v>116</v>
      </c>
      <c r="M29" s="1518" t="s">
        <v>1393</v>
      </c>
      <c r="N29" s="1689"/>
      <c r="O29" s="1645"/>
      <c r="P29" s="245" t="b">
        <f t="shared" si="3"/>
        <v>0</v>
      </c>
      <c r="R29" s="245" t="b">
        <f t="shared" si="1"/>
        <v>1</v>
      </c>
      <c r="AO29" s="238" t="str">
        <f t="shared" si="2"/>
        <v>SG73</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155</v>
      </c>
      <c r="C30" s="1512" t="s">
        <v>165</v>
      </c>
      <c r="D30" s="1512" t="s">
        <v>159</v>
      </c>
      <c r="E30" s="1513"/>
      <c r="F30" s="1514">
        <v>250</v>
      </c>
      <c r="G30" s="1515"/>
      <c r="H30" s="1516"/>
      <c r="I30" s="1514"/>
      <c r="J30" s="1515"/>
      <c r="K30" s="1516"/>
      <c r="L30" s="1517" t="s">
        <v>116</v>
      </c>
      <c r="M30" s="1518" t="s">
        <v>1393</v>
      </c>
      <c r="N30" s="1689" t="s">
        <v>116</v>
      </c>
      <c r="O30" s="1645"/>
      <c r="P30" s="245" t="b">
        <f t="shared" si="3"/>
        <v>0</v>
      </c>
      <c r="R30" s="245" t="b">
        <f t="shared" si="1"/>
        <v>1</v>
      </c>
      <c r="AO30" s="238" t="str">
        <f t="shared" si="2"/>
        <v>SG73</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154</v>
      </c>
      <c r="C31" s="1512" t="s">
        <v>165</v>
      </c>
      <c r="D31" s="1512" t="s">
        <v>145</v>
      </c>
      <c r="E31" s="1513"/>
      <c r="F31" s="1514">
        <v>1500</v>
      </c>
      <c r="G31" s="1515"/>
      <c r="H31" s="1516"/>
      <c r="I31" s="1514"/>
      <c r="J31" s="1515"/>
      <c r="K31" s="1516"/>
      <c r="L31" s="1517" t="s">
        <v>116</v>
      </c>
      <c r="M31" s="1517" t="s">
        <v>1393</v>
      </c>
      <c r="N31" s="1689" t="s">
        <v>116</v>
      </c>
      <c r="O31" s="1645"/>
      <c r="P31" s="245" t="b">
        <f t="shared" si="3"/>
        <v>0</v>
      </c>
      <c r="R31" s="245" t="b">
        <f t="shared" si="1"/>
        <v>1</v>
      </c>
      <c r="AO31" s="238" t="str">
        <f t="shared" si="2"/>
        <v>SG73</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7</v>
      </c>
      <c r="H32" s="1516">
        <v>9</v>
      </c>
      <c r="I32" s="1514"/>
      <c r="J32" s="1515"/>
      <c r="K32" s="1516"/>
      <c r="L32" s="1517" t="s">
        <v>703</v>
      </c>
      <c r="M32" s="1517" t="s">
        <v>1393</v>
      </c>
      <c r="N32" s="1689" t="s">
        <v>116</v>
      </c>
      <c r="O32" s="1645"/>
      <c r="P32" s="245" t="b">
        <f t="shared" si="3"/>
        <v>0</v>
      </c>
      <c r="R32" s="245" t="b">
        <f t="shared" si="1"/>
        <v>0</v>
      </c>
      <c r="AO32" s="238" t="str">
        <f t="shared" si="2"/>
        <v>SG73</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15</v>
      </c>
      <c r="H33" s="1516">
        <v>9</v>
      </c>
      <c r="I33" s="1514"/>
      <c r="J33" s="1515"/>
      <c r="K33" s="1516"/>
      <c r="L33" s="1517" t="s">
        <v>703</v>
      </c>
      <c r="M33" s="1517" t="s">
        <v>1393</v>
      </c>
      <c r="N33" s="1689" t="s">
        <v>116</v>
      </c>
      <c r="O33" s="1645"/>
      <c r="P33" s="245" t="b">
        <f t="shared" si="3"/>
        <v>0</v>
      </c>
      <c r="R33" s="245" t="b">
        <f t="shared" si="1"/>
        <v>0</v>
      </c>
      <c r="AO33" s="238" t="str">
        <f t="shared" si="2"/>
        <v>SG73</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23</v>
      </c>
      <c r="H34" s="1516">
        <v>9</v>
      </c>
      <c r="I34" s="1514"/>
      <c r="J34" s="1515"/>
      <c r="K34" s="1516"/>
      <c r="L34" s="1517" t="s">
        <v>703</v>
      </c>
      <c r="M34" s="1517" t="s">
        <v>1393</v>
      </c>
      <c r="N34" s="1689" t="s">
        <v>116</v>
      </c>
      <c r="O34" s="1645"/>
      <c r="P34" s="245" t="b">
        <f t="shared" si="3"/>
        <v>0</v>
      </c>
      <c r="R34" s="245" t="b">
        <f t="shared" si="1"/>
        <v>0</v>
      </c>
      <c r="AO34" s="238" t="str">
        <f t="shared" si="2"/>
        <v>SG73</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31</v>
      </c>
      <c r="H35" s="1516">
        <v>9</v>
      </c>
      <c r="I35" s="1514"/>
      <c r="J35" s="1515"/>
      <c r="K35" s="1516"/>
      <c r="L35" s="1517" t="s">
        <v>703</v>
      </c>
      <c r="M35" s="1517" t="s">
        <v>1393</v>
      </c>
      <c r="N35" s="1689" t="s">
        <v>116</v>
      </c>
      <c r="O35" s="1645"/>
      <c r="P35" s="245" t="b">
        <f t="shared" si="3"/>
        <v>0</v>
      </c>
      <c r="R35" s="245" t="b">
        <f t="shared" si="1"/>
        <v>0</v>
      </c>
      <c r="AO35" s="238" t="str">
        <f t="shared" si="2"/>
        <v>SG73</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39</v>
      </c>
      <c r="H36" s="1516">
        <v>9</v>
      </c>
      <c r="I36" s="1514"/>
      <c r="J36" s="1515"/>
      <c r="K36" s="1516"/>
      <c r="L36" s="1517" t="s">
        <v>703</v>
      </c>
      <c r="M36" s="1517" t="s">
        <v>1393</v>
      </c>
      <c r="N36" s="1689" t="s">
        <v>116</v>
      </c>
      <c r="O36" s="1645"/>
      <c r="P36" s="245" t="b">
        <f t="shared" si="3"/>
        <v>0</v>
      </c>
      <c r="R36" s="245" t="b">
        <f t="shared" si="1"/>
        <v>0</v>
      </c>
      <c r="AO36" s="238" t="str">
        <f t="shared" si="2"/>
        <v>SG73</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47</v>
      </c>
      <c r="H37" s="1516">
        <v>9</v>
      </c>
      <c r="I37" s="1514"/>
      <c r="J37" s="1515"/>
      <c r="K37" s="1516"/>
      <c r="L37" s="1517" t="s">
        <v>703</v>
      </c>
      <c r="M37" s="1517" t="s">
        <v>1393</v>
      </c>
      <c r="N37" s="1689" t="s">
        <v>116</v>
      </c>
      <c r="O37" s="1645"/>
      <c r="P37" s="245" t="b">
        <f t="shared" si="3"/>
        <v>0</v>
      </c>
      <c r="R37" s="245" t="b">
        <f t="shared" si="1"/>
        <v>0</v>
      </c>
      <c r="AO37" s="238" t="str">
        <f t="shared" si="2"/>
        <v>SG73</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7</v>
      </c>
      <c r="H38" s="1516">
        <v>9</v>
      </c>
      <c r="I38" s="1514"/>
      <c r="J38" s="1515"/>
      <c r="K38" s="1516"/>
      <c r="L38" s="1517" t="s">
        <v>703</v>
      </c>
      <c r="M38" s="1517" t="s">
        <v>1393</v>
      </c>
      <c r="N38" s="1689" t="s">
        <v>116</v>
      </c>
      <c r="O38" s="1645"/>
      <c r="P38" s="245" t="b">
        <f t="shared" si="3"/>
        <v>0</v>
      </c>
      <c r="R38" s="245" t="b">
        <f t="shared" si="1"/>
        <v>0</v>
      </c>
      <c r="AO38" s="238" t="str">
        <f t="shared" si="2"/>
        <v>SG73</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15</v>
      </c>
      <c r="H39" s="1516">
        <v>9</v>
      </c>
      <c r="I39" s="1514"/>
      <c r="J39" s="1515"/>
      <c r="K39" s="1516"/>
      <c r="L39" s="1517" t="s">
        <v>703</v>
      </c>
      <c r="M39" s="1517" t="s">
        <v>1393</v>
      </c>
      <c r="N39" s="1689" t="s">
        <v>116</v>
      </c>
      <c r="O39" s="1645"/>
      <c r="P39" s="245" t="b">
        <f t="shared" si="3"/>
        <v>0</v>
      </c>
      <c r="R39" s="245" t="b">
        <f t="shared" si="1"/>
        <v>0</v>
      </c>
      <c r="AO39" s="238" t="str">
        <f t="shared" si="2"/>
        <v>SG73</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23</v>
      </c>
      <c r="H40" s="1516">
        <v>9</v>
      </c>
      <c r="I40" s="1514"/>
      <c r="J40" s="1515"/>
      <c r="K40" s="1516"/>
      <c r="L40" s="1517" t="s">
        <v>703</v>
      </c>
      <c r="M40" s="1517" t="s">
        <v>1393</v>
      </c>
      <c r="N40" s="1689" t="s">
        <v>116</v>
      </c>
      <c r="O40" s="1645"/>
      <c r="P40" s="245" t="b">
        <f t="shared" si="3"/>
        <v>0</v>
      </c>
      <c r="R40" s="245" t="b">
        <f t="shared" si="1"/>
        <v>0</v>
      </c>
      <c r="AO40" s="238" t="str">
        <f t="shared" si="2"/>
        <v>SG73</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31</v>
      </c>
      <c r="H41" s="1516">
        <v>9</v>
      </c>
      <c r="I41" s="1514"/>
      <c r="J41" s="1515"/>
      <c r="K41" s="1516"/>
      <c r="L41" s="1517" t="s">
        <v>703</v>
      </c>
      <c r="M41" s="1517" t="s">
        <v>1393</v>
      </c>
      <c r="N41" s="1689" t="s">
        <v>116</v>
      </c>
      <c r="O41" s="1645"/>
      <c r="P41" s="245" t="b">
        <f t="shared" si="3"/>
        <v>0</v>
      </c>
      <c r="R41" s="245" t="b">
        <f t="shared" si="1"/>
        <v>0</v>
      </c>
      <c r="AO41" s="238" t="str">
        <f t="shared" si="2"/>
        <v>SG73</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39</v>
      </c>
      <c r="H42" s="1516">
        <v>9</v>
      </c>
      <c r="I42" s="1514"/>
      <c r="J42" s="1515"/>
      <c r="K42" s="1516"/>
      <c r="L42" s="1517" t="s">
        <v>703</v>
      </c>
      <c r="M42" s="1517" t="s">
        <v>1393</v>
      </c>
      <c r="N42" s="1689" t="s">
        <v>116</v>
      </c>
      <c r="O42" s="1645"/>
      <c r="P42" s="245" t="b">
        <f t="shared" si="3"/>
        <v>0</v>
      </c>
      <c r="R42" s="245" t="b">
        <f t="shared" si="1"/>
        <v>0</v>
      </c>
      <c r="AO42" s="238" t="str">
        <f t="shared" si="2"/>
        <v>SG73</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47</v>
      </c>
      <c r="H43" s="1516">
        <v>9</v>
      </c>
      <c r="I43" s="1514"/>
      <c r="J43" s="1515"/>
      <c r="K43" s="1516"/>
      <c r="L43" s="1517" t="s">
        <v>703</v>
      </c>
      <c r="M43" s="1517" t="s">
        <v>1393</v>
      </c>
      <c r="N43" s="1689" t="s">
        <v>116</v>
      </c>
      <c r="O43" s="1645"/>
      <c r="P43" s="245" t="b">
        <f t="shared" si="3"/>
        <v>0</v>
      </c>
      <c r="R43" s="245" t="b">
        <f t="shared" si="1"/>
        <v>0</v>
      </c>
      <c r="AO43" s="238" t="str">
        <f t="shared" si="2"/>
        <v>SG73</v>
      </c>
      <c r="AP43" s="945" t="b">
        <v>0</v>
      </c>
      <c r="AQ43" s="1323"/>
      <c r="AR43" s="1324"/>
      <c r="AS43" s="1324"/>
      <c r="AT43" s="1324"/>
      <c r="AU43" s="1324"/>
      <c r="AV43" s="1324"/>
      <c r="AW43" s="1324"/>
      <c r="AX43" s="1324"/>
      <c r="AY43" s="1324"/>
      <c r="AZ43" s="1324"/>
      <c r="BA43" s="1533"/>
      <c r="BB43" s="1533"/>
      <c r="BC43" s="1534"/>
    </row>
    <row r="44" spans="1:55" ht="14.1" customHeight="1" x14ac:dyDescent="0.2">
      <c r="A44" s="1511" t="s">
        <v>2025</v>
      </c>
      <c r="B44" s="1512" t="s">
        <v>155</v>
      </c>
      <c r="C44" s="1512" t="s">
        <v>165</v>
      </c>
      <c r="D44" s="1512" t="s">
        <v>145</v>
      </c>
      <c r="E44" s="1513"/>
      <c r="F44" s="1514">
        <v>250</v>
      </c>
      <c r="G44" s="1515"/>
      <c r="H44" s="1516"/>
      <c r="I44" s="1514"/>
      <c r="J44" s="1515"/>
      <c r="K44" s="1516"/>
      <c r="L44" s="1517" t="s">
        <v>116</v>
      </c>
      <c r="M44" s="1517" t="s">
        <v>1393</v>
      </c>
      <c r="N44" s="1689" t="s">
        <v>116</v>
      </c>
      <c r="O44" s="1645"/>
      <c r="P44" s="245" t="b">
        <f t="shared" si="3"/>
        <v>0</v>
      </c>
      <c r="R44" s="245" t="b">
        <f t="shared" si="1"/>
        <v>1</v>
      </c>
      <c r="AO44" s="238" t="str">
        <f t="shared" si="2"/>
        <v>SG74</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155</v>
      </c>
      <c r="C45" s="1512" t="s">
        <v>165</v>
      </c>
      <c r="D45" s="1512" t="s">
        <v>159</v>
      </c>
      <c r="E45" s="1513"/>
      <c r="F45" s="1514">
        <v>250</v>
      </c>
      <c r="G45" s="1515"/>
      <c r="H45" s="1516"/>
      <c r="I45" s="1514"/>
      <c r="J45" s="1515"/>
      <c r="K45" s="1516"/>
      <c r="L45" s="1517" t="s">
        <v>116</v>
      </c>
      <c r="M45" s="1517" t="s">
        <v>1393</v>
      </c>
      <c r="N45" s="1689" t="s">
        <v>116</v>
      </c>
      <c r="O45" s="1645"/>
      <c r="P45" s="245" t="b">
        <f t="shared" si="3"/>
        <v>0</v>
      </c>
      <c r="R45" s="245" t="b">
        <f t="shared" si="1"/>
        <v>1</v>
      </c>
      <c r="AO45" s="238" t="str">
        <f t="shared" si="2"/>
        <v>SG74</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154</v>
      </c>
      <c r="C46" s="1512" t="s">
        <v>165</v>
      </c>
      <c r="D46" s="1512" t="s">
        <v>145</v>
      </c>
      <c r="E46" s="1513"/>
      <c r="F46" s="1514">
        <v>1500</v>
      </c>
      <c r="G46" s="1515"/>
      <c r="H46" s="1516"/>
      <c r="I46" s="1514"/>
      <c r="J46" s="1515"/>
      <c r="K46" s="1516"/>
      <c r="L46" s="1517" t="s">
        <v>116</v>
      </c>
      <c r="M46" s="1517" t="s">
        <v>1393</v>
      </c>
      <c r="N46" s="1689" t="s">
        <v>116</v>
      </c>
      <c r="O46" s="1645"/>
      <c r="P46" s="245" t="b">
        <f t="shared" si="3"/>
        <v>0</v>
      </c>
      <c r="R46" s="245" t="b">
        <f t="shared" si="1"/>
        <v>1</v>
      </c>
      <c r="AO46" s="238" t="str">
        <f t="shared" si="2"/>
        <v>SG74</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7</v>
      </c>
      <c r="H47" s="1516">
        <v>9</v>
      </c>
      <c r="I47" s="1514"/>
      <c r="J47" s="1515"/>
      <c r="K47" s="1516"/>
      <c r="L47" s="1517" t="s">
        <v>703</v>
      </c>
      <c r="M47" s="1517" t="s">
        <v>1393</v>
      </c>
      <c r="N47" s="1689" t="s">
        <v>116</v>
      </c>
      <c r="O47" s="1645"/>
      <c r="P47" s="245" t="b">
        <f t="shared" si="3"/>
        <v>0</v>
      </c>
      <c r="R47" s="245" t="b">
        <f t="shared" si="1"/>
        <v>0</v>
      </c>
      <c r="AO47" s="238" t="str">
        <f t="shared" si="2"/>
        <v>SG74</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15</v>
      </c>
      <c r="H48" s="1516">
        <v>9</v>
      </c>
      <c r="I48" s="1514"/>
      <c r="J48" s="1515"/>
      <c r="K48" s="1516"/>
      <c r="L48" s="1517" t="s">
        <v>703</v>
      </c>
      <c r="M48" s="1517" t="s">
        <v>1393</v>
      </c>
      <c r="N48" s="1689" t="s">
        <v>116</v>
      </c>
      <c r="O48" s="1645"/>
      <c r="P48" s="245" t="b">
        <f t="shared" si="3"/>
        <v>0</v>
      </c>
      <c r="R48" s="245" t="b">
        <f t="shared" si="1"/>
        <v>0</v>
      </c>
      <c r="AO48" s="238" t="str">
        <f t="shared" si="2"/>
        <v>SG74</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23</v>
      </c>
      <c r="H49" s="1516">
        <v>9</v>
      </c>
      <c r="I49" s="1514"/>
      <c r="J49" s="1515"/>
      <c r="K49" s="1516"/>
      <c r="L49" s="1517" t="s">
        <v>703</v>
      </c>
      <c r="M49" s="1517" t="s">
        <v>1393</v>
      </c>
      <c r="N49" s="1689" t="s">
        <v>116</v>
      </c>
      <c r="O49" s="1645"/>
      <c r="P49" s="245" t="b">
        <f t="shared" si="3"/>
        <v>0</v>
      </c>
      <c r="R49" s="245" t="b">
        <f t="shared" si="1"/>
        <v>0</v>
      </c>
      <c r="AO49" s="238" t="str">
        <f t="shared" si="2"/>
        <v>SG74</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31</v>
      </c>
      <c r="H50" s="1516">
        <v>9</v>
      </c>
      <c r="I50" s="1514"/>
      <c r="J50" s="1515"/>
      <c r="K50" s="1516"/>
      <c r="L50" s="1517" t="s">
        <v>703</v>
      </c>
      <c r="M50" s="1517" t="s">
        <v>1393</v>
      </c>
      <c r="N50" s="1689" t="s">
        <v>116</v>
      </c>
      <c r="O50" s="1645"/>
      <c r="P50" s="245" t="b">
        <f t="shared" si="3"/>
        <v>0</v>
      </c>
      <c r="R50" s="245" t="b">
        <f t="shared" si="1"/>
        <v>0</v>
      </c>
      <c r="AO50" s="238" t="str">
        <f t="shared" si="2"/>
        <v>SG74</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39</v>
      </c>
      <c r="H51" s="1516">
        <v>9</v>
      </c>
      <c r="I51" s="1514"/>
      <c r="J51" s="1515"/>
      <c r="K51" s="1516"/>
      <c r="L51" s="1517" t="s">
        <v>703</v>
      </c>
      <c r="M51" s="1517" t="s">
        <v>1393</v>
      </c>
      <c r="N51" s="1689" t="s">
        <v>116</v>
      </c>
      <c r="O51" s="1645"/>
      <c r="P51" s="245" t="b">
        <f t="shared" si="3"/>
        <v>0</v>
      </c>
      <c r="R51" s="245" t="b">
        <f t="shared" si="1"/>
        <v>0</v>
      </c>
      <c r="AO51" s="238" t="str">
        <f t="shared" si="2"/>
        <v>SG74</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47</v>
      </c>
      <c r="H52" s="1516">
        <v>9</v>
      </c>
      <c r="I52" s="1514"/>
      <c r="J52" s="1515"/>
      <c r="K52" s="1516"/>
      <c r="L52" s="1517" t="s">
        <v>703</v>
      </c>
      <c r="M52" s="1517" t="s">
        <v>1393</v>
      </c>
      <c r="N52" s="1689" t="s">
        <v>116</v>
      </c>
      <c r="O52" s="1645"/>
      <c r="P52" s="245" t="b">
        <f t="shared" si="3"/>
        <v>0</v>
      </c>
      <c r="R52" s="245" t="b">
        <f t="shared" si="1"/>
        <v>0</v>
      </c>
      <c r="AO52" s="238" t="str">
        <f t="shared" si="2"/>
        <v>SG74</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7</v>
      </c>
      <c r="H53" s="1516">
        <v>9</v>
      </c>
      <c r="I53" s="1514"/>
      <c r="J53" s="1515"/>
      <c r="K53" s="1516"/>
      <c r="L53" s="1517" t="s">
        <v>703</v>
      </c>
      <c r="M53" s="1517" t="s">
        <v>1393</v>
      </c>
      <c r="N53" s="1689" t="s">
        <v>116</v>
      </c>
      <c r="O53" s="1645"/>
      <c r="P53" s="245" t="b">
        <f t="shared" si="3"/>
        <v>0</v>
      </c>
      <c r="R53" s="245" t="b">
        <f t="shared" si="1"/>
        <v>0</v>
      </c>
      <c r="AO53" s="238" t="str">
        <f t="shared" si="2"/>
        <v>SG74</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15</v>
      </c>
      <c r="H54" s="1516">
        <v>9</v>
      </c>
      <c r="I54" s="1514"/>
      <c r="J54" s="1515"/>
      <c r="K54" s="1516"/>
      <c r="L54" s="1517" t="s">
        <v>703</v>
      </c>
      <c r="M54" s="1517" t="s">
        <v>1393</v>
      </c>
      <c r="N54" s="1689" t="s">
        <v>116</v>
      </c>
      <c r="O54" s="1645"/>
      <c r="P54" s="245" t="b">
        <f t="shared" si="3"/>
        <v>0</v>
      </c>
      <c r="R54" s="245" t="b">
        <f t="shared" si="1"/>
        <v>0</v>
      </c>
      <c r="AO54" s="238" t="str">
        <f t="shared" si="2"/>
        <v>SG74</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23</v>
      </c>
      <c r="H55" s="1525">
        <v>9</v>
      </c>
      <c r="I55" s="1523"/>
      <c r="J55" s="1524"/>
      <c r="K55" s="1525"/>
      <c r="L55" s="1526" t="s">
        <v>703</v>
      </c>
      <c r="M55" s="1526" t="s">
        <v>1393</v>
      </c>
      <c r="N55" s="1690"/>
      <c r="O55" s="1645"/>
      <c r="P55" s="245" t="b">
        <f t="shared" si="3"/>
        <v>0</v>
      </c>
      <c r="R55" s="245" t="b">
        <f t="shared" si="1"/>
        <v>0</v>
      </c>
      <c r="AO55" s="238" t="str">
        <f t="shared" si="2"/>
        <v>SG74</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9" priority="4" stopIfTrue="1">
      <formula>AND($B14="NU",F14&lt;0)</formula>
    </cfRule>
  </conditionalFormatting>
  <conditionalFormatting sqref="B14:B55">
    <cfRule type="expression" dxfId="68" priority="5" stopIfTrue="1">
      <formula>OR(AND($B14="NU",F14&lt;0),AND($B14="NU",I14&lt;0))</formula>
    </cfRule>
  </conditionalFormatting>
  <conditionalFormatting sqref="G14:H55 J14:L55">
    <cfRule type="expression" dxfId="67" priority="6" stopIfTrue="1">
      <formula>$R14</formula>
    </cfRule>
  </conditionalFormatting>
  <conditionalFormatting sqref="I2:K4">
    <cfRule type="cellIs" dxfId="66" priority="7" stopIfTrue="1" operator="equal">
      <formula>""</formula>
    </cfRule>
  </conditionalFormatting>
  <conditionalFormatting sqref="I14:I55">
    <cfRule type="expression" dxfId="65" priority="8" stopIfTrue="1">
      <formula>OR($R14,$B14="CZ",AND($B14="NU",I14&lt;0))</formula>
    </cfRule>
  </conditionalFormatting>
  <conditionalFormatting sqref="A14:A55">
    <cfRule type="expression" dxfId="64" priority="3">
      <formula>NOT($P14)</formula>
    </cfRule>
  </conditionalFormatting>
  <conditionalFormatting sqref="B14:D55">
    <cfRule type="expression" dxfId="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2" priority="9">
      <formula>AND(NOT($P14),$T$1)</formula>
    </cfRule>
    <cfRule type="expression" dxfId="61" priority="10">
      <formula>AND($AP14,$S$1="M")</formula>
    </cfRule>
  </conditionalFormatting>
  <conditionalFormatting sqref="L14:L55">
    <cfRule type="expression" dxfId="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24DD7B9-A4FA-4B50-8D2B-0867A3DE706D}">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F3AABBA-CEF2-42A6-87A4-59E7A9638CF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F76A4D9-4B3A-46D8-9952-F74180E8A3D1}">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67D042E-E364-4386-B97B-53612D58E82E}">
      <formula1>IF($CA$14,$CA$16:$CA$21,$CB$16:$CB$19)</formula1>
    </dataValidation>
    <dataValidation type="list" allowBlank="1" showErrorMessage="1" errorTitle="Invalid Type" error="You MUST select a Type from the dropdown list provided._x000a__x000a_Also, make sure your Cap Lock is turned on." sqref="B14:B55" xr:uid="{14D44F28-8294-48CE-AFCF-76B9644E3595}">
      <formula1>$BF$15:$BU$15</formula1>
    </dataValidation>
    <dataValidation allowBlank="1" showInputMessage="1" errorTitle="Invalid Load Case" error="You MUST use a Load Case from the list provided." sqref="M14:M55" xr:uid="{5AB17524-9A6A-413F-9C18-FA0A73D735A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952A2-7BFB-4DDA-971B-48E11EB0C0E6}">
  <sheetPr codeName="Sheet6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2026</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SG75</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SG75</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SG75</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7</v>
      </c>
      <c r="H20" s="1516">
        <v>9</v>
      </c>
      <c r="I20" s="1514"/>
      <c r="J20" s="1515"/>
      <c r="K20" s="1516"/>
      <c r="L20" s="1517" t="s">
        <v>703</v>
      </c>
      <c r="M20" s="1518" t="s">
        <v>1393</v>
      </c>
      <c r="N20" s="1519"/>
      <c r="O20" s="1646"/>
      <c r="P20" s="245" t="b">
        <f t="shared" si="3"/>
        <v>0</v>
      </c>
      <c r="R20" s="245" t="b">
        <f t="shared" si="1"/>
        <v>0</v>
      </c>
      <c r="AO20" s="238" t="str">
        <f t="shared" si="2"/>
        <v>SG75</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15</v>
      </c>
      <c r="H21" s="1516">
        <v>9</v>
      </c>
      <c r="I21" s="1514"/>
      <c r="J21" s="1515"/>
      <c r="K21" s="1516"/>
      <c r="L21" s="1517" t="s">
        <v>703</v>
      </c>
      <c r="M21" s="1518" t="s">
        <v>1393</v>
      </c>
      <c r="N21" s="1519"/>
      <c r="O21" s="1646"/>
      <c r="P21" s="245" t="b">
        <f t="shared" si="3"/>
        <v>0</v>
      </c>
      <c r="R21" s="245" t="b">
        <f t="shared" si="1"/>
        <v>0</v>
      </c>
      <c r="AO21" s="238" t="str">
        <f t="shared" si="2"/>
        <v>SG75</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23</v>
      </c>
      <c r="H22" s="1516">
        <v>9</v>
      </c>
      <c r="I22" s="1514"/>
      <c r="J22" s="1515"/>
      <c r="K22" s="1516"/>
      <c r="L22" s="1517" t="s">
        <v>703</v>
      </c>
      <c r="M22" s="1518" t="s">
        <v>1393</v>
      </c>
      <c r="N22" s="1519"/>
      <c r="O22" s="1646"/>
      <c r="P22" s="245" t="b">
        <f t="shared" si="3"/>
        <v>0</v>
      </c>
      <c r="R22" s="245" t="b">
        <f t="shared" si="1"/>
        <v>0</v>
      </c>
      <c r="AO22" s="238" t="str">
        <f t="shared" si="2"/>
        <v>SG75</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31</v>
      </c>
      <c r="H23" s="1516">
        <v>9</v>
      </c>
      <c r="I23" s="1514"/>
      <c r="J23" s="1515"/>
      <c r="K23" s="1516"/>
      <c r="L23" s="1517" t="s">
        <v>703</v>
      </c>
      <c r="M23" s="1518" t="s">
        <v>1393</v>
      </c>
      <c r="N23" s="1519"/>
      <c r="O23" s="1646"/>
      <c r="P23" s="245" t="b">
        <f t="shared" si="3"/>
        <v>0</v>
      </c>
      <c r="R23" s="245" t="b">
        <f t="shared" si="1"/>
        <v>0</v>
      </c>
      <c r="AO23" s="238" t="str">
        <f t="shared" si="2"/>
        <v>SG75</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39</v>
      </c>
      <c r="H24" s="1516">
        <v>9</v>
      </c>
      <c r="I24" s="1514"/>
      <c r="J24" s="1515"/>
      <c r="K24" s="1516"/>
      <c r="L24" s="1517" t="s">
        <v>703</v>
      </c>
      <c r="M24" s="1518" t="s">
        <v>1393</v>
      </c>
      <c r="N24" s="1519"/>
      <c r="O24" s="1646"/>
      <c r="P24" s="245" t="b">
        <f t="shared" si="3"/>
        <v>0</v>
      </c>
      <c r="R24" s="245" t="b">
        <f t="shared" si="1"/>
        <v>0</v>
      </c>
      <c r="AO24" s="238" t="str">
        <f t="shared" si="2"/>
        <v>SG75</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47</v>
      </c>
      <c r="H25" s="1516">
        <v>9</v>
      </c>
      <c r="I25" s="1514"/>
      <c r="J25" s="1515"/>
      <c r="K25" s="1516"/>
      <c r="L25" s="1517" t="s">
        <v>703</v>
      </c>
      <c r="M25" s="1518" t="s">
        <v>1393</v>
      </c>
      <c r="N25" s="1519"/>
      <c r="O25" s="1646"/>
      <c r="P25" s="245" t="b">
        <f t="shared" si="3"/>
        <v>0</v>
      </c>
      <c r="R25" s="245" t="b">
        <f t="shared" si="1"/>
        <v>0</v>
      </c>
      <c r="AO25" s="238" t="str">
        <f t="shared" si="2"/>
        <v>SG75</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7</v>
      </c>
      <c r="H26" s="1516">
        <v>9</v>
      </c>
      <c r="I26" s="1514"/>
      <c r="J26" s="1515"/>
      <c r="K26" s="1516"/>
      <c r="L26" s="1517" t="s">
        <v>703</v>
      </c>
      <c r="M26" s="1518" t="s">
        <v>1393</v>
      </c>
      <c r="N26" s="1519"/>
      <c r="O26" s="1646"/>
      <c r="P26" s="245" t="b">
        <f t="shared" si="3"/>
        <v>0</v>
      </c>
      <c r="R26" s="245" t="b">
        <f t="shared" si="1"/>
        <v>0</v>
      </c>
      <c r="AO26" s="238" t="str">
        <f t="shared" si="2"/>
        <v>SG75</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15</v>
      </c>
      <c r="H27" s="1516">
        <v>9</v>
      </c>
      <c r="I27" s="1514"/>
      <c r="J27" s="1515"/>
      <c r="K27" s="1516"/>
      <c r="L27" s="1517" t="s">
        <v>703</v>
      </c>
      <c r="M27" s="1518" t="s">
        <v>1393</v>
      </c>
      <c r="N27" s="1519"/>
      <c r="O27" s="1646"/>
      <c r="P27" s="245" t="b">
        <f t="shared" si="3"/>
        <v>0</v>
      </c>
      <c r="R27" s="245" t="b">
        <f t="shared" si="1"/>
        <v>0</v>
      </c>
      <c r="AO27" s="238" t="str">
        <f t="shared" si="2"/>
        <v>SG75</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23</v>
      </c>
      <c r="H28" s="1516">
        <v>9</v>
      </c>
      <c r="I28" s="1514"/>
      <c r="J28" s="1515"/>
      <c r="K28" s="1516"/>
      <c r="L28" s="1517" t="s">
        <v>703</v>
      </c>
      <c r="M28" s="1518" t="s">
        <v>1393</v>
      </c>
      <c r="N28" s="1689"/>
      <c r="O28" s="1645"/>
      <c r="P28" s="245" t="b">
        <f t="shared" si="3"/>
        <v>0</v>
      </c>
      <c r="R28" s="245" t="b">
        <f t="shared" si="1"/>
        <v>0</v>
      </c>
      <c r="AO28" s="238" t="str">
        <f t="shared" si="2"/>
        <v>SG75</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31</v>
      </c>
      <c r="H29" s="1516">
        <v>9</v>
      </c>
      <c r="I29" s="1514"/>
      <c r="J29" s="1515"/>
      <c r="K29" s="1516"/>
      <c r="L29" s="1517" t="s">
        <v>703</v>
      </c>
      <c r="M29" s="1518" t="s">
        <v>1393</v>
      </c>
      <c r="N29" s="1689"/>
      <c r="O29" s="1645"/>
      <c r="P29" s="245" t="b">
        <f t="shared" si="3"/>
        <v>0</v>
      </c>
      <c r="R29" s="245" t="b">
        <f t="shared" si="1"/>
        <v>0</v>
      </c>
      <c r="AO29" s="238" t="str">
        <f t="shared" si="2"/>
        <v>SG75</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39</v>
      </c>
      <c r="H30" s="1516">
        <v>9</v>
      </c>
      <c r="I30" s="1514"/>
      <c r="J30" s="1515"/>
      <c r="K30" s="1516"/>
      <c r="L30" s="1517" t="s">
        <v>703</v>
      </c>
      <c r="M30" s="1518" t="s">
        <v>1393</v>
      </c>
      <c r="N30" s="1689" t="s">
        <v>116</v>
      </c>
      <c r="O30" s="1645"/>
      <c r="P30" s="245" t="b">
        <f t="shared" si="3"/>
        <v>0</v>
      </c>
      <c r="R30" s="245" t="b">
        <f t="shared" si="1"/>
        <v>0</v>
      </c>
      <c r="AO30" s="238" t="str">
        <f t="shared" si="2"/>
        <v>SG75</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47</v>
      </c>
      <c r="H31" s="1516">
        <v>9</v>
      </c>
      <c r="I31" s="1514"/>
      <c r="J31" s="1515"/>
      <c r="K31" s="1516"/>
      <c r="L31" s="1517" t="s">
        <v>703</v>
      </c>
      <c r="M31" s="1517" t="s">
        <v>1393</v>
      </c>
      <c r="N31" s="1689" t="s">
        <v>116</v>
      </c>
      <c r="O31" s="1645"/>
      <c r="P31" s="245" t="b">
        <f t="shared" si="3"/>
        <v>0</v>
      </c>
      <c r="R31" s="245" t="b">
        <f t="shared" si="1"/>
        <v>0</v>
      </c>
      <c r="AO31" s="238" t="str">
        <f t="shared" si="2"/>
        <v>SG75</v>
      </c>
      <c r="AP31" s="945" t="b">
        <v>0</v>
      </c>
      <c r="AQ31" s="1323"/>
      <c r="AR31" s="1324"/>
      <c r="AS31" s="1324"/>
      <c r="AT31" s="1324"/>
      <c r="AU31" s="1324"/>
      <c r="AV31" s="1324"/>
      <c r="AW31" s="1324"/>
      <c r="AX31" s="1324"/>
      <c r="AY31" s="1324"/>
      <c r="AZ31" s="1324"/>
      <c r="BA31" s="1533"/>
      <c r="BB31" s="1533"/>
      <c r="BC31" s="1534"/>
    </row>
    <row r="32" spans="1:81" ht="14.1" customHeight="1" x14ac:dyDescent="0.2">
      <c r="A32" s="1511" t="s">
        <v>2027</v>
      </c>
      <c r="B32" s="1512" t="s">
        <v>155</v>
      </c>
      <c r="C32" s="1512" t="s">
        <v>165</v>
      </c>
      <c r="D32" s="1512" t="s">
        <v>145</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SG76</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155</v>
      </c>
      <c r="C33" s="1512" t="s">
        <v>165</v>
      </c>
      <c r="D33" s="1512" t="s">
        <v>159</v>
      </c>
      <c r="E33" s="1513"/>
      <c r="F33" s="1514">
        <v>250</v>
      </c>
      <c r="G33" s="1515"/>
      <c r="H33" s="1516"/>
      <c r="I33" s="1514"/>
      <c r="J33" s="1515"/>
      <c r="K33" s="1516"/>
      <c r="L33" s="1517" t="s">
        <v>116</v>
      </c>
      <c r="M33" s="1517" t="s">
        <v>1393</v>
      </c>
      <c r="N33" s="1689" t="s">
        <v>116</v>
      </c>
      <c r="O33" s="1645"/>
      <c r="P33" s="245" t="b">
        <f t="shared" si="3"/>
        <v>0</v>
      </c>
      <c r="R33" s="245" t="b">
        <f t="shared" si="1"/>
        <v>1</v>
      </c>
      <c r="AO33" s="238" t="str">
        <f t="shared" si="2"/>
        <v>SG76</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154</v>
      </c>
      <c r="C34" s="1512" t="s">
        <v>165</v>
      </c>
      <c r="D34" s="1512" t="s">
        <v>145</v>
      </c>
      <c r="E34" s="1513"/>
      <c r="F34" s="1514">
        <v>1500</v>
      </c>
      <c r="G34" s="1515"/>
      <c r="H34" s="1516"/>
      <c r="I34" s="1514"/>
      <c r="J34" s="1515"/>
      <c r="K34" s="1516"/>
      <c r="L34" s="1517" t="s">
        <v>116</v>
      </c>
      <c r="M34" s="1517" t="s">
        <v>1393</v>
      </c>
      <c r="N34" s="1689" t="s">
        <v>116</v>
      </c>
      <c r="O34" s="1645"/>
      <c r="P34" s="245" t="b">
        <f t="shared" si="3"/>
        <v>0</v>
      </c>
      <c r="R34" s="245" t="b">
        <f t="shared" si="1"/>
        <v>1</v>
      </c>
      <c r="AO34" s="238" t="str">
        <f t="shared" si="2"/>
        <v>SG76</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2220</v>
      </c>
      <c r="G35" s="1515">
        <v>16</v>
      </c>
      <c r="H35" s="1516">
        <v>0</v>
      </c>
      <c r="I35" s="1514">
        <v>2220</v>
      </c>
      <c r="J35" s="1515">
        <v>24</v>
      </c>
      <c r="K35" s="1516">
        <v>0</v>
      </c>
      <c r="L35" s="1517" t="s">
        <v>700</v>
      </c>
      <c r="M35" s="1517" t="s">
        <v>1393</v>
      </c>
      <c r="N35" s="1689" t="s">
        <v>116</v>
      </c>
      <c r="O35" s="1645"/>
      <c r="P35" s="245" t="b">
        <f t="shared" si="3"/>
        <v>0</v>
      </c>
      <c r="R35" s="245" t="b">
        <f t="shared" si="1"/>
        <v>0</v>
      </c>
      <c r="AO35" s="238" t="str">
        <f t="shared" si="2"/>
        <v>SG76</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2220</v>
      </c>
      <c r="G36" s="1515">
        <v>48</v>
      </c>
      <c r="H36" s="1516">
        <v>0</v>
      </c>
      <c r="I36" s="1514"/>
      <c r="J36" s="1515"/>
      <c r="K36" s="1516"/>
      <c r="L36" s="1517" t="s">
        <v>700</v>
      </c>
      <c r="M36" s="1517" t="s">
        <v>1393</v>
      </c>
      <c r="N36" s="1689" t="s">
        <v>116</v>
      </c>
      <c r="O36" s="1645"/>
      <c r="P36" s="245" t="b">
        <f t="shared" si="3"/>
        <v>0</v>
      </c>
      <c r="R36" s="245" t="b">
        <f t="shared" si="1"/>
        <v>0</v>
      </c>
      <c r="AO36" s="238" t="str">
        <f t="shared" si="2"/>
        <v>SG76</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7</v>
      </c>
      <c r="H37" s="1516">
        <v>9</v>
      </c>
      <c r="I37" s="1514"/>
      <c r="J37" s="1515"/>
      <c r="K37" s="1516"/>
      <c r="L37" s="1517" t="s">
        <v>703</v>
      </c>
      <c r="M37" s="1517" t="s">
        <v>1393</v>
      </c>
      <c r="N37" s="1689" t="s">
        <v>116</v>
      </c>
      <c r="O37" s="1645"/>
      <c r="P37" s="245" t="b">
        <f t="shared" si="3"/>
        <v>0</v>
      </c>
      <c r="R37" s="245" t="b">
        <f t="shared" si="1"/>
        <v>0</v>
      </c>
      <c r="AO37" s="238" t="str">
        <f t="shared" si="2"/>
        <v>SG76</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15</v>
      </c>
      <c r="H38" s="1516">
        <v>9</v>
      </c>
      <c r="I38" s="1514"/>
      <c r="J38" s="1515"/>
      <c r="K38" s="1516"/>
      <c r="L38" s="1517" t="s">
        <v>703</v>
      </c>
      <c r="M38" s="1517" t="s">
        <v>1393</v>
      </c>
      <c r="N38" s="1689" t="s">
        <v>116</v>
      </c>
      <c r="O38" s="1645"/>
      <c r="P38" s="245" t="b">
        <f t="shared" si="3"/>
        <v>0</v>
      </c>
      <c r="R38" s="245" t="b">
        <f t="shared" si="1"/>
        <v>0</v>
      </c>
      <c r="AO38" s="238" t="str">
        <f t="shared" si="2"/>
        <v>SG76</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23</v>
      </c>
      <c r="H39" s="1516">
        <v>9</v>
      </c>
      <c r="I39" s="1514"/>
      <c r="J39" s="1515"/>
      <c r="K39" s="1516"/>
      <c r="L39" s="1517" t="s">
        <v>703</v>
      </c>
      <c r="M39" s="1517" t="s">
        <v>1393</v>
      </c>
      <c r="N39" s="1689" t="s">
        <v>116</v>
      </c>
      <c r="O39" s="1645"/>
      <c r="P39" s="245" t="b">
        <f t="shared" si="3"/>
        <v>0</v>
      </c>
      <c r="R39" s="245" t="b">
        <f t="shared" si="1"/>
        <v>0</v>
      </c>
      <c r="AO39" s="238" t="str">
        <f t="shared" si="2"/>
        <v>SG76</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31</v>
      </c>
      <c r="H40" s="1516">
        <v>9</v>
      </c>
      <c r="I40" s="1514"/>
      <c r="J40" s="1515"/>
      <c r="K40" s="1516"/>
      <c r="L40" s="1517" t="s">
        <v>703</v>
      </c>
      <c r="M40" s="1517" t="s">
        <v>1393</v>
      </c>
      <c r="N40" s="1689" t="s">
        <v>116</v>
      </c>
      <c r="O40" s="1645"/>
      <c r="P40" s="245" t="b">
        <f t="shared" si="3"/>
        <v>0</v>
      </c>
      <c r="R40" s="245" t="b">
        <f t="shared" si="1"/>
        <v>0</v>
      </c>
      <c r="AO40" s="238" t="str">
        <f t="shared" si="2"/>
        <v>SG76</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39</v>
      </c>
      <c r="H41" s="1516">
        <v>9</v>
      </c>
      <c r="I41" s="1514"/>
      <c r="J41" s="1515"/>
      <c r="K41" s="1516"/>
      <c r="L41" s="1517" t="s">
        <v>703</v>
      </c>
      <c r="M41" s="1517" t="s">
        <v>1393</v>
      </c>
      <c r="N41" s="1689" t="s">
        <v>116</v>
      </c>
      <c r="O41" s="1645"/>
      <c r="P41" s="245" t="b">
        <f t="shared" si="3"/>
        <v>0</v>
      </c>
      <c r="R41" s="245" t="b">
        <f t="shared" si="1"/>
        <v>0</v>
      </c>
      <c r="AO41" s="238" t="str">
        <f t="shared" si="2"/>
        <v>SG76</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47</v>
      </c>
      <c r="H42" s="1516">
        <v>9</v>
      </c>
      <c r="I42" s="1514"/>
      <c r="J42" s="1515"/>
      <c r="K42" s="1516"/>
      <c r="L42" s="1517" t="s">
        <v>703</v>
      </c>
      <c r="M42" s="1517" t="s">
        <v>1393</v>
      </c>
      <c r="N42" s="1689" t="s">
        <v>116</v>
      </c>
      <c r="O42" s="1645"/>
      <c r="P42" s="245" t="b">
        <f t="shared" si="3"/>
        <v>0</v>
      </c>
      <c r="R42" s="245" t="b">
        <f t="shared" si="1"/>
        <v>0</v>
      </c>
      <c r="AO42" s="238" t="str">
        <f t="shared" si="2"/>
        <v>SG76</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7</v>
      </c>
      <c r="H43" s="1516">
        <v>9</v>
      </c>
      <c r="I43" s="1514"/>
      <c r="J43" s="1515"/>
      <c r="K43" s="1516"/>
      <c r="L43" s="1517" t="s">
        <v>703</v>
      </c>
      <c r="M43" s="1517" t="s">
        <v>1393</v>
      </c>
      <c r="N43" s="1689" t="s">
        <v>116</v>
      </c>
      <c r="O43" s="1645"/>
      <c r="P43" s="245" t="b">
        <f t="shared" si="3"/>
        <v>0</v>
      </c>
      <c r="R43" s="245" t="b">
        <f t="shared" si="1"/>
        <v>0</v>
      </c>
      <c r="AO43" s="238" t="str">
        <f t="shared" si="2"/>
        <v>SG76</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15</v>
      </c>
      <c r="H44" s="1516">
        <v>9</v>
      </c>
      <c r="I44" s="1514"/>
      <c r="J44" s="1515"/>
      <c r="K44" s="1516"/>
      <c r="L44" s="1517" t="s">
        <v>703</v>
      </c>
      <c r="M44" s="1517" t="s">
        <v>1393</v>
      </c>
      <c r="N44" s="1689" t="s">
        <v>116</v>
      </c>
      <c r="O44" s="1645"/>
      <c r="P44" s="245" t="b">
        <f t="shared" si="3"/>
        <v>0</v>
      </c>
      <c r="R44" s="245" t="b">
        <f t="shared" si="1"/>
        <v>0</v>
      </c>
      <c r="AO44" s="238" t="str">
        <f t="shared" si="2"/>
        <v>SG76</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23</v>
      </c>
      <c r="H45" s="1516">
        <v>9</v>
      </c>
      <c r="I45" s="1514"/>
      <c r="J45" s="1515"/>
      <c r="K45" s="1516"/>
      <c r="L45" s="1517" t="s">
        <v>703</v>
      </c>
      <c r="M45" s="1517" t="s">
        <v>1393</v>
      </c>
      <c r="N45" s="1689" t="s">
        <v>116</v>
      </c>
      <c r="O45" s="1645"/>
      <c r="P45" s="245" t="b">
        <f t="shared" si="3"/>
        <v>0</v>
      </c>
      <c r="R45" s="245" t="b">
        <f t="shared" si="1"/>
        <v>0</v>
      </c>
      <c r="AO45" s="238" t="str">
        <f t="shared" si="2"/>
        <v>SG76</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31</v>
      </c>
      <c r="H46" s="1516">
        <v>9</v>
      </c>
      <c r="I46" s="1514"/>
      <c r="J46" s="1515"/>
      <c r="K46" s="1516"/>
      <c r="L46" s="1517" t="s">
        <v>703</v>
      </c>
      <c r="M46" s="1517" t="s">
        <v>1393</v>
      </c>
      <c r="N46" s="1689" t="s">
        <v>116</v>
      </c>
      <c r="O46" s="1645"/>
      <c r="P46" s="245" t="b">
        <f t="shared" si="3"/>
        <v>0</v>
      </c>
      <c r="R46" s="245" t="b">
        <f t="shared" si="1"/>
        <v>0</v>
      </c>
      <c r="AO46" s="238" t="str">
        <f t="shared" si="2"/>
        <v>SG76</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39</v>
      </c>
      <c r="H47" s="1516">
        <v>9</v>
      </c>
      <c r="I47" s="1514"/>
      <c r="J47" s="1515"/>
      <c r="K47" s="1516"/>
      <c r="L47" s="1517" t="s">
        <v>703</v>
      </c>
      <c r="M47" s="1517" t="s">
        <v>1393</v>
      </c>
      <c r="N47" s="1689" t="s">
        <v>116</v>
      </c>
      <c r="O47" s="1645"/>
      <c r="P47" s="245" t="b">
        <f t="shared" si="3"/>
        <v>0</v>
      </c>
      <c r="R47" s="245" t="b">
        <f t="shared" si="1"/>
        <v>0</v>
      </c>
      <c r="AO47" s="238" t="str">
        <f t="shared" si="2"/>
        <v>SG76</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47</v>
      </c>
      <c r="H48" s="1516">
        <v>9</v>
      </c>
      <c r="I48" s="1514"/>
      <c r="J48" s="1515"/>
      <c r="K48" s="1516"/>
      <c r="L48" s="1517" t="s">
        <v>703</v>
      </c>
      <c r="M48" s="1517" t="s">
        <v>1393</v>
      </c>
      <c r="N48" s="1689" t="s">
        <v>116</v>
      </c>
      <c r="O48" s="1645"/>
      <c r="P48" s="245" t="b">
        <f t="shared" si="3"/>
        <v>0</v>
      </c>
      <c r="R48" s="245" t="b">
        <f t="shared" si="1"/>
        <v>0</v>
      </c>
      <c r="AO48" s="238" t="str">
        <f t="shared" si="2"/>
        <v>SG76</v>
      </c>
      <c r="AP48" s="945" t="b">
        <v>0</v>
      </c>
      <c r="AQ48" s="1323"/>
      <c r="AR48" s="1324"/>
      <c r="AS48" s="1324"/>
      <c r="AT48" s="1324"/>
      <c r="AU48" s="1324"/>
      <c r="AV48" s="1324"/>
      <c r="AW48" s="1324"/>
      <c r="AX48" s="1324"/>
      <c r="AY48" s="1324"/>
      <c r="AZ48" s="1324"/>
      <c r="BA48" s="1533"/>
      <c r="BB48" s="1533"/>
      <c r="BC48" s="1534"/>
    </row>
    <row r="49" spans="1:55" ht="14.1" customHeight="1" x14ac:dyDescent="0.2">
      <c r="A49" s="1511" t="s">
        <v>2028</v>
      </c>
      <c r="B49" s="1512" t="s">
        <v>155</v>
      </c>
      <c r="C49" s="1512" t="s">
        <v>165</v>
      </c>
      <c r="D49" s="1512" t="s">
        <v>145</v>
      </c>
      <c r="E49" s="1513"/>
      <c r="F49" s="1514">
        <v>250</v>
      </c>
      <c r="G49" s="1515"/>
      <c r="H49" s="1516"/>
      <c r="I49" s="1514"/>
      <c r="J49" s="1515"/>
      <c r="K49" s="1516"/>
      <c r="L49" s="1517" t="s">
        <v>116</v>
      </c>
      <c r="M49" s="1517" t="s">
        <v>1393</v>
      </c>
      <c r="N49" s="1689" t="s">
        <v>116</v>
      </c>
      <c r="O49" s="1645"/>
      <c r="P49" s="245" t="b">
        <f t="shared" si="3"/>
        <v>0</v>
      </c>
      <c r="R49" s="245" t="b">
        <f t="shared" si="1"/>
        <v>1</v>
      </c>
      <c r="AO49" s="238" t="str">
        <f t="shared" si="2"/>
        <v>SG77</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155</v>
      </c>
      <c r="C50" s="1512" t="s">
        <v>165</v>
      </c>
      <c r="D50" s="1512" t="s">
        <v>159</v>
      </c>
      <c r="E50" s="1513"/>
      <c r="F50" s="1514">
        <v>250</v>
      </c>
      <c r="G50" s="1515"/>
      <c r="H50" s="1516"/>
      <c r="I50" s="1514"/>
      <c r="J50" s="1515"/>
      <c r="K50" s="1516"/>
      <c r="L50" s="1517" t="s">
        <v>116</v>
      </c>
      <c r="M50" s="1517" t="s">
        <v>1393</v>
      </c>
      <c r="N50" s="1689" t="s">
        <v>116</v>
      </c>
      <c r="O50" s="1645"/>
      <c r="P50" s="245" t="b">
        <f t="shared" si="3"/>
        <v>0</v>
      </c>
      <c r="R50" s="245" t="b">
        <f t="shared" si="1"/>
        <v>1</v>
      </c>
      <c r="AO50" s="238" t="str">
        <f t="shared" si="2"/>
        <v>SG77</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154</v>
      </c>
      <c r="C51" s="1512" t="s">
        <v>165</v>
      </c>
      <c r="D51" s="1512" t="s">
        <v>145</v>
      </c>
      <c r="E51" s="1513"/>
      <c r="F51" s="1514">
        <v>1500</v>
      </c>
      <c r="G51" s="1515"/>
      <c r="H51" s="1516"/>
      <c r="I51" s="1514"/>
      <c r="J51" s="1515"/>
      <c r="K51" s="1516"/>
      <c r="L51" s="1517" t="s">
        <v>116</v>
      </c>
      <c r="M51" s="1517" t="s">
        <v>1393</v>
      </c>
      <c r="N51" s="1689" t="s">
        <v>116</v>
      </c>
      <c r="O51" s="1645"/>
      <c r="P51" s="245" t="b">
        <f t="shared" si="3"/>
        <v>0</v>
      </c>
      <c r="R51" s="245" t="b">
        <f t="shared" si="1"/>
        <v>1</v>
      </c>
      <c r="AO51" s="238" t="str">
        <f t="shared" si="2"/>
        <v>SG77</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154</v>
      </c>
      <c r="C52" s="1512" t="s">
        <v>165</v>
      </c>
      <c r="D52" s="1512" t="s">
        <v>145</v>
      </c>
      <c r="E52" s="1513"/>
      <c r="F52" s="1514">
        <v>720</v>
      </c>
      <c r="G52" s="1515"/>
      <c r="H52" s="1516"/>
      <c r="I52" s="1514"/>
      <c r="J52" s="1515"/>
      <c r="K52" s="1516"/>
      <c r="L52" s="1517" t="s">
        <v>116</v>
      </c>
      <c r="M52" s="1517" t="s">
        <v>1393</v>
      </c>
      <c r="N52" s="1689" t="s">
        <v>116</v>
      </c>
      <c r="O52" s="1645"/>
      <c r="P52" s="245" t="b">
        <f t="shared" si="3"/>
        <v>0</v>
      </c>
      <c r="R52" s="245" t="b">
        <f t="shared" si="1"/>
        <v>1</v>
      </c>
      <c r="AO52" s="238" t="str">
        <f t="shared" si="2"/>
        <v>SG77</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7</v>
      </c>
      <c r="H53" s="1516">
        <v>9</v>
      </c>
      <c r="I53" s="1514"/>
      <c r="J53" s="1515"/>
      <c r="K53" s="1516"/>
      <c r="L53" s="1517" t="s">
        <v>703</v>
      </c>
      <c r="M53" s="1517" t="s">
        <v>1393</v>
      </c>
      <c r="N53" s="1689" t="s">
        <v>116</v>
      </c>
      <c r="O53" s="1645"/>
      <c r="P53" s="245" t="b">
        <f t="shared" si="3"/>
        <v>0</v>
      </c>
      <c r="R53" s="245" t="b">
        <f t="shared" si="1"/>
        <v>0</v>
      </c>
      <c r="AO53" s="238" t="str">
        <f t="shared" si="2"/>
        <v>SG77</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15</v>
      </c>
      <c r="H54" s="1516">
        <v>9</v>
      </c>
      <c r="I54" s="1514"/>
      <c r="J54" s="1515"/>
      <c r="K54" s="1516"/>
      <c r="L54" s="1517" t="s">
        <v>703</v>
      </c>
      <c r="M54" s="1517" t="s">
        <v>1393</v>
      </c>
      <c r="N54" s="1689" t="s">
        <v>116</v>
      </c>
      <c r="O54" s="1645"/>
      <c r="P54" s="245" t="b">
        <f t="shared" si="3"/>
        <v>0</v>
      </c>
      <c r="R54" s="245" t="b">
        <f t="shared" si="1"/>
        <v>0</v>
      </c>
      <c r="AO54" s="238" t="str">
        <f t="shared" si="2"/>
        <v>SG77</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23</v>
      </c>
      <c r="H55" s="1525">
        <v>9</v>
      </c>
      <c r="I55" s="1523"/>
      <c r="J55" s="1524"/>
      <c r="K55" s="1525"/>
      <c r="L55" s="1526" t="s">
        <v>703</v>
      </c>
      <c r="M55" s="1526" t="s">
        <v>1393</v>
      </c>
      <c r="N55" s="1690"/>
      <c r="O55" s="1645"/>
      <c r="P55" s="245" t="b">
        <f t="shared" si="3"/>
        <v>0</v>
      </c>
      <c r="R55" s="245" t="b">
        <f t="shared" si="1"/>
        <v>0</v>
      </c>
      <c r="AO55" s="238" t="str">
        <f t="shared" si="2"/>
        <v>SG77</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4" stopIfTrue="1">
      <formula>AND($B14="NU",F14&lt;0)</formula>
    </cfRule>
  </conditionalFormatting>
  <conditionalFormatting sqref="B14:B55">
    <cfRule type="expression" dxfId="58" priority="5" stopIfTrue="1">
      <formula>OR(AND($B14="NU",F14&lt;0),AND($B14="NU",I14&lt;0))</formula>
    </cfRule>
  </conditionalFormatting>
  <conditionalFormatting sqref="G14:H55 J14:L55">
    <cfRule type="expression" dxfId="57" priority="6" stopIfTrue="1">
      <formula>$R14</formula>
    </cfRule>
  </conditionalFormatting>
  <conditionalFormatting sqref="I2:K4">
    <cfRule type="cellIs" dxfId="56" priority="7" stopIfTrue="1" operator="equal">
      <formula>""</formula>
    </cfRule>
  </conditionalFormatting>
  <conditionalFormatting sqref="I14:I55">
    <cfRule type="expression" dxfId="55" priority="8" stopIfTrue="1">
      <formula>OR($R14,$B14="CZ",AND($B14="NU",I14&lt;0))</formula>
    </cfRule>
  </conditionalFormatting>
  <conditionalFormatting sqref="A14:A55">
    <cfRule type="expression" dxfId="54" priority="3">
      <formula>NOT($P14)</formula>
    </cfRule>
  </conditionalFormatting>
  <conditionalFormatting sqref="B14:D55">
    <cfRule type="expression" dxfId="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 priority="9">
      <formula>AND(NOT($P14),$T$1)</formula>
    </cfRule>
    <cfRule type="expression" dxfId="51" priority="10">
      <formula>AND($AP14,$S$1="M")</formula>
    </cfRule>
  </conditionalFormatting>
  <conditionalFormatting sqref="L14:L55">
    <cfRule type="expression" dxfId="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7F4113D-8987-4770-BF19-B524DEF096BE}">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DE5731F-A7C6-4C17-9CA8-703F8E357A42}">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777DB497-C1F7-427F-8A10-2F371A6FFF7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359410AF-18A4-4EB3-811E-0F61D8524BC0}">
      <formula1>IF($CA$14,$CA$16:$CA$21,$CB$16:$CB$19)</formula1>
    </dataValidation>
    <dataValidation type="list" allowBlank="1" showErrorMessage="1" errorTitle="Invalid Type" error="You MUST select a Type from the dropdown list provided._x000a__x000a_Also, make sure your Cap Lock is turned on." sqref="B14:B55" xr:uid="{5CD3FC62-DBBE-48D3-BCFD-D5C7C7F9A141}">
      <formula1>$BF$15:$BU$15</formula1>
    </dataValidation>
    <dataValidation allowBlank="1" showInputMessage="1" errorTitle="Invalid Load Case" error="You MUST use a Load Case from the list provided." sqref="M14:M55" xr:uid="{535FB1C9-1C13-4453-969D-569A05DC396D}"/>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C8A76-6C0F-482B-90D3-609A05C40C84}">
  <sheetPr codeName="Sheet6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7000</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7</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15</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23</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167</v>
      </c>
      <c r="D20" s="1512" t="s">
        <v>145</v>
      </c>
      <c r="E20" s="1513"/>
      <c r="F20" s="1514">
        <v>532</v>
      </c>
      <c r="G20" s="1515">
        <v>31</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39</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47</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t="s">
        <v>2029</v>
      </c>
      <c r="B23" s="1512" t="s">
        <v>155</v>
      </c>
      <c r="C23" s="1512" t="s">
        <v>165</v>
      </c>
      <c r="D23" s="1512" t="s">
        <v>145</v>
      </c>
      <c r="E23" s="1513"/>
      <c r="F23" s="1514">
        <v>250</v>
      </c>
      <c r="G23" s="1515"/>
      <c r="H23" s="1516"/>
      <c r="I23" s="1514"/>
      <c r="J23" s="1515"/>
      <c r="K23" s="1516"/>
      <c r="L23" s="1517" t="s">
        <v>116</v>
      </c>
      <c r="M23" s="1518" t="s">
        <v>1393</v>
      </c>
      <c r="N23" s="1519"/>
      <c r="O23" s="1646"/>
      <c r="P23" s="245" t="b">
        <f t="shared" si="3"/>
        <v>0</v>
      </c>
      <c r="R23" s="245" t="b">
        <f t="shared" si="1"/>
        <v>1</v>
      </c>
      <c r="AO23" s="238" t="str">
        <f t="shared" si="2"/>
        <v>SG78</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155</v>
      </c>
      <c r="C24" s="1512" t="s">
        <v>165</v>
      </c>
      <c r="D24" s="1512" t="s">
        <v>159</v>
      </c>
      <c r="E24" s="1513"/>
      <c r="F24" s="1514">
        <v>250</v>
      </c>
      <c r="G24" s="1515"/>
      <c r="H24" s="1516"/>
      <c r="I24" s="1514"/>
      <c r="J24" s="1515"/>
      <c r="K24" s="1516"/>
      <c r="L24" s="1517" t="s">
        <v>116</v>
      </c>
      <c r="M24" s="1518" t="s">
        <v>1393</v>
      </c>
      <c r="N24" s="1519"/>
      <c r="O24" s="1646"/>
      <c r="P24" s="245" t="b">
        <f t="shared" si="3"/>
        <v>0</v>
      </c>
      <c r="R24" s="245" t="b">
        <f t="shared" si="1"/>
        <v>1</v>
      </c>
      <c r="AO24" s="238" t="str">
        <f t="shared" si="2"/>
        <v>SG78</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154</v>
      </c>
      <c r="C25" s="1512" t="s">
        <v>165</v>
      </c>
      <c r="D25" s="1512" t="s">
        <v>145</v>
      </c>
      <c r="E25" s="1513"/>
      <c r="F25" s="1514">
        <v>1500</v>
      </c>
      <c r="G25" s="1515"/>
      <c r="H25" s="1516"/>
      <c r="I25" s="1514"/>
      <c r="J25" s="1515"/>
      <c r="K25" s="1516"/>
      <c r="L25" s="1517" t="s">
        <v>116</v>
      </c>
      <c r="M25" s="1518" t="s">
        <v>1393</v>
      </c>
      <c r="N25" s="1519"/>
      <c r="O25" s="1646"/>
      <c r="P25" s="245" t="b">
        <f t="shared" si="3"/>
        <v>0</v>
      </c>
      <c r="R25" s="245" t="b">
        <f t="shared" si="1"/>
        <v>1</v>
      </c>
      <c r="AO25" s="238" t="str">
        <f t="shared" si="2"/>
        <v>SG78</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2220</v>
      </c>
      <c r="G26" s="1515">
        <v>16</v>
      </c>
      <c r="H26" s="1516">
        <v>0</v>
      </c>
      <c r="I26" s="1514">
        <v>2220</v>
      </c>
      <c r="J26" s="1515">
        <v>40</v>
      </c>
      <c r="K26" s="1516">
        <v>0</v>
      </c>
      <c r="L26" s="1517" t="s">
        <v>700</v>
      </c>
      <c r="M26" s="1518" t="s">
        <v>1393</v>
      </c>
      <c r="N26" s="1519"/>
      <c r="O26" s="1646"/>
      <c r="P26" s="245" t="b">
        <f t="shared" si="3"/>
        <v>0</v>
      </c>
      <c r="R26" s="245" t="b">
        <f t="shared" si="1"/>
        <v>0</v>
      </c>
      <c r="AO26" s="238" t="str">
        <f t="shared" si="2"/>
        <v>SG78</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7</v>
      </c>
      <c r="H27" s="1516">
        <v>9</v>
      </c>
      <c r="I27" s="1514"/>
      <c r="J27" s="1515"/>
      <c r="K27" s="1516"/>
      <c r="L27" s="1517" t="s">
        <v>703</v>
      </c>
      <c r="M27" s="1518" t="s">
        <v>1393</v>
      </c>
      <c r="N27" s="1519"/>
      <c r="O27" s="1646"/>
      <c r="P27" s="245" t="b">
        <f t="shared" si="3"/>
        <v>0</v>
      </c>
      <c r="R27" s="245" t="b">
        <f t="shared" si="1"/>
        <v>0</v>
      </c>
      <c r="AO27" s="238" t="str">
        <f t="shared" si="2"/>
        <v>SG78</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15</v>
      </c>
      <c r="H28" s="1516">
        <v>9</v>
      </c>
      <c r="I28" s="1514"/>
      <c r="J28" s="1515"/>
      <c r="K28" s="1516"/>
      <c r="L28" s="1517" t="s">
        <v>703</v>
      </c>
      <c r="M28" s="1518" t="s">
        <v>1393</v>
      </c>
      <c r="N28" s="1689"/>
      <c r="O28" s="1645"/>
      <c r="P28" s="245" t="b">
        <f t="shared" si="3"/>
        <v>0</v>
      </c>
      <c r="R28" s="245" t="b">
        <f t="shared" si="1"/>
        <v>0</v>
      </c>
      <c r="AO28" s="238" t="str">
        <f t="shared" si="2"/>
        <v>SG78</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23</v>
      </c>
      <c r="H29" s="1516">
        <v>9</v>
      </c>
      <c r="I29" s="1514"/>
      <c r="J29" s="1515"/>
      <c r="K29" s="1516"/>
      <c r="L29" s="1517" t="s">
        <v>703</v>
      </c>
      <c r="M29" s="1518" t="s">
        <v>1393</v>
      </c>
      <c r="N29" s="1689"/>
      <c r="O29" s="1645"/>
      <c r="P29" s="245" t="b">
        <f t="shared" si="3"/>
        <v>0</v>
      </c>
      <c r="R29" s="245" t="b">
        <f t="shared" si="1"/>
        <v>0</v>
      </c>
      <c r="AO29" s="238" t="str">
        <f t="shared" si="2"/>
        <v>SG78</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31</v>
      </c>
      <c r="H30" s="1516">
        <v>9</v>
      </c>
      <c r="I30" s="1514"/>
      <c r="J30" s="1515"/>
      <c r="K30" s="1516"/>
      <c r="L30" s="1517" t="s">
        <v>703</v>
      </c>
      <c r="M30" s="1518" t="s">
        <v>1393</v>
      </c>
      <c r="N30" s="1689" t="s">
        <v>116</v>
      </c>
      <c r="O30" s="1645"/>
      <c r="P30" s="245" t="b">
        <f t="shared" si="3"/>
        <v>0</v>
      </c>
      <c r="R30" s="245" t="b">
        <f t="shared" si="1"/>
        <v>0</v>
      </c>
      <c r="AO30" s="238" t="str">
        <f t="shared" si="2"/>
        <v>SG78</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39</v>
      </c>
      <c r="H31" s="1516">
        <v>9</v>
      </c>
      <c r="I31" s="1514"/>
      <c r="J31" s="1515"/>
      <c r="K31" s="1516"/>
      <c r="L31" s="1517" t="s">
        <v>703</v>
      </c>
      <c r="M31" s="1517" t="s">
        <v>1393</v>
      </c>
      <c r="N31" s="1689" t="s">
        <v>116</v>
      </c>
      <c r="O31" s="1645"/>
      <c r="P31" s="245" t="b">
        <f t="shared" si="3"/>
        <v>0</v>
      </c>
      <c r="R31" s="245" t="b">
        <f t="shared" si="1"/>
        <v>0</v>
      </c>
      <c r="AO31" s="238" t="str">
        <f t="shared" si="2"/>
        <v>SG78</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47</v>
      </c>
      <c r="H32" s="1516">
        <v>9</v>
      </c>
      <c r="I32" s="1514"/>
      <c r="J32" s="1515"/>
      <c r="K32" s="1516"/>
      <c r="L32" s="1517" t="s">
        <v>703</v>
      </c>
      <c r="M32" s="1517" t="s">
        <v>1393</v>
      </c>
      <c r="N32" s="1689" t="s">
        <v>116</v>
      </c>
      <c r="O32" s="1645"/>
      <c r="P32" s="245" t="b">
        <f t="shared" si="3"/>
        <v>0</v>
      </c>
      <c r="R32" s="245" t="b">
        <f t="shared" si="1"/>
        <v>0</v>
      </c>
      <c r="AO32" s="238" t="str">
        <f t="shared" si="2"/>
        <v>SG78</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7</v>
      </c>
      <c r="H33" s="1516">
        <v>9</v>
      </c>
      <c r="I33" s="1514"/>
      <c r="J33" s="1515"/>
      <c r="K33" s="1516"/>
      <c r="L33" s="1517" t="s">
        <v>703</v>
      </c>
      <c r="M33" s="1517" t="s">
        <v>1393</v>
      </c>
      <c r="N33" s="1689" t="s">
        <v>116</v>
      </c>
      <c r="O33" s="1645"/>
      <c r="P33" s="245" t="b">
        <f t="shared" si="3"/>
        <v>0</v>
      </c>
      <c r="R33" s="245" t="b">
        <f t="shared" si="1"/>
        <v>0</v>
      </c>
      <c r="AO33" s="238" t="str">
        <f t="shared" si="2"/>
        <v>SG78</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15</v>
      </c>
      <c r="H34" s="1516">
        <v>9</v>
      </c>
      <c r="I34" s="1514"/>
      <c r="J34" s="1515"/>
      <c r="K34" s="1516"/>
      <c r="L34" s="1517" t="s">
        <v>703</v>
      </c>
      <c r="M34" s="1517" t="s">
        <v>1393</v>
      </c>
      <c r="N34" s="1689" t="s">
        <v>116</v>
      </c>
      <c r="O34" s="1645"/>
      <c r="P34" s="245" t="b">
        <f t="shared" si="3"/>
        <v>0</v>
      </c>
      <c r="R34" s="245" t="b">
        <f t="shared" si="1"/>
        <v>0</v>
      </c>
      <c r="AO34" s="238" t="str">
        <f t="shared" si="2"/>
        <v>SG78</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23</v>
      </c>
      <c r="H35" s="1516">
        <v>9</v>
      </c>
      <c r="I35" s="1514"/>
      <c r="J35" s="1515"/>
      <c r="K35" s="1516"/>
      <c r="L35" s="1517" t="s">
        <v>703</v>
      </c>
      <c r="M35" s="1517" t="s">
        <v>1393</v>
      </c>
      <c r="N35" s="1689" t="s">
        <v>116</v>
      </c>
      <c r="O35" s="1645"/>
      <c r="P35" s="245" t="b">
        <f t="shared" si="3"/>
        <v>0</v>
      </c>
      <c r="R35" s="245" t="b">
        <f t="shared" si="1"/>
        <v>0</v>
      </c>
      <c r="AO35" s="238" t="str">
        <f t="shared" si="2"/>
        <v>SG78</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31</v>
      </c>
      <c r="H36" s="1516">
        <v>9</v>
      </c>
      <c r="I36" s="1514"/>
      <c r="J36" s="1515"/>
      <c r="K36" s="1516"/>
      <c r="L36" s="1517" t="s">
        <v>703</v>
      </c>
      <c r="M36" s="1517" t="s">
        <v>1393</v>
      </c>
      <c r="N36" s="1689" t="s">
        <v>116</v>
      </c>
      <c r="O36" s="1645"/>
      <c r="P36" s="245" t="b">
        <f t="shared" si="3"/>
        <v>0</v>
      </c>
      <c r="R36" s="245" t="b">
        <f t="shared" si="1"/>
        <v>0</v>
      </c>
      <c r="AO36" s="238" t="str">
        <f t="shared" si="2"/>
        <v>SG78</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39</v>
      </c>
      <c r="H37" s="1516">
        <v>9</v>
      </c>
      <c r="I37" s="1514"/>
      <c r="J37" s="1515"/>
      <c r="K37" s="1516"/>
      <c r="L37" s="1517" t="s">
        <v>703</v>
      </c>
      <c r="M37" s="1517" t="s">
        <v>1393</v>
      </c>
      <c r="N37" s="1689" t="s">
        <v>116</v>
      </c>
      <c r="O37" s="1645"/>
      <c r="P37" s="245" t="b">
        <f t="shared" si="3"/>
        <v>0</v>
      </c>
      <c r="R37" s="245" t="b">
        <f t="shared" si="1"/>
        <v>0</v>
      </c>
      <c r="AO37" s="238" t="str">
        <f t="shared" si="2"/>
        <v>SG78</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47</v>
      </c>
      <c r="H38" s="1516">
        <v>9</v>
      </c>
      <c r="I38" s="1514"/>
      <c r="J38" s="1515"/>
      <c r="K38" s="1516"/>
      <c r="L38" s="1517" t="s">
        <v>703</v>
      </c>
      <c r="M38" s="1517" t="s">
        <v>1393</v>
      </c>
      <c r="N38" s="1689" t="s">
        <v>116</v>
      </c>
      <c r="O38" s="1645"/>
      <c r="P38" s="245" t="b">
        <f t="shared" si="3"/>
        <v>0</v>
      </c>
      <c r="R38" s="245" t="b">
        <f t="shared" si="1"/>
        <v>0</v>
      </c>
      <c r="AO38" s="238" t="str">
        <f t="shared" si="2"/>
        <v>SG78</v>
      </c>
      <c r="AP38" s="945" t="b">
        <v>0</v>
      </c>
      <c r="AQ38" s="1323"/>
      <c r="AR38" s="1324"/>
      <c r="AS38" s="1324"/>
      <c r="AT38" s="1324"/>
      <c r="AU38" s="1324"/>
      <c r="AV38" s="1324"/>
      <c r="AW38" s="1324"/>
      <c r="AX38" s="1324"/>
      <c r="AY38" s="1324"/>
      <c r="AZ38" s="1324"/>
      <c r="BA38" s="1533"/>
      <c r="BB38" s="1533"/>
      <c r="BC38" s="1534"/>
    </row>
    <row r="39" spans="1:55" ht="14.1" customHeight="1" x14ac:dyDescent="0.2">
      <c r="A39" s="1511" t="s">
        <v>2030</v>
      </c>
      <c r="B39" s="1512" t="s">
        <v>155</v>
      </c>
      <c r="C39" s="1512" t="s">
        <v>165</v>
      </c>
      <c r="D39" s="1512" t="s">
        <v>145</v>
      </c>
      <c r="E39" s="1513"/>
      <c r="F39" s="1514">
        <v>250</v>
      </c>
      <c r="G39" s="1515"/>
      <c r="H39" s="1516"/>
      <c r="I39" s="1514"/>
      <c r="J39" s="1515"/>
      <c r="K39" s="1516"/>
      <c r="L39" s="1517" t="s">
        <v>116</v>
      </c>
      <c r="M39" s="1517" t="s">
        <v>1393</v>
      </c>
      <c r="N39" s="1689" t="s">
        <v>116</v>
      </c>
      <c r="O39" s="1645"/>
      <c r="P39" s="245" t="b">
        <f t="shared" si="3"/>
        <v>0</v>
      </c>
      <c r="R39" s="245" t="b">
        <f t="shared" si="1"/>
        <v>1</v>
      </c>
      <c r="AO39" s="238" t="str">
        <f t="shared" si="2"/>
        <v>SG79</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155</v>
      </c>
      <c r="C40" s="1512" t="s">
        <v>165</v>
      </c>
      <c r="D40" s="1512" t="s">
        <v>159</v>
      </c>
      <c r="E40" s="1513"/>
      <c r="F40" s="1514">
        <v>250</v>
      </c>
      <c r="G40" s="1515"/>
      <c r="H40" s="1516"/>
      <c r="I40" s="1514"/>
      <c r="J40" s="1515"/>
      <c r="K40" s="1516"/>
      <c r="L40" s="1517" t="s">
        <v>116</v>
      </c>
      <c r="M40" s="1517" t="s">
        <v>1393</v>
      </c>
      <c r="N40" s="1689" t="s">
        <v>116</v>
      </c>
      <c r="O40" s="1645"/>
      <c r="P40" s="245" t="b">
        <f t="shared" si="3"/>
        <v>0</v>
      </c>
      <c r="R40" s="245" t="b">
        <f t="shared" si="1"/>
        <v>1</v>
      </c>
      <c r="AO40" s="238" t="str">
        <f t="shared" si="2"/>
        <v>SG79</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154</v>
      </c>
      <c r="C41" s="1512" t="s">
        <v>165</v>
      </c>
      <c r="D41" s="1512" t="s">
        <v>145</v>
      </c>
      <c r="E41" s="1513"/>
      <c r="F41" s="1514">
        <v>1500</v>
      </c>
      <c r="G41" s="1515"/>
      <c r="H41" s="1516"/>
      <c r="I41" s="1514"/>
      <c r="J41" s="1515"/>
      <c r="K41" s="1516"/>
      <c r="L41" s="1517" t="s">
        <v>116</v>
      </c>
      <c r="M41" s="1517" t="s">
        <v>1393</v>
      </c>
      <c r="N41" s="1689" t="s">
        <v>116</v>
      </c>
      <c r="O41" s="1645"/>
      <c r="P41" s="245" t="b">
        <f t="shared" si="3"/>
        <v>0</v>
      </c>
      <c r="R41" s="245" t="b">
        <f t="shared" si="1"/>
        <v>1</v>
      </c>
      <c r="AO41" s="238" t="str">
        <f t="shared" si="2"/>
        <v>SG79</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720</v>
      </c>
      <c r="G42" s="1515">
        <v>8</v>
      </c>
      <c r="H42" s="1516">
        <v>0</v>
      </c>
      <c r="I42" s="1514">
        <v>2220</v>
      </c>
      <c r="J42" s="1515">
        <v>40</v>
      </c>
      <c r="K42" s="1516">
        <v>0</v>
      </c>
      <c r="L42" s="1517" t="s">
        <v>700</v>
      </c>
      <c r="M42" s="1517" t="s">
        <v>1393</v>
      </c>
      <c r="N42" s="1689" t="s">
        <v>116</v>
      </c>
      <c r="O42" s="1645"/>
      <c r="P42" s="245" t="b">
        <f t="shared" si="3"/>
        <v>0</v>
      </c>
      <c r="R42" s="245" t="b">
        <f t="shared" si="1"/>
        <v>0</v>
      </c>
      <c r="AO42" s="238" t="str">
        <f t="shared" si="2"/>
        <v>SG79</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2220</v>
      </c>
      <c r="G43" s="1515">
        <v>48</v>
      </c>
      <c r="H43" s="1516">
        <v>0</v>
      </c>
      <c r="I43" s="1514"/>
      <c r="J43" s="1515"/>
      <c r="K43" s="1516"/>
      <c r="L43" s="1517" t="s">
        <v>700</v>
      </c>
      <c r="M43" s="1517" t="s">
        <v>1393</v>
      </c>
      <c r="N43" s="1689" t="s">
        <v>116</v>
      </c>
      <c r="O43" s="1645"/>
      <c r="P43" s="245" t="b">
        <f t="shared" si="3"/>
        <v>0</v>
      </c>
      <c r="R43" s="245" t="b">
        <f t="shared" si="1"/>
        <v>0</v>
      </c>
      <c r="AO43" s="238" t="str">
        <f t="shared" si="2"/>
        <v>SG79</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7</v>
      </c>
      <c r="H44" s="1516">
        <v>9</v>
      </c>
      <c r="I44" s="1514"/>
      <c r="J44" s="1515"/>
      <c r="K44" s="1516"/>
      <c r="L44" s="1517" t="s">
        <v>703</v>
      </c>
      <c r="M44" s="1517" t="s">
        <v>1393</v>
      </c>
      <c r="N44" s="1689" t="s">
        <v>116</v>
      </c>
      <c r="O44" s="1645"/>
      <c r="P44" s="245" t="b">
        <f t="shared" si="3"/>
        <v>0</v>
      </c>
      <c r="R44" s="245" t="b">
        <f t="shared" si="1"/>
        <v>0</v>
      </c>
      <c r="AO44" s="238" t="str">
        <f t="shared" si="2"/>
        <v>SG79</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15</v>
      </c>
      <c r="H45" s="1516">
        <v>9</v>
      </c>
      <c r="I45" s="1514"/>
      <c r="J45" s="1515"/>
      <c r="K45" s="1516"/>
      <c r="L45" s="1517" t="s">
        <v>703</v>
      </c>
      <c r="M45" s="1517" t="s">
        <v>1393</v>
      </c>
      <c r="N45" s="1689" t="s">
        <v>116</v>
      </c>
      <c r="O45" s="1645"/>
      <c r="P45" s="245" t="b">
        <f t="shared" si="3"/>
        <v>0</v>
      </c>
      <c r="R45" s="245" t="b">
        <f t="shared" si="1"/>
        <v>0</v>
      </c>
      <c r="AO45" s="238" t="str">
        <f t="shared" si="2"/>
        <v>SG79</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7000</v>
      </c>
      <c r="G46" s="1515">
        <v>23</v>
      </c>
      <c r="H46" s="1516">
        <v>9</v>
      </c>
      <c r="I46" s="1514"/>
      <c r="J46" s="1515"/>
      <c r="K46" s="1516"/>
      <c r="L46" s="1517" t="s">
        <v>703</v>
      </c>
      <c r="M46" s="1517" t="s">
        <v>1393</v>
      </c>
      <c r="N46" s="1689" t="s">
        <v>116</v>
      </c>
      <c r="O46" s="1645"/>
      <c r="P46" s="245" t="b">
        <f t="shared" si="3"/>
        <v>0</v>
      </c>
      <c r="R46" s="245" t="b">
        <f t="shared" si="1"/>
        <v>0</v>
      </c>
      <c r="AO46" s="238" t="str">
        <f t="shared" si="2"/>
        <v>SG79</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31</v>
      </c>
      <c r="H47" s="1516">
        <v>9</v>
      </c>
      <c r="I47" s="1514"/>
      <c r="J47" s="1515"/>
      <c r="K47" s="1516"/>
      <c r="L47" s="1517" t="s">
        <v>703</v>
      </c>
      <c r="M47" s="1517" t="s">
        <v>1393</v>
      </c>
      <c r="N47" s="1689" t="s">
        <v>116</v>
      </c>
      <c r="O47" s="1645"/>
      <c r="P47" s="245" t="b">
        <f t="shared" si="3"/>
        <v>0</v>
      </c>
      <c r="R47" s="245" t="b">
        <f t="shared" si="1"/>
        <v>0</v>
      </c>
      <c r="AO47" s="238" t="str">
        <f t="shared" si="2"/>
        <v>SG79</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39</v>
      </c>
      <c r="H48" s="1516">
        <v>9</v>
      </c>
      <c r="I48" s="1514"/>
      <c r="J48" s="1515"/>
      <c r="K48" s="1516"/>
      <c r="L48" s="1517" t="s">
        <v>703</v>
      </c>
      <c r="M48" s="1517" t="s">
        <v>1393</v>
      </c>
      <c r="N48" s="1689" t="s">
        <v>116</v>
      </c>
      <c r="O48" s="1645"/>
      <c r="P48" s="245" t="b">
        <f t="shared" si="3"/>
        <v>0</v>
      </c>
      <c r="R48" s="245" t="b">
        <f t="shared" si="1"/>
        <v>0</v>
      </c>
      <c r="AO48" s="238" t="str">
        <f t="shared" si="2"/>
        <v>SG79</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47</v>
      </c>
      <c r="H49" s="1516">
        <v>9</v>
      </c>
      <c r="I49" s="1514"/>
      <c r="J49" s="1515"/>
      <c r="K49" s="1516"/>
      <c r="L49" s="1517" t="s">
        <v>703</v>
      </c>
      <c r="M49" s="1517" t="s">
        <v>1393</v>
      </c>
      <c r="N49" s="1689" t="s">
        <v>116</v>
      </c>
      <c r="O49" s="1645"/>
      <c r="P49" s="245" t="b">
        <f t="shared" si="3"/>
        <v>0</v>
      </c>
      <c r="R49" s="245" t="b">
        <f t="shared" si="1"/>
        <v>0</v>
      </c>
      <c r="AO49" s="238" t="str">
        <f t="shared" si="2"/>
        <v>SG79</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7</v>
      </c>
      <c r="H50" s="1516">
        <v>9</v>
      </c>
      <c r="I50" s="1514"/>
      <c r="J50" s="1515"/>
      <c r="K50" s="1516"/>
      <c r="L50" s="1517" t="s">
        <v>703</v>
      </c>
      <c r="M50" s="1517" t="s">
        <v>1393</v>
      </c>
      <c r="N50" s="1689" t="s">
        <v>116</v>
      </c>
      <c r="O50" s="1645"/>
      <c r="P50" s="245" t="b">
        <f t="shared" si="3"/>
        <v>0</v>
      </c>
      <c r="R50" s="245" t="b">
        <f t="shared" si="1"/>
        <v>0</v>
      </c>
      <c r="AO50" s="238" t="str">
        <f t="shared" si="2"/>
        <v>SG79</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15</v>
      </c>
      <c r="H51" s="1516">
        <v>9</v>
      </c>
      <c r="I51" s="1514"/>
      <c r="J51" s="1515"/>
      <c r="K51" s="1516"/>
      <c r="L51" s="1517" t="s">
        <v>703</v>
      </c>
      <c r="M51" s="1517" t="s">
        <v>1393</v>
      </c>
      <c r="N51" s="1689" t="s">
        <v>116</v>
      </c>
      <c r="O51" s="1645"/>
      <c r="P51" s="245" t="b">
        <f t="shared" si="3"/>
        <v>0</v>
      </c>
      <c r="R51" s="245" t="b">
        <f t="shared" si="1"/>
        <v>0</v>
      </c>
      <c r="AO51" s="238" t="str">
        <f t="shared" si="2"/>
        <v>SG79</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532</v>
      </c>
      <c r="G52" s="1515">
        <v>23</v>
      </c>
      <c r="H52" s="1516">
        <v>9</v>
      </c>
      <c r="I52" s="1514"/>
      <c r="J52" s="1515"/>
      <c r="K52" s="1516"/>
      <c r="L52" s="1517" t="s">
        <v>703</v>
      </c>
      <c r="M52" s="1517" t="s">
        <v>1393</v>
      </c>
      <c r="N52" s="1689" t="s">
        <v>116</v>
      </c>
      <c r="O52" s="1645"/>
      <c r="P52" s="245" t="b">
        <f t="shared" si="3"/>
        <v>0</v>
      </c>
      <c r="R52" s="245" t="b">
        <f t="shared" si="1"/>
        <v>0</v>
      </c>
      <c r="AO52" s="238" t="str">
        <f t="shared" si="2"/>
        <v>SG79</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31</v>
      </c>
      <c r="H53" s="1516">
        <v>9</v>
      </c>
      <c r="I53" s="1514"/>
      <c r="J53" s="1515"/>
      <c r="K53" s="1516"/>
      <c r="L53" s="1517" t="s">
        <v>703</v>
      </c>
      <c r="M53" s="1517" t="s">
        <v>1393</v>
      </c>
      <c r="N53" s="1689" t="s">
        <v>116</v>
      </c>
      <c r="O53" s="1645"/>
      <c r="P53" s="245" t="b">
        <f t="shared" si="3"/>
        <v>0</v>
      </c>
      <c r="R53" s="245" t="b">
        <f t="shared" si="1"/>
        <v>0</v>
      </c>
      <c r="AO53" s="238" t="str">
        <f t="shared" si="2"/>
        <v>SG79</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39</v>
      </c>
      <c r="H54" s="1516">
        <v>9</v>
      </c>
      <c r="I54" s="1514"/>
      <c r="J54" s="1515"/>
      <c r="K54" s="1516"/>
      <c r="L54" s="1517" t="s">
        <v>703</v>
      </c>
      <c r="M54" s="1517" t="s">
        <v>1393</v>
      </c>
      <c r="N54" s="1689" t="s">
        <v>116</v>
      </c>
      <c r="O54" s="1645"/>
      <c r="P54" s="245" t="b">
        <f t="shared" si="3"/>
        <v>0</v>
      </c>
      <c r="R54" s="245" t="b">
        <f t="shared" si="1"/>
        <v>0</v>
      </c>
      <c r="AO54" s="238" t="str">
        <f t="shared" si="2"/>
        <v>SG79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47</v>
      </c>
      <c r="H55" s="1525">
        <v>9</v>
      </c>
      <c r="I55" s="1523"/>
      <c r="J55" s="1524"/>
      <c r="K55" s="1525"/>
      <c r="L55" s="1526" t="s">
        <v>703</v>
      </c>
      <c r="M55" s="1526" t="s">
        <v>1393</v>
      </c>
      <c r="N55" s="1690"/>
      <c r="O55" s="1645"/>
      <c r="P55" s="245" t="b">
        <f t="shared" si="3"/>
        <v>0</v>
      </c>
      <c r="R55" s="245" t="b">
        <f t="shared" si="1"/>
        <v>0</v>
      </c>
      <c r="AO55" s="238" t="str">
        <f t="shared" si="2"/>
        <v>SG79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9" priority="4" stopIfTrue="1">
      <formula>AND($B14="NU",F14&lt;0)</formula>
    </cfRule>
  </conditionalFormatting>
  <conditionalFormatting sqref="B14:B55">
    <cfRule type="expression" dxfId="48" priority="5" stopIfTrue="1">
      <formula>OR(AND($B14="NU",F14&lt;0),AND($B14="NU",I14&lt;0))</formula>
    </cfRule>
  </conditionalFormatting>
  <conditionalFormatting sqref="G14:H55 J14:L55">
    <cfRule type="expression" dxfId="47" priority="6" stopIfTrue="1">
      <formula>$R14</formula>
    </cfRule>
  </conditionalFormatting>
  <conditionalFormatting sqref="I2:K4">
    <cfRule type="cellIs" dxfId="46" priority="7" stopIfTrue="1" operator="equal">
      <formula>""</formula>
    </cfRule>
  </conditionalFormatting>
  <conditionalFormatting sqref="I14:I55">
    <cfRule type="expression" dxfId="45" priority="8" stopIfTrue="1">
      <formula>OR($R14,$B14="CZ",AND($B14="NU",I14&lt;0))</formula>
    </cfRule>
  </conditionalFormatting>
  <conditionalFormatting sqref="A14:A55">
    <cfRule type="expression" dxfId="44" priority="3">
      <formula>NOT($P14)</formula>
    </cfRule>
  </conditionalFormatting>
  <conditionalFormatting sqref="B14:D55">
    <cfRule type="expression" dxfId="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2" priority="9">
      <formula>AND(NOT($P14),$T$1)</formula>
    </cfRule>
    <cfRule type="expression" dxfId="41" priority="10">
      <formula>AND($AP14,$S$1="M")</formula>
    </cfRule>
  </conditionalFormatting>
  <conditionalFormatting sqref="L14:L55">
    <cfRule type="expression" dxfId="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25298DD9-AE55-49A8-ACDF-571046C6FC7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D072520-BFC0-414F-AB9E-5730F8477BEB}">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8C74704-DE0C-4486-BD0D-E0A07EA999D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DB69E063-2E57-473B-8E40-1A3698135898}">
      <formula1>IF($CA$14,$CA$16:$CA$21,$CB$16:$CB$19)</formula1>
    </dataValidation>
    <dataValidation type="list" allowBlank="1" showErrorMessage="1" errorTitle="Invalid Type" error="You MUST select a Type from the dropdown list provided._x000a__x000a_Also, make sure your Cap Lock is turned on." sqref="B14:B55" xr:uid="{72481029-34D8-4EB9-AC2B-E00EED828609}">
      <formula1>$BF$15:$BU$15</formula1>
    </dataValidation>
    <dataValidation allowBlank="1" showInputMessage="1" errorTitle="Invalid Load Case" error="You MUST use a Load Case from the list provided." sqref="M14:M55" xr:uid="{D29A808E-B67C-4B81-87C0-C963449F9C7C}"/>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FD2B8-BC51-4FCB-88CF-D470672FE984}">
  <sheetPr codeName="Sheet7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t="s">
        <v>2031</v>
      </c>
      <c r="B14" s="1505" t="s">
        <v>155</v>
      </c>
      <c r="C14" s="1505" t="s">
        <v>165</v>
      </c>
      <c r="D14" s="1505" t="s">
        <v>145</v>
      </c>
      <c r="E14" s="1688"/>
      <c r="F14" s="1506">
        <v>250</v>
      </c>
      <c r="G14" s="1507"/>
      <c r="H14" s="1508"/>
      <c r="I14" s="1506"/>
      <c r="J14" s="1507"/>
      <c r="K14" s="1508"/>
      <c r="L14" s="1509" t="s">
        <v>116</v>
      </c>
      <c r="M14" s="1510" t="s">
        <v>1393</v>
      </c>
      <c r="N14" s="1691"/>
      <c r="O14" s="1645"/>
      <c r="P14" s="245" t="b">
        <f t="shared" ref="P14:P16" si="0">IF(ISERROR(VLOOKUP(AO14,BE:BE,1,FALSE)),FALSE,IF(AO14&lt;&gt;"",VLOOKUP(AO14,BE:BE,1,FALSE)=AO14))</f>
        <v>0</v>
      </c>
      <c r="R14" s="245" t="b">
        <f>OR(B14="CP",B14="CA", B14="AX",B14="M",B14="S")</f>
        <v>1</v>
      </c>
      <c r="AO14" s="238" t="str">
        <f>IF(ISBLANK(A14),"",SUBSTITUTE(A14,"*",""))</f>
        <v>SG80</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155</v>
      </c>
      <c r="C15" s="1512" t="s">
        <v>165</v>
      </c>
      <c r="D15" s="1512" t="s">
        <v>159</v>
      </c>
      <c r="E15" s="1513"/>
      <c r="F15" s="1514">
        <v>250</v>
      </c>
      <c r="G15" s="1515"/>
      <c r="H15" s="1516"/>
      <c r="I15" s="1514"/>
      <c r="J15" s="1515"/>
      <c r="K15" s="1516"/>
      <c r="L15" s="1517" t="s">
        <v>116</v>
      </c>
      <c r="M15" s="1518" t="s">
        <v>1393</v>
      </c>
      <c r="N15" s="1689" t="s">
        <v>116</v>
      </c>
      <c r="O15" s="1645"/>
      <c r="P15" s="245" t="b">
        <f t="shared" si="0"/>
        <v>0</v>
      </c>
      <c r="R15" s="245" t="b">
        <f t="shared" ref="R15:R55" si="1">OR(B15="CP",B15="CA", B15="AX",B15="M",B15="S")</f>
        <v>1</v>
      </c>
      <c r="AO15" s="238" t="str">
        <f t="shared" ref="AO15:AO55" si="2">IF(ISBLANK(A15),AO14,SUBSTITUTE(A15,"*",""))</f>
        <v>SG80</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154</v>
      </c>
      <c r="C16" s="1512" t="s">
        <v>165</v>
      </c>
      <c r="D16" s="1512" t="s">
        <v>145</v>
      </c>
      <c r="E16" s="1513"/>
      <c r="F16" s="1514">
        <v>1500</v>
      </c>
      <c r="G16" s="1515"/>
      <c r="H16" s="1516"/>
      <c r="I16" s="1514"/>
      <c r="J16" s="1515"/>
      <c r="K16" s="1516"/>
      <c r="L16" s="1517" t="s">
        <v>116</v>
      </c>
      <c r="M16" s="1518" t="s">
        <v>1393</v>
      </c>
      <c r="N16" s="1689"/>
      <c r="O16" s="1645"/>
      <c r="P16" s="245" t="b">
        <f t="shared" si="0"/>
        <v>0</v>
      </c>
      <c r="R16" s="245" t="b">
        <f t="shared" si="1"/>
        <v>1</v>
      </c>
      <c r="AO16" s="238" t="str">
        <f t="shared" si="2"/>
        <v>SG80</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7</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SG80</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15</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SG80</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23</v>
      </c>
      <c r="H19" s="1516">
        <v>9</v>
      </c>
      <c r="I19" s="1514"/>
      <c r="J19" s="1515"/>
      <c r="K19" s="1516"/>
      <c r="L19" s="1517" t="s">
        <v>703</v>
      </c>
      <c r="M19" s="1518" t="s">
        <v>1393</v>
      </c>
      <c r="N19" s="1689" t="s">
        <v>116</v>
      </c>
      <c r="O19" s="1645"/>
      <c r="P19" s="245" t="b">
        <f t="shared" si="3"/>
        <v>0</v>
      </c>
      <c r="R19" s="245" t="b">
        <f t="shared" si="1"/>
        <v>0</v>
      </c>
      <c r="AO19" s="238" t="str">
        <f t="shared" si="2"/>
        <v>SG80</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31</v>
      </c>
      <c r="H20" s="1516">
        <v>9</v>
      </c>
      <c r="I20" s="1514"/>
      <c r="J20" s="1515"/>
      <c r="K20" s="1516"/>
      <c r="L20" s="1517" t="s">
        <v>703</v>
      </c>
      <c r="M20" s="1518" t="s">
        <v>1393</v>
      </c>
      <c r="N20" s="1519"/>
      <c r="O20" s="1646"/>
      <c r="P20" s="245" t="b">
        <f t="shared" si="3"/>
        <v>0</v>
      </c>
      <c r="R20" s="245" t="b">
        <f t="shared" si="1"/>
        <v>0</v>
      </c>
      <c r="AO20" s="238" t="str">
        <f t="shared" si="2"/>
        <v>SG80</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39</v>
      </c>
      <c r="H21" s="1516">
        <v>9</v>
      </c>
      <c r="I21" s="1514"/>
      <c r="J21" s="1515"/>
      <c r="K21" s="1516"/>
      <c r="L21" s="1517" t="s">
        <v>703</v>
      </c>
      <c r="M21" s="1518" t="s">
        <v>1393</v>
      </c>
      <c r="N21" s="1519"/>
      <c r="O21" s="1646"/>
      <c r="P21" s="245" t="b">
        <f t="shared" si="3"/>
        <v>0</v>
      </c>
      <c r="R21" s="245" t="b">
        <f t="shared" si="1"/>
        <v>0</v>
      </c>
      <c r="AO21" s="238" t="str">
        <f t="shared" si="2"/>
        <v>SG80</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47</v>
      </c>
      <c r="H22" s="1516">
        <v>9</v>
      </c>
      <c r="I22" s="1514"/>
      <c r="J22" s="1515"/>
      <c r="K22" s="1516"/>
      <c r="L22" s="1517" t="s">
        <v>703</v>
      </c>
      <c r="M22" s="1518" t="s">
        <v>1393</v>
      </c>
      <c r="N22" s="1519"/>
      <c r="O22" s="1646"/>
      <c r="P22" s="245" t="b">
        <f t="shared" si="3"/>
        <v>0</v>
      </c>
      <c r="R22" s="245" t="b">
        <f t="shared" si="1"/>
        <v>0</v>
      </c>
      <c r="AO22" s="238" t="str">
        <f t="shared" si="2"/>
        <v>SG80</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55</v>
      </c>
      <c r="H23" s="1516">
        <v>9</v>
      </c>
      <c r="I23" s="1514"/>
      <c r="J23" s="1515"/>
      <c r="K23" s="1516"/>
      <c r="L23" s="1517" t="s">
        <v>703</v>
      </c>
      <c r="M23" s="1518" t="s">
        <v>1393</v>
      </c>
      <c r="N23" s="1519"/>
      <c r="O23" s="1646"/>
      <c r="P23" s="245" t="b">
        <f t="shared" si="3"/>
        <v>0</v>
      </c>
      <c r="R23" s="245" t="b">
        <f t="shared" si="1"/>
        <v>0</v>
      </c>
      <c r="AO23" s="238" t="str">
        <f t="shared" si="2"/>
        <v>SG80</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7</v>
      </c>
      <c r="H24" s="1516">
        <v>9</v>
      </c>
      <c r="I24" s="1514"/>
      <c r="J24" s="1515"/>
      <c r="K24" s="1516"/>
      <c r="L24" s="1517" t="s">
        <v>703</v>
      </c>
      <c r="M24" s="1518" t="s">
        <v>1393</v>
      </c>
      <c r="N24" s="1519"/>
      <c r="O24" s="1646"/>
      <c r="P24" s="245" t="b">
        <f t="shared" si="3"/>
        <v>0</v>
      </c>
      <c r="R24" s="245" t="b">
        <f t="shared" si="1"/>
        <v>0</v>
      </c>
      <c r="AO24" s="238" t="str">
        <f t="shared" si="2"/>
        <v>SG80</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15</v>
      </c>
      <c r="H25" s="1516">
        <v>9</v>
      </c>
      <c r="I25" s="1514"/>
      <c r="J25" s="1515"/>
      <c r="K25" s="1516"/>
      <c r="L25" s="1517" t="s">
        <v>703</v>
      </c>
      <c r="M25" s="1518" t="s">
        <v>1393</v>
      </c>
      <c r="N25" s="1519"/>
      <c r="O25" s="1646"/>
      <c r="P25" s="245" t="b">
        <f t="shared" si="3"/>
        <v>0</v>
      </c>
      <c r="R25" s="245" t="b">
        <f t="shared" si="1"/>
        <v>0</v>
      </c>
      <c r="AO25" s="238" t="str">
        <f t="shared" si="2"/>
        <v>SG80</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23</v>
      </c>
      <c r="H26" s="1516">
        <v>9</v>
      </c>
      <c r="I26" s="1514"/>
      <c r="J26" s="1515"/>
      <c r="K26" s="1516"/>
      <c r="L26" s="1517" t="s">
        <v>703</v>
      </c>
      <c r="M26" s="1518" t="s">
        <v>1393</v>
      </c>
      <c r="N26" s="1519"/>
      <c r="O26" s="1646"/>
      <c r="P26" s="245" t="b">
        <f t="shared" si="3"/>
        <v>0</v>
      </c>
      <c r="R26" s="245" t="b">
        <f t="shared" si="1"/>
        <v>0</v>
      </c>
      <c r="AO26" s="238" t="str">
        <f t="shared" si="2"/>
        <v>SG80</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31</v>
      </c>
      <c r="H27" s="1516">
        <v>9</v>
      </c>
      <c r="I27" s="1514"/>
      <c r="J27" s="1515"/>
      <c r="K27" s="1516"/>
      <c r="L27" s="1517" t="s">
        <v>703</v>
      </c>
      <c r="M27" s="1518" t="s">
        <v>1393</v>
      </c>
      <c r="N27" s="1519"/>
      <c r="O27" s="1646"/>
      <c r="P27" s="245" t="b">
        <f t="shared" si="3"/>
        <v>0</v>
      </c>
      <c r="R27" s="245" t="b">
        <f t="shared" si="1"/>
        <v>0</v>
      </c>
      <c r="AO27" s="238" t="str">
        <f t="shared" si="2"/>
        <v>SG80</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39</v>
      </c>
      <c r="H28" s="1516">
        <v>9</v>
      </c>
      <c r="I28" s="1514"/>
      <c r="J28" s="1515"/>
      <c r="K28" s="1516"/>
      <c r="L28" s="1517" t="s">
        <v>703</v>
      </c>
      <c r="M28" s="1518" t="s">
        <v>1393</v>
      </c>
      <c r="N28" s="1689"/>
      <c r="O28" s="1645"/>
      <c r="P28" s="245" t="b">
        <f t="shared" si="3"/>
        <v>0</v>
      </c>
      <c r="R28" s="245" t="b">
        <f t="shared" si="1"/>
        <v>0</v>
      </c>
      <c r="AO28" s="238" t="str">
        <f t="shared" si="2"/>
        <v>SG80</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47</v>
      </c>
      <c r="H29" s="1516">
        <v>9</v>
      </c>
      <c r="I29" s="1514"/>
      <c r="J29" s="1515"/>
      <c r="K29" s="1516"/>
      <c r="L29" s="1517" t="s">
        <v>703</v>
      </c>
      <c r="M29" s="1518" t="s">
        <v>1393</v>
      </c>
      <c r="N29" s="1689"/>
      <c r="O29" s="1645"/>
      <c r="P29" s="245" t="b">
        <f t="shared" si="3"/>
        <v>0</v>
      </c>
      <c r="R29" s="245" t="b">
        <f t="shared" si="1"/>
        <v>0</v>
      </c>
      <c r="AO29" s="238" t="str">
        <f t="shared" si="2"/>
        <v>SG80</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55</v>
      </c>
      <c r="H30" s="1516">
        <v>9</v>
      </c>
      <c r="I30" s="1514"/>
      <c r="J30" s="1515"/>
      <c r="K30" s="1516"/>
      <c r="L30" s="1517" t="s">
        <v>703</v>
      </c>
      <c r="M30" s="1518" t="s">
        <v>1393</v>
      </c>
      <c r="N30" s="1689" t="s">
        <v>116</v>
      </c>
      <c r="O30" s="1645"/>
      <c r="P30" s="245" t="b">
        <f t="shared" si="3"/>
        <v>0</v>
      </c>
      <c r="R30" s="245" t="b">
        <f t="shared" si="1"/>
        <v>0</v>
      </c>
      <c r="AO30" s="238" t="str">
        <f t="shared" si="2"/>
        <v>SG80</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t="s">
        <v>2032</v>
      </c>
      <c r="B31" s="1512" t="s">
        <v>155</v>
      </c>
      <c r="C31" s="1512" t="s">
        <v>165</v>
      </c>
      <c r="D31" s="1512" t="s">
        <v>145</v>
      </c>
      <c r="E31" s="1513"/>
      <c r="F31" s="1514">
        <v>250</v>
      </c>
      <c r="G31" s="1515"/>
      <c r="H31" s="1516"/>
      <c r="I31" s="1514"/>
      <c r="J31" s="1515"/>
      <c r="K31" s="1516"/>
      <c r="L31" s="1517" t="s">
        <v>116</v>
      </c>
      <c r="M31" s="1517" t="s">
        <v>1393</v>
      </c>
      <c r="N31" s="1689" t="s">
        <v>116</v>
      </c>
      <c r="O31" s="1645"/>
      <c r="P31" s="245" t="b">
        <f t="shared" si="3"/>
        <v>0</v>
      </c>
      <c r="R31" s="245" t="b">
        <f t="shared" si="1"/>
        <v>1</v>
      </c>
      <c r="AO31" s="238" t="str">
        <f t="shared" si="2"/>
        <v>SG82</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155</v>
      </c>
      <c r="C32" s="1512" t="s">
        <v>165</v>
      </c>
      <c r="D32" s="1512" t="s">
        <v>159</v>
      </c>
      <c r="E32" s="1513"/>
      <c r="F32" s="1514">
        <v>250</v>
      </c>
      <c r="G32" s="1515"/>
      <c r="H32" s="1516"/>
      <c r="I32" s="1514"/>
      <c r="J32" s="1515"/>
      <c r="K32" s="1516"/>
      <c r="L32" s="1517" t="s">
        <v>116</v>
      </c>
      <c r="M32" s="1517" t="s">
        <v>1393</v>
      </c>
      <c r="N32" s="1689" t="s">
        <v>116</v>
      </c>
      <c r="O32" s="1645"/>
      <c r="P32" s="245" t="b">
        <f t="shared" si="3"/>
        <v>0</v>
      </c>
      <c r="R32" s="245" t="b">
        <f t="shared" si="1"/>
        <v>1</v>
      </c>
      <c r="AO32" s="238" t="str">
        <f t="shared" si="2"/>
        <v>SG82</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154</v>
      </c>
      <c r="C33" s="1512" t="s">
        <v>165</v>
      </c>
      <c r="D33" s="1512" t="s">
        <v>145</v>
      </c>
      <c r="E33" s="1513"/>
      <c r="F33" s="1514">
        <v>1500</v>
      </c>
      <c r="G33" s="1515"/>
      <c r="H33" s="1516"/>
      <c r="I33" s="1514"/>
      <c r="J33" s="1515"/>
      <c r="K33" s="1516"/>
      <c r="L33" s="1517" t="s">
        <v>116</v>
      </c>
      <c r="M33" s="1517" t="s">
        <v>1393</v>
      </c>
      <c r="N33" s="1689" t="s">
        <v>116</v>
      </c>
      <c r="O33" s="1645"/>
      <c r="P33" s="245" t="b">
        <f t="shared" si="3"/>
        <v>0</v>
      </c>
      <c r="R33" s="245" t="b">
        <f t="shared" si="1"/>
        <v>1</v>
      </c>
      <c r="AO33" s="238" t="str">
        <f t="shared" si="2"/>
        <v>SG82</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720</v>
      </c>
      <c r="G34" s="1515">
        <v>8</v>
      </c>
      <c r="H34" s="1516">
        <v>0</v>
      </c>
      <c r="I34" s="1514">
        <v>2220</v>
      </c>
      <c r="J34" s="1515">
        <v>16</v>
      </c>
      <c r="K34" s="1516">
        <v>0</v>
      </c>
      <c r="L34" s="1517" t="s">
        <v>700</v>
      </c>
      <c r="M34" s="1517" t="s">
        <v>1393</v>
      </c>
      <c r="N34" s="1689" t="s">
        <v>116</v>
      </c>
      <c r="O34" s="1645"/>
      <c r="P34" s="245" t="b">
        <f t="shared" si="3"/>
        <v>0</v>
      </c>
      <c r="R34" s="245" t="b">
        <f t="shared" si="1"/>
        <v>0</v>
      </c>
      <c r="AO34" s="238" t="str">
        <f t="shared" si="2"/>
        <v>SG82</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7</v>
      </c>
      <c r="H35" s="1516">
        <v>9</v>
      </c>
      <c r="I35" s="1514"/>
      <c r="J35" s="1515"/>
      <c r="K35" s="1516"/>
      <c r="L35" s="1517" t="s">
        <v>703</v>
      </c>
      <c r="M35" s="1517" t="s">
        <v>1393</v>
      </c>
      <c r="N35" s="1689" t="s">
        <v>116</v>
      </c>
      <c r="O35" s="1645"/>
      <c r="P35" s="245" t="b">
        <f t="shared" si="3"/>
        <v>0</v>
      </c>
      <c r="R35" s="245" t="b">
        <f t="shared" si="1"/>
        <v>0</v>
      </c>
      <c r="AO35" s="238" t="str">
        <f t="shared" si="2"/>
        <v>SG82</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165</v>
      </c>
      <c r="D36" s="1512" t="s">
        <v>145</v>
      </c>
      <c r="E36" s="1513"/>
      <c r="F36" s="1514">
        <v>7000</v>
      </c>
      <c r="G36" s="1515">
        <v>15</v>
      </c>
      <c r="H36" s="1516">
        <v>9</v>
      </c>
      <c r="I36" s="1514"/>
      <c r="J36" s="1515"/>
      <c r="K36" s="1516"/>
      <c r="L36" s="1517" t="s">
        <v>703</v>
      </c>
      <c r="M36" s="1517" t="s">
        <v>1393</v>
      </c>
      <c r="N36" s="1689" t="s">
        <v>116</v>
      </c>
      <c r="O36" s="1645"/>
      <c r="P36" s="245" t="b">
        <f t="shared" si="3"/>
        <v>0</v>
      </c>
      <c r="R36" s="245" t="b">
        <f t="shared" si="1"/>
        <v>0</v>
      </c>
      <c r="AO36" s="238" t="str">
        <f t="shared" si="2"/>
        <v>SG82</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165</v>
      </c>
      <c r="D37" s="1512" t="s">
        <v>145</v>
      </c>
      <c r="E37" s="1513"/>
      <c r="F37" s="1514">
        <v>7000</v>
      </c>
      <c r="G37" s="1515">
        <v>23</v>
      </c>
      <c r="H37" s="1516">
        <v>9</v>
      </c>
      <c r="I37" s="1514"/>
      <c r="J37" s="1515"/>
      <c r="K37" s="1516"/>
      <c r="L37" s="1517" t="s">
        <v>703</v>
      </c>
      <c r="M37" s="1517" t="s">
        <v>1393</v>
      </c>
      <c r="N37" s="1689" t="s">
        <v>116</v>
      </c>
      <c r="O37" s="1645"/>
      <c r="P37" s="245" t="b">
        <f t="shared" si="3"/>
        <v>0</v>
      </c>
      <c r="R37" s="245" t="b">
        <f t="shared" si="1"/>
        <v>0</v>
      </c>
      <c r="AO37" s="238" t="str">
        <f t="shared" si="2"/>
        <v>SG82</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165</v>
      </c>
      <c r="D38" s="1512" t="s">
        <v>145</v>
      </c>
      <c r="E38" s="1513"/>
      <c r="F38" s="1514">
        <v>7000</v>
      </c>
      <c r="G38" s="1515">
        <v>31</v>
      </c>
      <c r="H38" s="1516">
        <v>9</v>
      </c>
      <c r="I38" s="1514"/>
      <c r="J38" s="1515"/>
      <c r="K38" s="1516"/>
      <c r="L38" s="1517" t="s">
        <v>703</v>
      </c>
      <c r="M38" s="1517" t="s">
        <v>1393</v>
      </c>
      <c r="N38" s="1689" t="s">
        <v>116</v>
      </c>
      <c r="O38" s="1645"/>
      <c r="P38" s="245" t="b">
        <f t="shared" si="3"/>
        <v>0</v>
      </c>
      <c r="R38" s="245" t="b">
        <f t="shared" si="1"/>
        <v>0</v>
      </c>
      <c r="AO38" s="238" t="str">
        <f t="shared" si="2"/>
        <v>SG82</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165</v>
      </c>
      <c r="D39" s="1512" t="s">
        <v>145</v>
      </c>
      <c r="E39" s="1513"/>
      <c r="F39" s="1514">
        <v>7000</v>
      </c>
      <c r="G39" s="1515">
        <v>39</v>
      </c>
      <c r="H39" s="1516">
        <v>9</v>
      </c>
      <c r="I39" s="1514"/>
      <c r="J39" s="1515"/>
      <c r="K39" s="1516"/>
      <c r="L39" s="1517" t="s">
        <v>703</v>
      </c>
      <c r="M39" s="1517" t="s">
        <v>1393</v>
      </c>
      <c r="N39" s="1689" t="s">
        <v>116</v>
      </c>
      <c r="O39" s="1645"/>
      <c r="P39" s="245" t="b">
        <f t="shared" si="3"/>
        <v>0</v>
      </c>
      <c r="R39" s="245" t="b">
        <f t="shared" si="1"/>
        <v>0</v>
      </c>
      <c r="AO39" s="238" t="str">
        <f t="shared" si="2"/>
        <v>SG82</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165</v>
      </c>
      <c r="D40" s="1512" t="s">
        <v>145</v>
      </c>
      <c r="E40" s="1513"/>
      <c r="F40" s="1514">
        <v>7000</v>
      </c>
      <c r="G40" s="1515">
        <v>47</v>
      </c>
      <c r="H40" s="1516">
        <v>9</v>
      </c>
      <c r="I40" s="1514"/>
      <c r="J40" s="1515"/>
      <c r="K40" s="1516"/>
      <c r="L40" s="1517" t="s">
        <v>703</v>
      </c>
      <c r="M40" s="1517" t="s">
        <v>1393</v>
      </c>
      <c r="N40" s="1689" t="s">
        <v>116</v>
      </c>
      <c r="O40" s="1645"/>
      <c r="P40" s="245" t="b">
        <f t="shared" si="3"/>
        <v>0</v>
      </c>
      <c r="R40" s="245" t="b">
        <f t="shared" si="1"/>
        <v>0</v>
      </c>
      <c r="AO40" s="238" t="str">
        <f t="shared" si="2"/>
        <v>SG82</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7</v>
      </c>
      <c r="H41" s="1516">
        <v>9</v>
      </c>
      <c r="I41" s="1514"/>
      <c r="J41" s="1515"/>
      <c r="K41" s="1516"/>
      <c r="L41" s="1517" t="s">
        <v>703</v>
      </c>
      <c r="M41" s="1517" t="s">
        <v>1393</v>
      </c>
      <c r="N41" s="1689" t="s">
        <v>116</v>
      </c>
      <c r="O41" s="1645"/>
      <c r="P41" s="245" t="b">
        <f t="shared" si="3"/>
        <v>0</v>
      </c>
      <c r="R41" s="245" t="b">
        <f t="shared" si="1"/>
        <v>0</v>
      </c>
      <c r="AO41" s="238" t="str">
        <f t="shared" si="2"/>
        <v>SG82</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167</v>
      </c>
      <c r="D42" s="1512" t="s">
        <v>145</v>
      </c>
      <c r="E42" s="1513"/>
      <c r="F42" s="1514">
        <v>532</v>
      </c>
      <c r="G42" s="1515">
        <v>15</v>
      </c>
      <c r="H42" s="1516">
        <v>9</v>
      </c>
      <c r="I42" s="1514"/>
      <c r="J42" s="1515"/>
      <c r="K42" s="1516"/>
      <c r="L42" s="1517" t="s">
        <v>703</v>
      </c>
      <c r="M42" s="1517" t="s">
        <v>1393</v>
      </c>
      <c r="N42" s="1689" t="s">
        <v>116</v>
      </c>
      <c r="O42" s="1645"/>
      <c r="P42" s="245" t="b">
        <f t="shared" si="3"/>
        <v>0</v>
      </c>
      <c r="R42" s="245" t="b">
        <f t="shared" si="1"/>
        <v>0</v>
      </c>
      <c r="AO42" s="238" t="str">
        <f t="shared" si="2"/>
        <v>SG82</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167</v>
      </c>
      <c r="D43" s="1512" t="s">
        <v>145</v>
      </c>
      <c r="E43" s="1513"/>
      <c r="F43" s="1514">
        <v>532</v>
      </c>
      <c r="G43" s="1515">
        <v>23</v>
      </c>
      <c r="H43" s="1516">
        <v>9</v>
      </c>
      <c r="I43" s="1514"/>
      <c r="J43" s="1515"/>
      <c r="K43" s="1516"/>
      <c r="L43" s="1517" t="s">
        <v>703</v>
      </c>
      <c r="M43" s="1517" t="s">
        <v>1393</v>
      </c>
      <c r="N43" s="1689" t="s">
        <v>116</v>
      </c>
      <c r="O43" s="1645"/>
      <c r="P43" s="245" t="b">
        <f t="shared" si="3"/>
        <v>0</v>
      </c>
      <c r="R43" s="245" t="b">
        <f t="shared" si="1"/>
        <v>0</v>
      </c>
      <c r="AO43" s="238" t="str">
        <f t="shared" si="2"/>
        <v>SG82</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167</v>
      </c>
      <c r="D44" s="1512" t="s">
        <v>145</v>
      </c>
      <c r="E44" s="1513"/>
      <c r="F44" s="1514">
        <v>532</v>
      </c>
      <c r="G44" s="1515">
        <v>31</v>
      </c>
      <c r="H44" s="1516">
        <v>9</v>
      </c>
      <c r="I44" s="1514"/>
      <c r="J44" s="1515"/>
      <c r="K44" s="1516"/>
      <c r="L44" s="1517" t="s">
        <v>703</v>
      </c>
      <c r="M44" s="1517" t="s">
        <v>1393</v>
      </c>
      <c r="N44" s="1689" t="s">
        <v>116</v>
      </c>
      <c r="O44" s="1645"/>
      <c r="P44" s="245" t="b">
        <f t="shared" si="3"/>
        <v>0</v>
      </c>
      <c r="R44" s="245" t="b">
        <f t="shared" si="1"/>
        <v>0</v>
      </c>
      <c r="AO44" s="238" t="str">
        <f t="shared" si="2"/>
        <v>SG82</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167</v>
      </c>
      <c r="D45" s="1512" t="s">
        <v>145</v>
      </c>
      <c r="E45" s="1513"/>
      <c r="F45" s="1514">
        <v>532</v>
      </c>
      <c r="G45" s="1515">
        <v>39</v>
      </c>
      <c r="H45" s="1516">
        <v>9</v>
      </c>
      <c r="I45" s="1514"/>
      <c r="J45" s="1515"/>
      <c r="K45" s="1516"/>
      <c r="L45" s="1517" t="s">
        <v>703</v>
      </c>
      <c r="M45" s="1517" t="s">
        <v>1393</v>
      </c>
      <c r="N45" s="1689" t="s">
        <v>116</v>
      </c>
      <c r="O45" s="1645"/>
      <c r="P45" s="245" t="b">
        <f t="shared" si="3"/>
        <v>0</v>
      </c>
      <c r="R45" s="245" t="b">
        <f t="shared" si="1"/>
        <v>0</v>
      </c>
      <c r="AO45" s="238" t="str">
        <f t="shared" si="2"/>
        <v>SG82</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167</v>
      </c>
      <c r="D46" s="1512" t="s">
        <v>145</v>
      </c>
      <c r="E46" s="1513"/>
      <c r="F46" s="1514">
        <v>532</v>
      </c>
      <c r="G46" s="1515">
        <v>47</v>
      </c>
      <c r="H46" s="1516">
        <v>9</v>
      </c>
      <c r="I46" s="1514"/>
      <c r="J46" s="1515"/>
      <c r="K46" s="1516"/>
      <c r="L46" s="1517" t="s">
        <v>703</v>
      </c>
      <c r="M46" s="1517" t="s">
        <v>1393</v>
      </c>
      <c r="N46" s="1689" t="s">
        <v>116</v>
      </c>
      <c r="O46" s="1645"/>
      <c r="P46" s="245" t="b">
        <f t="shared" si="3"/>
        <v>0</v>
      </c>
      <c r="R46" s="245" t="b">
        <f t="shared" si="1"/>
        <v>0</v>
      </c>
      <c r="AO46" s="238" t="str">
        <f t="shared" si="2"/>
        <v>SG82</v>
      </c>
      <c r="AP46" s="945" t="b">
        <v>0</v>
      </c>
      <c r="AQ46" s="1323"/>
      <c r="AR46" s="1324"/>
      <c r="AS46" s="1324"/>
      <c r="AT46" s="1324"/>
      <c r="AU46" s="1324"/>
      <c r="AV46" s="1324"/>
      <c r="AW46" s="1324"/>
      <c r="AX46" s="1324"/>
      <c r="AY46" s="1324"/>
      <c r="AZ46" s="1324"/>
      <c r="BA46" s="1533"/>
      <c r="BB46" s="1533"/>
      <c r="BC46" s="1534"/>
    </row>
    <row r="47" spans="1:55" ht="14.1" customHeight="1" x14ac:dyDescent="0.2">
      <c r="A47" s="1511" t="s">
        <v>2033</v>
      </c>
      <c r="B47" s="1512" t="s">
        <v>155</v>
      </c>
      <c r="C47" s="1512" t="s">
        <v>165</v>
      </c>
      <c r="D47" s="1512" t="s">
        <v>145</v>
      </c>
      <c r="E47" s="1513"/>
      <c r="F47" s="1514">
        <v>250</v>
      </c>
      <c r="G47" s="1515"/>
      <c r="H47" s="1516"/>
      <c r="I47" s="1514"/>
      <c r="J47" s="1515"/>
      <c r="K47" s="1516"/>
      <c r="L47" s="1517" t="s">
        <v>116</v>
      </c>
      <c r="M47" s="1517" t="s">
        <v>1393</v>
      </c>
      <c r="N47" s="1689" t="s">
        <v>116</v>
      </c>
      <c r="O47" s="1645"/>
      <c r="P47" s="245" t="b">
        <f t="shared" si="3"/>
        <v>0</v>
      </c>
      <c r="R47" s="245" t="b">
        <f t="shared" si="1"/>
        <v>1</v>
      </c>
      <c r="AO47" s="238" t="str">
        <f t="shared" si="2"/>
        <v>SG83</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155</v>
      </c>
      <c r="C48" s="1512" t="s">
        <v>165</v>
      </c>
      <c r="D48" s="1512" t="s">
        <v>159</v>
      </c>
      <c r="E48" s="1513"/>
      <c r="F48" s="1514">
        <v>250</v>
      </c>
      <c r="G48" s="1515"/>
      <c r="H48" s="1516"/>
      <c r="I48" s="1514"/>
      <c r="J48" s="1515"/>
      <c r="K48" s="1516"/>
      <c r="L48" s="1517" t="s">
        <v>116</v>
      </c>
      <c r="M48" s="1517" t="s">
        <v>1393</v>
      </c>
      <c r="N48" s="1689" t="s">
        <v>116</v>
      </c>
      <c r="O48" s="1645"/>
      <c r="P48" s="245" t="b">
        <f t="shared" si="3"/>
        <v>0</v>
      </c>
      <c r="R48" s="245" t="b">
        <f t="shared" si="1"/>
        <v>1</v>
      </c>
      <c r="AO48" s="238" t="str">
        <f t="shared" si="2"/>
        <v>SG83</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154</v>
      </c>
      <c r="C49" s="1512" t="s">
        <v>165</v>
      </c>
      <c r="D49" s="1512" t="s">
        <v>145</v>
      </c>
      <c r="E49" s="1513"/>
      <c r="F49" s="1514">
        <v>1500</v>
      </c>
      <c r="G49" s="1515"/>
      <c r="H49" s="1516"/>
      <c r="I49" s="1514"/>
      <c r="J49" s="1515"/>
      <c r="K49" s="1516"/>
      <c r="L49" s="1517" t="s">
        <v>116</v>
      </c>
      <c r="M49" s="1517" t="s">
        <v>1393</v>
      </c>
      <c r="N49" s="1689" t="s">
        <v>116</v>
      </c>
      <c r="O49" s="1645"/>
      <c r="P49" s="245" t="b">
        <f t="shared" si="3"/>
        <v>0</v>
      </c>
      <c r="R49" s="245" t="b">
        <f t="shared" si="1"/>
        <v>1</v>
      </c>
      <c r="AO49" s="238" t="str">
        <f t="shared" si="2"/>
        <v>SG83</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7</v>
      </c>
      <c r="H50" s="1516">
        <v>9</v>
      </c>
      <c r="I50" s="1514"/>
      <c r="J50" s="1515"/>
      <c r="K50" s="1516"/>
      <c r="L50" s="1517" t="s">
        <v>703</v>
      </c>
      <c r="M50" s="1517" t="s">
        <v>1393</v>
      </c>
      <c r="N50" s="1689" t="s">
        <v>116</v>
      </c>
      <c r="O50" s="1645"/>
      <c r="P50" s="245" t="b">
        <f t="shared" si="3"/>
        <v>0</v>
      </c>
      <c r="R50" s="245" t="b">
        <f t="shared" si="1"/>
        <v>0</v>
      </c>
      <c r="AO50" s="238" t="str">
        <f t="shared" si="2"/>
        <v>SG83</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15</v>
      </c>
      <c r="H51" s="1516">
        <v>9</v>
      </c>
      <c r="I51" s="1514"/>
      <c r="J51" s="1515"/>
      <c r="K51" s="1516"/>
      <c r="L51" s="1517" t="s">
        <v>703</v>
      </c>
      <c r="M51" s="1517" t="s">
        <v>1393</v>
      </c>
      <c r="N51" s="1689" t="s">
        <v>116</v>
      </c>
      <c r="O51" s="1645"/>
      <c r="P51" s="245" t="b">
        <f t="shared" si="3"/>
        <v>0</v>
      </c>
      <c r="R51" s="245" t="b">
        <f t="shared" si="1"/>
        <v>0</v>
      </c>
      <c r="AO51" s="238" t="str">
        <f t="shared" si="2"/>
        <v>SG83</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23</v>
      </c>
      <c r="H52" s="1516">
        <v>9</v>
      </c>
      <c r="I52" s="1514"/>
      <c r="J52" s="1515"/>
      <c r="K52" s="1516"/>
      <c r="L52" s="1517" t="s">
        <v>703</v>
      </c>
      <c r="M52" s="1517" t="s">
        <v>1393</v>
      </c>
      <c r="N52" s="1689" t="s">
        <v>116</v>
      </c>
      <c r="O52" s="1645"/>
      <c r="P52" s="245" t="b">
        <f t="shared" si="3"/>
        <v>0</v>
      </c>
      <c r="R52" s="245" t="b">
        <f t="shared" si="1"/>
        <v>0</v>
      </c>
      <c r="AO52" s="238" t="str">
        <f t="shared" si="2"/>
        <v>SG83</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165</v>
      </c>
      <c r="D53" s="1512" t="s">
        <v>145</v>
      </c>
      <c r="E53" s="1513"/>
      <c r="F53" s="1514">
        <v>7000</v>
      </c>
      <c r="G53" s="1515">
        <v>31</v>
      </c>
      <c r="H53" s="1516">
        <v>9</v>
      </c>
      <c r="I53" s="1514"/>
      <c r="J53" s="1515"/>
      <c r="K53" s="1516"/>
      <c r="L53" s="1517" t="s">
        <v>703</v>
      </c>
      <c r="M53" s="1517" t="s">
        <v>1393</v>
      </c>
      <c r="N53" s="1689" t="s">
        <v>116</v>
      </c>
      <c r="O53" s="1645"/>
      <c r="P53" s="245" t="b">
        <f t="shared" si="3"/>
        <v>0</v>
      </c>
      <c r="R53" s="245" t="b">
        <f t="shared" si="1"/>
        <v>0</v>
      </c>
      <c r="AO53" s="238" t="str">
        <f t="shared" si="2"/>
        <v>SG83</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165</v>
      </c>
      <c r="D54" s="1512" t="s">
        <v>145</v>
      </c>
      <c r="E54" s="1513"/>
      <c r="F54" s="1514">
        <v>7000</v>
      </c>
      <c r="G54" s="1515">
        <v>39</v>
      </c>
      <c r="H54" s="1516">
        <v>9</v>
      </c>
      <c r="I54" s="1514"/>
      <c r="J54" s="1515"/>
      <c r="K54" s="1516"/>
      <c r="L54" s="1517" t="s">
        <v>703</v>
      </c>
      <c r="M54" s="1517" t="s">
        <v>1393</v>
      </c>
      <c r="N54" s="1689" t="s">
        <v>116</v>
      </c>
      <c r="O54" s="1645"/>
      <c r="P54" s="245" t="b">
        <f t="shared" si="3"/>
        <v>0</v>
      </c>
      <c r="R54" s="245" t="b">
        <f t="shared" si="1"/>
        <v>0</v>
      </c>
      <c r="AO54" s="238" t="str">
        <f t="shared" si="2"/>
        <v>SG83</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165</v>
      </c>
      <c r="D55" s="1521" t="s">
        <v>145</v>
      </c>
      <c r="E55" s="1522"/>
      <c r="F55" s="1523">
        <v>7000</v>
      </c>
      <c r="G55" s="1524">
        <v>47</v>
      </c>
      <c r="H55" s="1525">
        <v>9</v>
      </c>
      <c r="I55" s="1523"/>
      <c r="J55" s="1524"/>
      <c r="K55" s="1525"/>
      <c r="L55" s="1526" t="s">
        <v>703</v>
      </c>
      <c r="M55" s="1526" t="s">
        <v>1393</v>
      </c>
      <c r="N55" s="1690"/>
      <c r="O55" s="1645"/>
      <c r="P55" s="245" t="b">
        <f t="shared" si="3"/>
        <v>0</v>
      </c>
      <c r="R55" s="245" t="b">
        <f t="shared" si="1"/>
        <v>0</v>
      </c>
      <c r="AO55" s="238" t="str">
        <f t="shared" si="2"/>
        <v>SG83</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9" priority="4" stopIfTrue="1">
      <formula>AND($B14="NU",F14&lt;0)</formula>
    </cfRule>
  </conditionalFormatting>
  <conditionalFormatting sqref="B14:B55">
    <cfRule type="expression" dxfId="38" priority="5" stopIfTrue="1">
      <formula>OR(AND($B14="NU",F14&lt;0),AND($B14="NU",I14&lt;0))</formula>
    </cfRule>
  </conditionalFormatting>
  <conditionalFormatting sqref="G14:H55 J14:L55">
    <cfRule type="expression" dxfId="37" priority="6" stopIfTrue="1">
      <formula>$R14</formula>
    </cfRule>
  </conditionalFormatting>
  <conditionalFormatting sqref="I2:K4">
    <cfRule type="cellIs" dxfId="36" priority="7" stopIfTrue="1" operator="equal">
      <formula>""</formula>
    </cfRule>
  </conditionalFormatting>
  <conditionalFormatting sqref="I14:I55">
    <cfRule type="expression" dxfId="35" priority="8" stopIfTrue="1">
      <formula>OR($R14,$B14="CZ",AND($B14="NU",I14&lt;0))</formula>
    </cfRule>
  </conditionalFormatting>
  <conditionalFormatting sqref="A14:A55">
    <cfRule type="expression" dxfId="34" priority="3">
      <formula>NOT($P14)</formula>
    </cfRule>
  </conditionalFormatting>
  <conditionalFormatting sqref="B14:D55">
    <cfRule type="expression" dxfId="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2" priority="9">
      <formula>AND(NOT($P14),$T$1)</formula>
    </cfRule>
    <cfRule type="expression" dxfId="31" priority="10">
      <formula>AND($AP14,$S$1="M")</formula>
    </cfRule>
  </conditionalFormatting>
  <conditionalFormatting sqref="L14:L55">
    <cfRule type="expression" dxfId="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AABE787D-7E50-4B05-9DC3-911B1264A85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7C17E885-BB18-4129-96F9-D04E15CBCAB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D42D658-DE0A-436E-9E50-F763F616B62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E509BB6C-973D-4D51-AA02-0D8D2D8598E8}">
      <formula1>IF($CA$14,$CA$16:$CA$21,$CB$16:$CB$19)</formula1>
    </dataValidation>
    <dataValidation type="list" allowBlank="1" showErrorMessage="1" errorTitle="Invalid Type" error="You MUST select a Type from the dropdown list provided._x000a__x000a_Also, make sure your Cap Lock is turned on." sqref="B14:B55" xr:uid="{F29B0272-9A4E-4318-8008-751B31FFE756}">
      <formula1>$BF$15:$BU$15</formula1>
    </dataValidation>
    <dataValidation allowBlank="1" showInputMessage="1" errorTitle="Invalid Load Case" error="You MUST use a Load Case from the list provided." sqref="M14:M55" xr:uid="{1A125713-5894-4CE5-B8F4-E2877DEAEB11}"/>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B59E5-C3CF-4BC1-8FE6-2D676A3E5DBF}">
  <sheetPr codeName="Sheet7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7</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15</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23</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167</v>
      </c>
      <c r="D17" s="1512" t="s">
        <v>145</v>
      </c>
      <c r="E17" s="1513"/>
      <c r="F17" s="1514">
        <v>532</v>
      </c>
      <c r="G17" s="1515">
        <v>31</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167</v>
      </c>
      <c r="D18" s="1512" t="s">
        <v>145</v>
      </c>
      <c r="E18" s="1513"/>
      <c r="F18" s="1514">
        <v>532</v>
      </c>
      <c r="G18" s="1515">
        <v>39</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167</v>
      </c>
      <c r="D19" s="1512" t="s">
        <v>145</v>
      </c>
      <c r="E19" s="1513"/>
      <c r="F19" s="1514">
        <v>532</v>
      </c>
      <c r="G19" s="1515">
        <v>47</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t="s">
        <v>2034</v>
      </c>
      <c r="B20" s="1512" t="s">
        <v>155</v>
      </c>
      <c r="C20" s="1512" t="s">
        <v>165</v>
      </c>
      <c r="D20" s="1512" t="s">
        <v>145</v>
      </c>
      <c r="E20" s="1513"/>
      <c r="F20" s="1514">
        <v>250</v>
      </c>
      <c r="G20" s="1515"/>
      <c r="H20" s="1516"/>
      <c r="I20" s="1514"/>
      <c r="J20" s="1515"/>
      <c r="K20" s="1516"/>
      <c r="L20" s="1517" t="s">
        <v>116</v>
      </c>
      <c r="M20" s="1518" t="s">
        <v>1393</v>
      </c>
      <c r="N20" s="1519"/>
      <c r="O20" s="1646"/>
      <c r="P20" s="245" t="b">
        <f t="shared" si="3"/>
        <v>0</v>
      </c>
      <c r="R20" s="245" t="b">
        <f t="shared" si="1"/>
        <v>1</v>
      </c>
      <c r="AO20" s="238" t="str">
        <f t="shared" si="2"/>
        <v>SG84</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155</v>
      </c>
      <c r="C21" s="1512" t="s">
        <v>165</v>
      </c>
      <c r="D21" s="1512" t="s">
        <v>159</v>
      </c>
      <c r="E21" s="1513"/>
      <c r="F21" s="1514">
        <v>250</v>
      </c>
      <c r="G21" s="1515"/>
      <c r="H21" s="1516"/>
      <c r="I21" s="1514"/>
      <c r="J21" s="1515"/>
      <c r="K21" s="1516"/>
      <c r="L21" s="1517" t="s">
        <v>116</v>
      </c>
      <c r="M21" s="1518" t="s">
        <v>1393</v>
      </c>
      <c r="N21" s="1519"/>
      <c r="O21" s="1646"/>
      <c r="P21" s="245" t="b">
        <f t="shared" si="3"/>
        <v>0</v>
      </c>
      <c r="R21" s="245" t="b">
        <f t="shared" si="1"/>
        <v>1</v>
      </c>
      <c r="AO21" s="238" t="str">
        <f t="shared" si="2"/>
        <v>SG84</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154</v>
      </c>
      <c r="C22" s="1512" t="s">
        <v>165</v>
      </c>
      <c r="D22" s="1512" t="s">
        <v>145</v>
      </c>
      <c r="E22" s="1513"/>
      <c r="F22" s="1514">
        <v>1500</v>
      </c>
      <c r="G22" s="1515"/>
      <c r="H22" s="1516"/>
      <c r="I22" s="1514"/>
      <c r="J22" s="1515"/>
      <c r="K22" s="1516"/>
      <c r="L22" s="1517" t="s">
        <v>116</v>
      </c>
      <c r="M22" s="1518" t="s">
        <v>1393</v>
      </c>
      <c r="N22" s="1519"/>
      <c r="O22" s="1646"/>
      <c r="P22" s="245" t="b">
        <f t="shared" si="3"/>
        <v>0</v>
      </c>
      <c r="R22" s="245" t="b">
        <f t="shared" si="1"/>
        <v>1</v>
      </c>
      <c r="AO22" s="238" t="str">
        <f t="shared" si="2"/>
        <v>SG84</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2220</v>
      </c>
      <c r="G23" s="1515">
        <v>16</v>
      </c>
      <c r="H23" s="1516">
        <v>0</v>
      </c>
      <c r="I23" s="1514">
        <v>2220</v>
      </c>
      <c r="J23" s="1515">
        <v>24</v>
      </c>
      <c r="K23" s="1516">
        <v>0</v>
      </c>
      <c r="L23" s="1517" t="s">
        <v>700</v>
      </c>
      <c r="M23" s="1518" t="s">
        <v>1393</v>
      </c>
      <c r="N23" s="1519"/>
      <c r="O23" s="1646"/>
      <c r="P23" s="245" t="b">
        <f t="shared" si="3"/>
        <v>0</v>
      </c>
      <c r="R23" s="245" t="b">
        <f t="shared" si="1"/>
        <v>0</v>
      </c>
      <c r="AO23" s="238" t="str">
        <f t="shared" si="2"/>
        <v>SG84</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2220</v>
      </c>
      <c r="G24" s="1515">
        <v>48</v>
      </c>
      <c r="H24" s="1516">
        <v>0</v>
      </c>
      <c r="I24" s="1514"/>
      <c r="J24" s="1515"/>
      <c r="K24" s="1516"/>
      <c r="L24" s="1517" t="s">
        <v>700</v>
      </c>
      <c r="M24" s="1518" t="s">
        <v>1393</v>
      </c>
      <c r="N24" s="1519"/>
      <c r="O24" s="1646"/>
      <c r="P24" s="245" t="b">
        <f t="shared" si="3"/>
        <v>0</v>
      </c>
      <c r="R24" s="245" t="b">
        <f t="shared" si="1"/>
        <v>0</v>
      </c>
      <c r="AO24" s="238" t="str">
        <f t="shared" si="2"/>
        <v>SG84</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7</v>
      </c>
      <c r="H25" s="1516">
        <v>9</v>
      </c>
      <c r="I25" s="1514"/>
      <c r="J25" s="1515"/>
      <c r="K25" s="1516"/>
      <c r="L25" s="1517" t="s">
        <v>703</v>
      </c>
      <c r="M25" s="1518" t="s">
        <v>1393</v>
      </c>
      <c r="N25" s="1519"/>
      <c r="O25" s="1646"/>
      <c r="P25" s="245" t="b">
        <f t="shared" si="3"/>
        <v>0</v>
      </c>
      <c r="R25" s="245" t="b">
        <f t="shared" si="1"/>
        <v>0</v>
      </c>
      <c r="AO25" s="238" t="str">
        <f t="shared" si="2"/>
        <v>SG84</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15</v>
      </c>
      <c r="H26" s="1516">
        <v>9</v>
      </c>
      <c r="I26" s="1514"/>
      <c r="J26" s="1515"/>
      <c r="K26" s="1516"/>
      <c r="L26" s="1517" t="s">
        <v>703</v>
      </c>
      <c r="M26" s="1518" t="s">
        <v>1393</v>
      </c>
      <c r="N26" s="1519"/>
      <c r="O26" s="1646"/>
      <c r="P26" s="245" t="b">
        <f t="shared" si="3"/>
        <v>0</v>
      </c>
      <c r="R26" s="245" t="b">
        <f t="shared" si="1"/>
        <v>0</v>
      </c>
      <c r="AO26" s="238" t="str">
        <f t="shared" si="2"/>
        <v>SG84</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165</v>
      </c>
      <c r="D27" s="1512" t="s">
        <v>145</v>
      </c>
      <c r="E27" s="1513"/>
      <c r="F27" s="1514">
        <v>7000</v>
      </c>
      <c r="G27" s="1515">
        <v>23</v>
      </c>
      <c r="H27" s="1516">
        <v>9</v>
      </c>
      <c r="I27" s="1514"/>
      <c r="J27" s="1515"/>
      <c r="K27" s="1516"/>
      <c r="L27" s="1517" t="s">
        <v>703</v>
      </c>
      <c r="M27" s="1518" t="s">
        <v>1393</v>
      </c>
      <c r="N27" s="1519"/>
      <c r="O27" s="1646"/>
      <c r="P27" s="245" t="b">
        <f t="shared" si="3"/>
        <v>0</v>
      </c>
      <c r="R27" s="245" t="b">
        <f t="shared" si="1"/>
        <v>0</v>
      </c>
      <c r="AO27" s="238" t="str">
        <f t="shared" si="2"/>
        <v>SG84</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165</v>
      </c>
      <c r="D28" s="1512" t="s">
        <v>145</v>
      </c>
      <c r="E28" s="1513"/>
      <c r="F28" s="1514">
        <v>7000</v>
      </c>
      <c r="G28" s="1515">
        <v>31</v>
      </c>
      <c r="H28" s="1516">
        <v>9</v>
      </c>
      <c r="I28" s="1514"/>
      <c r="J28" s="1515"/>
      <c r="K28" s="1516"/>
      <c r="L28" s="1517" t="s">
        <v>703</v>
      </c>
      <c r="M28" s="1518" t="s">
        <v>1393</v>
      </c>
      <c r="N28" s="1689"/>
      <c r="O28" s="1645"/>
      <c r="P28" s="245" t="b">
        <f t="shared" si="3"/>
        <v>0</v>
      </c>
      <c r="R28" s="245" t="b">
        <f t="shared" si="1"/>
        <v>0</v>
      </c>
      <c r="AO28" s="238" t="str">
        <f t="shared" si="2"/>
        <v>SG84</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165</v>
      </c>
      <c r="D29" s="1512" t="s">
        <v>145</v>
      </c>
      <c r="E29" s="1513"/>
      <c r="F29" s="1514">
        <v>7000</v>
      </c>
      <c r="G29" s="1515">
        <v>39</v>
      </c>
      <c r="H29" s="1516">
        <v>9</v>
      </c>
      <c r="I29" s="1514"/>
      <c r="J29" s="1515"/>
      <c r="K29" s="1516"/>
      <c r="L29" s="1517" t="s">
        <v>703</v>
      </c>
      <c r="M29" s="1518" t="s">
        <v>1393</v>
      </c>
      <c r="N29" s="1689"/>
      <c r="O29" s="1645"/>
      <c r="P29" s="245" t="b">
        <f t="shared" si="3"/>
        <v>0</v>
      </c>
      <c r="R29" s="245" t="b">
        <f t="shared" si="1"/>
        <v>0</v>
      </c>
      <c r="AO29" s="238" t="str">
        <f t="shared" si="2"/>
        <v>SG84</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47</v>
      </c>
      <c r="H30" s="1516">
        <v>9</v>
      </c>
      <c r="I30" s="1514"/>
      <c r="J30" s="1515"/>
      <c r="K30" s="1516"/>
      <c r="L30" s="1517" t="s">
        <v>703</v>
      </c>
      <c r="M30" s="1518" t="s">
        <v>1393</v>
      </c>
      <c r="N30" s="1689" t="s">
        <v>116</v>
      </c>
      <c r="O30" s="1645"/>
      <c r="P30" s="245" t="b">
        <f t="shared" si="3"/>
        <v>0</v>
      </c>
      <c r="R30" s="245" t="b">
        <f t="shared" si="1"/>
        <v>0</v>
      </c>
      <c r="AO30" s="238" t="str">
        <f t="shared" si="2"/>
        <v>SG84</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7</v>
      </c>
      <c r="H31" s="1516">
        <v>9</v>
      </c>
      <c r="I31" s="1514"/>
      <c r="J31" s="1515"/>
      <c r="K31" s="1516"/>
      <c r="L31" s="1517" t="s">
        <v>703</v>
      </c>
      <c r="M31" s="1517" t="s">
        <v>1393</v>
      </c>
      <c r="N31" s="1689" t="s">
        <v>116</v>
      </c>
      <c r="O31" s="1645"/>
      <c r="P31" s="245" t="b">
        <f t="shared" si="3"/>
        <v>0</v>
      </c>
      <c r="R31" s="245" t="b">
        <f t="shared" si="1"/>
        <v>0</v>
      </c>
      <c r="AO31" s="238" t="str">
        <f t="shared" si="2"/>
        <v>SG84</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15</v>
      </c>
      <c r="H32" s="1516">
        <v>9</v>
      </c>
      <c r="I32" s="1514"/>
      <c r="J32" s="1515"/>
      <c r="K32" s="1516"/>
      <c r="L32" s="1517" t="s">
        <v>703</v>
      </c>
      <c r="M32" s="1517" t="s">
        <v>1393</v>
      </c>
      <c r="N32" s="1689" t="s">
        <v>116</v>
      </c>
      <c r="O32" s="1645"/>
      <c r="P32" s="245" t="b">
        <f t="shared" si="3"/>
        <v>0</v>
      </c>
      <c r="R32" s="245" t="b">
        <f t="shared" si="1"/>
        <v>0</v>
      </c>
      <c r="AO32" s="238" t="str">
        <f t="shared" si="2"/>
        <v>SG84</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23</v>
      </c>
      <c r="H33" s="1516">
        <v>9</v>
      </c>
      <c r="I33" s="1514"/>
      <c r="J33" s="1515"/>
      <c r="K33" s="1516"/>
      <c r="L33" s="1517" t="s">
        <v>703</v>
      </c>
      <c r="M33" s="1517" t="s">
        <v>1393</v>
      </c>
      <c r="N33" s="1689" t="s">
        <v>116</v>
      </c>
      <c r="O33" s="1645"/>
      <c r="P33" s="245" t="b">
        <f t="shared" si="3"/>
        <v>0</v>
      </c>
      <c r="R33" s="245" t="b">
        <f t="shared" si="1"/>
        <v>0</v>
      </c>
      <c r="AO33" s="238" t="str">
        <f t="shared" si="2"/>
        <v>SG84</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167</v>
      </c>
      <c r="D34" s="1512" t="s">
        <v>145</v>
      </c>
      <c r="E34" s="1513"/>
      <c r="F34" s="1514">
        <v>532</v>
      </c>
      <c r="G34" s="1515">
        <v>31</v>
      </c>
      <c r="H34" s="1516">
        <v>9</v>
      </c>
      <c r="I34" s="1514"/>
      <c r="J34" s="1515"/>
      <c r="K34" s="1516"/>
      <c r="L34" s="1517" t="s">
        <v>703</v>
      </c>
      <c r="M34" s="1517" t="s">
        <v>1393</v>
      </c>
      <c r="N34" s="1689" t="s">
        <v>116</v>
      </c>
      <c r="O34" s="1645"/>
      <c r="P34" s="245" t="b">
        <f t="shared" si="3"/>
        <v>0</v>
      </c>
      <c r="R34" s="245" t="b">
        <f t="shared" si="1"/>
        <v>0</v>
      </c>
      <c r="AO34" s="238" t="str">
        <f t="shared" si="2"/>
        <v>SG84</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167</v>
      </c>
      <c r="D35" s="1512" t="s">
        <v>145</v>
      </c>
      <c r="E35" s="1513"/>
      <c r="F35" s="1514">
        <v>532</v>
      </c>
      <c r="G35" s="1515">
        <v>39</v>
      </c>
      <c r="H35" s="1516">
        <v>9</v>
      </c>
      <c r="I35" s="1514"/>
      <c r="J35" s="1515"/>
      <c r="K35" s="1516"/>
      <c r="L35" s="1517" t="s">
        <v>703</v>
      </c>
      <c r="M35" s="1517" t="s">
        <v>1393</v>
      </c>
      <c r="N35" s="1689" t="s">
        <v>116</v>
      </c>
      <c r="O35" s="1645"/>
      <c r="P35" s="245" t="b">
        <f t="shared" si="3"/>
        <v>0</v>
      </c>
      <c r="R35" s="245" t="b">
        <f t="shared" si="1"/>
        <v>0</v>
      </c>
      <c r="AO35" s="238" t="str">
        <f t="shared" si="2"/>
        <v>SG84</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47</v>
      </c>
      <c r="H36" s="1516">
        <v>9</v>
      </c>
      <c r="I36" s="1514"/>
      <c r="J36" s="1515"/>
      <c r="K36" s="1516"/>
      <c r="L36" s="1517" t="s">
        <v>703</v>
      </c>
      <c r="M36" s="1517" t="s">
        <v>1393</v>
      </c>
      <c r="N36" s="1689" t="s">
        <v>116</v>
      </c>
      <c r="O36" s="1645"/>
      <c r="P36" s="245" t="b">
        <f t="shared" si="3"/>
        <v>0</v>
      </c>
      <c r="R36" s="245" t="b">
        <f t="shared" si="1"/>
        <v>0</v>
      </c>
      <c r="AO36" s="238" t="str">
        <f t="shared" si="2"/>
        <v>SG84</v>
      </c>
      <c r="AP36" s="945" t="b">
        <v>0</v>
      </c>
      <c r="AQ36" s="1323"/>
      <c r="AR36" s="1324"/>
      <c r="AS36" s="1324"/>
      <c r="AT36" s="1324"/>
      <c r="AU36" s="1324"/>
      <c r="AV36" s="1324"/>
      <c r="AW36" s="1324"/>
      <c r="AX36" s="1324"/>
      <c r="AY36" s="1324"/>
      <c r="AZ36" s="1324"/>
      <c r="BA36" s="1533"/>
      <c r="BB36" s="1533"/>
      <c r="BC36" s="1534"/>
    </row>
    <row r="37" spans="1:55" ht="14.1" customHeight="1" x14ac:dyDescent="0.2">
      <c r="A37" s="1511" t="s">
        <v>2035</v>
      </c>
      <c r="B37" s="1512" t="s">
        <v>155</v>
      </c>
      <c r="C37" s="1512" t="s">
        <v>165</v>
      </c>
      <c r="D37" s="1512" t="s">
        <v>145</v>
      </c>
      <c r="E37" s="1513"/>
      <c r="F37" s="1514">
        <v>250</v>
      </c>
      <c r="G37" s="1515"/>
      <c r="H37" s="1516"/>
      <c r="I37" s="1514"/>
      <c r="J37" s="1515"/>
      <c r="K37" s="1516"/>
      <c r="L37" s="1517" t="s">
        <v>116</v>
      </c>
      <c r="M37" s="1517" t="s">
        <v>1393</v>
      </c>
      <c r="N37" s="1689" t="s">
        <v>116</v>
      </c>
      <c r="O37" s="1645"/>
      <c r="P37" s="245" t="b">
        <f t="shared" si="3"/>
        <v>0</v>
      </c>
      <c r="R37" s="245" t="b">
        <f t="shared" si="1"/>
        <v>1</v>
      </c>
      <c r="AO37" s="238" t="str">
        <f t="shared" si="2"/>
        <v>SG85</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155</v>
      </c>
      <c r="C38" s="1512" t="s">
        <v>165</v>
      </c>
      <c r="D38" s="1512" t="s">
        <v>159</v>
      </c>
      <c r="E38" s="1513"/>
      <c r="F38" s="1514">
        <v>250</v>
      </c>
      <c r="G38" s="1515"/>
      <c r="H38" s="1516"/>
      <c r="I38" s="1514"/>
      <c r="J38" s="1515"/>
      <c r="K38" s="1516"/>
      <c r="L38" s="1517" t="s">
        <v>116</v>
      </c>
      <c r="M38" s="1517" t="s">
        <v>1393</v>
      </c>
      <c r="N38" s="1689" t="s">
        <v>116</v>
      </c>
      <c r="O38" s="1645"/>
      <c r="P38" s="245" t="b">
        <f t="shared" si="3"/>
        <v>0</v>
      </c>
      <c r="R38" s="245" t="b">
        <f t="shared" si="1"/>
        <v>1</v>
      </c>
      <c r="AO38" s="238" t="str">
        <f t="shared" si="2"/>
        <v>SG85</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154</v>
      </c>
      <c r="C39" s="1512" t="s">
        <v>165</v>
      </c>
      <c r="D39" s="1512" t="s">
        <v>145</v>
      </c>
      <c r="E39" s="1513"/>
      <c r="F39" s="1514">
        <v>1500</v>
      </c>
      <c r="G39" s="1515"/>
      <c r="H39" s="1516"/>
      <c r="I39" s="1514"/>
      <c r="J39" s="1515"/>
      <c r="K39" s="1516"/>
      <c r="L39" s="1517" t="s">
        <v>116</v>
      </c>
      <c r="M39" s="1517" t="s">
        <v>1393</v>
      </c>
      <c r="N39" s="1689" t="s">
        <v>116</v>
      </c>
      <c r="O39" s="1645"/>
      <c r="P39" s="245" t="b">
        <f t="shared" si="3"/>
        <v>0</v>
      </c>
      <c r="R39" s="245" t="b">
        <f t="shared" si="1"/>
        <v>1</v>
      </c>
      <c r="AO39" s="238" t="str">
        <f t="shared" si="2"/>
        <v>SG85</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154</v>
      </c>
      <c r="C40" s="1512" t="s">
        <v>165</v>
      </c>
      <c r="D40" s="1512" t="s">
        <v>145</v>
      </c>
      <c r="E40" s="1513"/>
      <c r="F40" s="1514">
        <v>720</v>
      </c>
      <c r="G40" s="1515"/>
      <c r="H40" s="1516"/>
      <c r="I40" s="1514"/>
      <c r="J40" s="1515"/>
      <c r="K40" s="1516"/>
      <c r="L40" s="1517" t="s">
        <v>116</v>
      </c>
      <c r="M40" s="1517" t="s">
        <v>1393</v>
      </c>
      <c r="N40" s="1689" t="s">
        <v>116</v>
      </c>
      <c r="O40" s="1645"/>
      <c r="P40" s="245" t="b">
        <f t="shared" si="3"/>
        <v>0</v>
      </c>
      <c r="R40" s="245" t="b">
        <f t="shared" si="1"/>
        <v>1</v>
      </c>
      <c r="AO40" s="238" t="str">
        <f t="shared" si="2"/>
        <v>SG85</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165</v>
      </c>
      <c r="D41" s="1512" t="s">
        <v>145</v>
      </c>
      <c r="E41" s="1513"/>
      <c r="F41" s="1514">
        <v>7000</v>
      </c>
      <c r="G41" s="1515">
        <v>7</v>
      </c>
      <c r="H41" s="1516">
        <v>9</v>
      </c>
      <c r="I41" s="1514"/>
      <c r="J41" s="1515"/>
      <c r="K41" s="1516"/>
      <c r="L41" s="1517" t="s">
        <v>703</v>
      </c>
      <c r="M41" s="1517" t="s">
        <v>1393</v>
      </c>
      <c r="N41" s="1689" t="s">
        <v>116</v>
      </c>
      <c r="O41" s="1645"/>
      <c r="P41" s="245" t="b">
        <f t="shared" si="3"/>
        <v>0</v>
      </c>
      <c r="R41" s="245" t="b">
        <f t="shared" si="1"/>
        <v>0</v>
      </c>
      <c r="AO41" s="238" t="str">
        <f t="shared" si="2"/>
        <v>SG85</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t="s">
        <v>148</v>
      </c>
      <c r="C42" s="1512" t="s">
        <v>165</v>
      </c>
      <c r="D42" s="1512" t="s">
        <v>145</v>
      </c>
      <c r="E42" s="1513"/>
      <c r="F42" s="1514">
        <v>7000</v>
      </c>
      <c r="G42" s="1515">
        <v>15</v>
      </c>
      <c r="H42" s="1516">
        <v>9</v>
      </c>
      <c r="I42" s="1514"/>
      <c r="J42" s="1515"/>
      <c r="K42" s="1516"/>
      <c r="L42" s="1517" t="s">
        <v>703</v>
      </c>
      <c r="M42" s="1517" t="s">
        <v>1393</v>
      </c>
      <c r="N42" s="1689" t="s">
        <v>116</v>
      </c>
      <c r="O42" s="1645"/>
      <c r="P42" s="245" t="b">
        <f t="shared" si="3"/>
        <v>0</v>
      </c>
      <c r="R42" s="245" t="b">
        <f t="shared" si="1"/>
        <v>0</v>
      </c>
      <c r="AO42" s="238" t="str">
        <f t="shared" si="2"/>
        <v>SG85</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148</v>
      </c>
      <c r="C43" s="1512" t="s">
        <v>165</v>
      </c>
      <c r="D43" s="1512" t="s">
        <v>145</v>
      </c>
      <c r="E43" s="1513"/>
      <c r="F43" s="1514">
        <v>7000</v>
      </c>
      <c r="G43" s="1515">
        <v>23</v>
      </c>
      <c r="H43" s="1516">
        <v>9</v>
      </c>
      <c r="I43" s="1514"/>
      <c r="J43" s="1515"/>
      <c r="K43" s="1516"/>
      <c r="L43" s="1517" t="s">
        <v>703</v>
      </c>
      <c r="M43" s="1517" t="s">
        <v>1393</v>
      </c>
      <c r="N43" s="1689" t="s">
        <v>116</v>
      </c>
      <c r="O43" s="1645"/>
      <c r="P43" s="245" t="b">
        <f t="shared" si="3"/>
        <v>0</v>
      </c>
      <c r="R43" s="245" t="b">
        <f t="shared" si="1"/>
        <v>0</v>
      </c>
      <c r="AO43" s="238" t="str">
        <f t="shared" si="2"/>
        <v>SG85</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148</v>
      </c>
      <c r="C44" s="1512" t="s">
        <v>165</v>
      </c>
      <c r="D44" s="1512" t="s">
        <v>145</v>
      </c>
      <c r="E44" s="1513"/>
      <c r="F44" s="1514">
        <v>7000</v>
      </c>
      <c r="G44" s="1515">
        <v>31</v>
      </c>
      <c r="H44" s="1516">
        <v>9</v>
      </c>
      <c r="I44" s="1514"/>
      <c r="J44" s="1515"/>
      <c r="K44" s="1516"/>
      <c r="L44" s="1517" t="s">
        <v>703</v>
      </c>
      <c r="M44" s="1517" t="s">
        <v>1393</v>
      </c>
      <c r="N44" s="1689" t="s">
        <v>116</v>
      </c>
      <c r="O44" s="1645"/>
      <c r="P44" s="245" t="b">
        <f t="shared" si="3"/>
        <v>0</v>
      </c>
      <c r="R44" s="245" t="b">
        <f t="shared" si="1"/>
        <v>0</v>
      </c>
      <c r="AO44" s="238" t="str">
        <f t="shared" si="2"/>
        <v>SG85</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7000</v>
      </c>
      <c r="G45" s="1515">
        <v>39</v>
      </c>
      <c r="H45" s="1516">
        <v>9</v>
      </c>
      <c r="I45" s="1514"/>
      <c r="J45" s="1515"/>
      <c r="K45" s="1516"/>
      <c r="L45" s="1517" t="s">
        <v>703</v>
      </c>
      <c r="M45" s="1517" t="s">
        <v>1393</v>
      </c>
      <c r="N45" s="1689" t="s">
        <v>116</v>
      </c>
      <c r="O45" s="1645"/>
      <c r="P45" s="245" t="b">
        <f t="shared" si="3"/>
        <v>0</v>
      </c>
      <c r="R45" s="245" t="b">
        <f t="shared" si="1"/>
        <v>0</v>
      </c>
      <c r="AO45" s="238" t="str">
        <f t="shared" si="2"/>
        <v>SG85</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7000</v>
      </c>
      <c r="G46" s="1515">
        <v>47</v>
      </c>
      <c r="H46" s="1516">
        <v>9</v>
      </c>
      <c r="I46" s="1514"/>
      <c r="J46" s="1515"/>
      <c r="K46" s="1516"/>
      <c r="L46" s="1517" t="s">
        <v>703</v>
      </c>
      <c r="M46" s="1517" t="s">
        <v>1393</v>
      </c>
      <c r="N46" s="1689" t="s">
        <v>116</v>
      </c>
      <c r="O46" s="1645"/>
      <c r="P46" s="245" t="b">
        <f t="shared" si="3"/>
        <v>0</v>
      </c>
      <c r="R46" s="245" t="b">
        <f t="shared" si="1"/>
        <v>0</v>
      </c>
      <c r="AO46" s="238" t="str">
        <f t="shared" si="2"/>
        <v>SG85</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167</v>
      </c>
      <c r="D47" s="1512" t="s">
        <v>145</v>
      </c>
      <c r="E47" s="1513"/>
      <c r="F47" s="1514">
        <v>532</v>
      </c>
      <c r="G47" s="1515">
        <v>7</v>
      </c>
      <c r="H47" s="1516">
        <v>9</v>
      </c>
      <c r="I47" s="1514"/>
      <c r="J47" s="1515"/>
      <c r="K47" s="1516"/>
      <c r="L47" s="1517" t="s">
        <v>703</v>
      </c>
      <c r="M47" s="1517" t="s">
        <v>1393</v>
      </c>
      <c r="N47" s="1689" t="s">
        <v>116</v>
      </c>
      <c r="O47" s="1645"/>
      <c r="P47" s="245" t="b">
        <f t="shared" si="3"/>
        <v>0</v>
      </c>
      <c r="R47" s="245" t="b">
        <f t="shared" si="1"/>
        <v>0</v>
      </c>
      <c r="AO47" s="238" t="str">
        <f t="shared" si="2"/>
        <v>SG85</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167</v>
      </c>
      <c r="D48" s="1512" t="s">
        <v>145</v>
      </c>
      <c r="E48" s="1513"/>
      <c r="F48" s="1514">
        <v>532</v>
      </c>
      <c r="G48" s="1515">
        <v>15</v>
      </c>
      <c r="H48" s="1516">
        <v>9</v>
      </c>
      <c r="I48" s="1514"/>
      <c r="J48" s="1515"/>
      <c r="K48" s="1516"/>
      <c r="L48" s="1517" t="s">
        <v>703</v>
      </c>
      <c r="M48" s="1517" t="s">
        <v>1393</v>
      </c>
      <c r="N48" s="1689" t="s">
        <v>116</v>
      </c>
      <c r="O48" s="1645"/>
      <c r="P48" s="245" t="b">
        <f t="shared" si="3"/>
        <v>0</v>
      </c>
      <c r="R48" s="245" t="b">
        <f t="shared" si="1"/>
        <v>0</v>
      </c>
      <c r="AO48" s="238" t="str">
        <f t="shared" si="2"/>
        <v>SG85</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167</v>
      </c>
      <c r="D49" s="1512" t="s">
        <v>145</v>
      </c>
      <c r="E49" s="1513"/>
      <c r="F49" s="1514">
        <v>532</v>
      </c>
      <c r="G49" s="1515">
        <v>23</v>
      </c>
      <c r="H49" s="1516">
        <v>9</v>
      </c>
      <c r="I49" s="1514"/>
      <c r="J49" s="1515"/>
      <c r="K49" s="1516"/>
      <c r="L49" s="1517" t="s">
        <v>703</v>
      </c>
      <c r="M49" s="1517" t="s">
        <v>1393</v>
      </c>
      <c r="N49" s="1689" t="s">
        <v>116</v>
      </c>
      <c r="O49" s="1645"/>
      <c r="P49" s="245" t="b">
        <f t="shared" si="3"/>
        <v>0</v>
      </c>
      <c r="R49" s="245" t="b">
        <f t="shared" si="1"/>
        <v>0</v>
      </c>
      <c r="AO49" s="238" t="str">
        <f t="shared" si="2"/>
        <v>SG85</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167</v>
      </c>
      <c r="D50" s="1512" t="s">
        <v>145</v>
      </c>
      <c r="E50" s="1513"/>
      <c r="F50" s="1514">
        <v>532</v>
      </c>
      <c r="G50" s="1515">
        <v>31</v>
      </c>
      <c r="H50" s="1516">
        <v>9</v>
      </c>
      <c r="I50" s="1514"/>
      <c r="J50" s="1515"/>
      <c r="K50" s="1516"/>
      <c r="L50" s="1517" t="s">
        <v>703</v>
      </c>
      <c r="M50" s="1517" t="s">
        <v>1393</v>
      </c>
      <c r="N50" s="1689" t="s">
        <v>116</v>
      </c>
      <c r="O50" s="1645"/>
      <c r="P50" s="245" t="b">
        <f t="shared" si="3"/>
        <v>0</v>
      </c>
      <c r="R50" s="245" t="b">
        <f t="shared" si="1"/>
        <v>0</v>
      </c>
      <c r="AO50" s="238" t="str">
        <f t="shared" si="2"/>
        <v>SG85</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167</v>
      </c>
      <c r="D51" s="1512" t="s">
        <v>145</v>
      </c>
      <c r="E51" s="1513"/>
      <c r="F51" s="1514">
        <v>532</v>
      </c>
      <c r="G51" s="1515">
        <v>39</v>
      </c>
      <c r="H51" s="1516">
        <v>9</v>
      </c>
      <c r="I51" s="1514"/>
      <c r="J51" s="1515"/>
      <c r="K51" s="1516"/>
      <c r="L51" s="1517" t="s">
        <v>703</v>
      </c>
      <c r="M51" s="1517" t="s">
        <v>1393</v>
      </c>
      <c r="N51" s="1689" t="s">
        <v>116</v>
      </c>
      <c r="O51" s="1645"/>
      <c r="P51" s="245" t="b">
        <f t="shared" si="3"/>
        <v>0</v>
      </c>
      <c r="R51" s="245" t="b">
        <f t="shared" si="1"/>
        <v>0</v>
      </c>
      <c r="AO51" s="238" t="str">
        <f t="shared" si="2"/>
        <v>SG85</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167</v>
      </c>
      <c r="D52" s="1512" t="s">
        <v>145</v>
      </c>
      <c r="E52" s="1513"/>
      <c r="F52" s="1514">
        <v>532</v>
      </c>
      <c r="G52" s="1515">
        <v>47</v>
      </c>
      <c r="H52" s="1516">
        <v>9</v>
      </c>
      <c r="I52" s="1514"/>
      <c r="J52" s="1515"/>
      <c r="K52" s="1516"/>
      <c r="L52" s="1517" t="s">
        <v>703</v>
      </c>
      <c r="M52" s="1517" t="s">
        <v>1393</v>
      </c>
      <c r="N52" s="1689" t="s">
        <v>116</v>
      </c>
      <c r="O52" s="1645"/>
      <c r="P52" s="245" t="b">
        <f t="shared" si="3"/>
        <v>0</v>
      </c>
      <c r="R52" s="245" t="b">
        <f t="shared" si="1"/>
        <v>0</v>
      </c>
      <c r="AO52" s="238" t="str">
        <f t="shared" si="2"/>
        <v>SG85</v>
      </c>
      <c r="AP52" s="945" t="b">
        <v>0</v>
      </c>
      <c r="AQ52" s="1323"/>
      <c r="AR52" s="1324"/>
      <c r="AS52" s="1324"/>
      <c r="AT52" s="1324"/>
      <c r="AU52" s="1324"/>
      <c r="AV52" s="1324"/>
      <c r="AW52" s="1324"/>
      <c r="AX52" s="1324"/>
      <c r="AY52" s="1324"/>
      <c r="AZ52" s="1324"/>
      <c r="BA52" s="1533"/>
      <c r="BB52" s="1533"/>
      <c r="BC52" s="1534"/>
    </row>
    <row r="53" spans="1:55" ht="14.1" customHeight="1" x14ac:dyDescent="0.2">
      <c r="A53" s="1511" t="s">
        <v>2036</v>
      </c>
      <c r="B53" s="1512" t="s">
        <v>155</v>
      </c>
      <c r="C53" s="1512" t="s">
        <v>165</v>
      </c>
      <c r="D53" s="1512" t="s">
        <v>145</v>
      </c>
      <c r="E53" s="1513"/>
      <c r="F53" s="1514">
        <v>250</v>
      </c>
      <c r="G53" s="1515"/>
      <c r="H53" s="1516"/>
      <c r="I53" s="1514"/>
      <c r="J53" s="1515"/>
      <c r="K53" s="1516"/>
      <c r="L53" s="1517" t="s">
        <v>116</v>
      </c>
      <c r="M53" s="1517" t="s">
        <v>1393</v>
      </c>
      <c r="N53" s="1689" t="s">
        <v>116</v>
      </c>
      <c r="O53" s="1645"/>
      <c r="P53" s="245" t="b">
        <f t="shared" si="3"/>
        <v>0</v>
      </c>
      <c r="R53" s="245" t="b">
        <f t="shared" si="1"/>
        <v>1</v>
      </c>
      <c r="AO53" s="238" t="str">
        <f t="shared" si="2"/>
        <v>SG86</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155</v>
      </c>
      <c r="C54" s="1512" t="s">
        <v>165</v>
      </c>
      <c r="D54" s="1512" t="s">
        <v>159</v>
      </c>
      <c r="E54" s="1513"/>
      <c r="F54" s="1514">
        <v>250</v>
      </c>
      <c r="G54" s="1515"/>
      <c r="H54" s="1516"/>
      <c r="I54" s="1514"/>
      <c r="J54" s="1515"/>
      <c r="K54" s="1516"/>
      <c r="L54" s="1517" t="s">
        <v>116</v>
      </c>
      <c r="M54" s="1517" t="s">
        <v>1393</v>
      </c>
      <c r="N54" s="1689" t="s">
        <v>116</v>
      </c>
      <c r="O54" s="1645"/>
      <c r="P54" s="245" t="b">
        <f t="shared" si="3"/>
        <v>0</v>
      </c>
      <c r="R54" s="245" t="b">
        <f t="shared" si="1"/>
        <v>1</v>
      </c>
      <c r="AO54" s="238" t="str">
        <f t="shared" si="2"/>
        <v>SG86</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154</v>
      </c>
      <c r="C55" s="1521" t="s">
        <v>165</v>
      </c>
      <c r="D55" s="1521" t="s">
        <v>145</v>
      </c>
      <c r="E55" s="1522"/>
      <c r="F55" s="1523">
        <v>1500</v>
      </c>
      <c r="G55" s="1524"/>
      <c r="H55" s="1525"/>
      <c r="I55" s="1523"/>
      <c r="J55" s="1524"/>
      <c r="K55" s="1525"/>
      <c r="L55" s="1526" t="s">
        <v>116</v>
      </c>
      <c r="M55" s="1526" t="s">
        <v>1393</v>
      </c>
      <c r="N55" s="1690"/>
      <c r="O55" s="1645"/>
      <c r="P55" s="245" t="b">
        <f t="shared" si="3"/>
        <v>0</v>
      </c>
      <c r="R55" s="245" t="b">
        <f t="shared" si="1"/>
        <v>1</v>
      </c>
      <c r="AO55" s="238" t="str">
        <f t="shared" si="2"/>
        <v>SG86</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4" stopIfTrue="1">
      <formula>AND($B14="NU",F14&lt;0)</formula>
    </cfRule>
  </conditionalFormatting>
  <conditionalFormatting sqref="B14:B55">
    <cfRule type="expression" dxfId="28" priority="5" stopIfTrue="1">
      <formula>OR(AND($B14="NU",F14&lt;0),AND($B14="NU",I14&lt;0))</formula>
    </cfRule>
  </conditionalFormatting>
  <conditionalFormatting sqref="G14:H55 J14:L55">
    <cfRule type="expression" dxfId="27" priority="6" stopIfTrue="1">
      <formula>$R14</formula>
    </cfRule>
  </conditionalFormatting>
  <conditionalFormatting sqref="I2:K4">
    <cfRule type="cellIs" dxfId="26" priority="7" stopIfTrue="1" operator="equal">
      <formula>""</formula>
    </cfRule>
  </conditionalFormatting>
  <conditionalFormatting sqref="I14:I55">
    <cfRule type="expression" dxfId="25" priority="8" stopIfTrue="1">
      <formula>OR($R14,$B14="CZ",AND($B14="NU",I14&lt;0))</formula>
    </cfRule>
  </conditionalFormatting>
  <conditionalFormatting sqref="A14:A55">
    <cfRule type="expression" dxfId="24" priority="3">
      <formula>NOT($P14)</formula>
    </cfRule>
  </conditionalFormatting>
  <conditionalFormatting sqref="B14:D55">
    <cfRule type="expression" dxfId="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2" priority="9">
      <formula>AND(NOT($P14),$T$1)</formula>
    </cfRule>
    <cfRule type="expression" dxfId="21" priority="10">
      <formula>AND($AP14,$S$1="M")</formula>
    </cfRule>
  </conditionalFormatting>
  <conditionalFormatting sqref="L14:L55">
    <cfRule type="expression" dxfId="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63BE3E6-D2B1-41DA-890A-658007EB63E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FD7C273E-760A-4D3A-A718-352CB3C0145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DDA4317E-F691-4BB9-854D-FB825C43377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012DC22C-224C-42DC-AD2D-6163EA3D723C}">
      <formula1>IF($CA$14,$CA$16:$CA$21,$CB$16:$CB$19)</formula1>
    </dataValidation>
    <dataValidation type="list" allowBlank="1" showErrorMessage="1" errorTitle="Invalid Type" error="You MUST select a Type from the dropdown list provided._x000a__x000a_Also, make sure your Cap Lock is turned on." sqref="B14:B55" xr:uid="{00759F89-F1A2-47D7-A82F-35F3DEF54112}">
      <formula1>$BF$15:$BU$15</formula1>
    </dataValidation>
    <dataValidation allowBlank="1" showInputMessage="1" errorTitle="Invalid Load Case" error="You MUST use a Load Case from the list provided." sqref="M14:M55" xr:uid="{36BF265E-B6BD-4538-BBFE-DB2B92AB9068}"/>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0FB64-97D1-4F34-A3FD-27F61D5E1748}">
  <sheetPr codeName="Sheet7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165</v>
      </c>
      <c r="D14" s="1505" t="s">
        <v>145</v>
      </c>
      <c r="E14" s="1688"/>
      <c r="F14" s="1506">
        <v>2220</v>
      </c>
      <c r="G14" s="1507">
        <v>16</v>
      </c>
      <c r="H14" s="1508">
        <v>0</v>
      </c>
      <c r="I14" s="1506">
        <v>2220</v>
      </c>
      <c r="J14" s="1507">
        <v>40</v>
      </c>
      <c r="K14" s="1508">
        <v>0</v>
      </c>
      <c r="L14" s="1509" t="s">
        <v>700</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165</v>
      </c>
      <c r="D15" s="1512" t="s">
        <v>145</v>
      </c>
      <c r="E15" s="1513"/>
      <c r="F15" s="1514">
        <v>7000</v>
      </c>
      <c r="G15" s="1515">
        <v>7</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165</v>
      </c>
      <c r="D16" s="1512" t="s">
        <v>145</v>
      </c>
      <c r="E16" s="1513"/>
      <c r="F16" s="1514">
        <v>7000</v>
      </c>
      <c r="G16" s="1515">
        <v>15</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t="s">
        <v>148</v>
      </c>
      <c r="C17" s="1512" t="s">
        <v>165</v>
      </c>
      <c r="D17" s="1512" t="s">
        <v>145</v>
      </c>
      <c r="E17" s="1513"/>
      <c r="F17" s="1514">
        <v>7000</v>
      </c>
      <c r="G17" s="1515">
        <v>23</v>
      </c>
      <c r="H17" s="1516">
        <v>9</v>
      </c>
      <c r="I17" s="1514"/>
      <c r="J17" s="1515"/>
      <c r="K17" s="1516"/>
      <c r="L17" s="1517" t="s">
        <v>703</v>
      </c>
      <c r="M17" s="1518" t="s">
        <v>1393</v>
      </c>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148</v>
      </c>
      <c r="C18" s="1512" t="s">
        <v>165</v>
      </c>
      <c r="D18" s="1512" t="s">
        <v>145</v>
      </c>
      <c r="E18" s="1513"/>
      <c r="F18" s="1514">
        <v>7000</v>
      </c>
      <c r="G18" s="1515">
        <v>31</v>
      </c>
      <c r="H18" s="1516">
        <v>9</v>
      </c>
      <c r="I18" s="1514"/>
      <c r="J18" s="1515"/>
      <c r="K18" s="1516"/>
      <c r="L18" s="1517" t="s">
        <v>703</v>
      </c>
      <c r="M18" s="1518" t="s">
        <v>1393</v>
      </c>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148</v>
      </c>
      <c r="C19" s="1512" t="s">
        <v>165</v>
      </c>
      <c r="D19" s="1512" t="s">
        <v>145</v>
      </c>
      <c r="E19" s="1513"/>
      <c r="F19" s="1514">
        <v>7000</v>
      </c>
      <c r="G19" s="1515">
        <v>39</v>
      </c>
      <c r="H19" s="1516">
        <v>9</v>
      </c>
      <c r="I19" s="1514"/>
      <c r="J19" s="1515"/>
      <c r="K19" s="1516"/>
      <c r="L19" s="1517" t="s">
        <v>703</v>
      </c>
      <c r="M19" s="1518" t="s">
        <v>1393</v>
      </c>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47</v>
      </c>
      <c r="H20" s="1516">
        <v>9</v>
      </c>
      <c r="I20" s="1514"/>
      <c r="J20" s="1515"/>
      <c r="K20" s="1516"/>
      <c r="L20" s="1517" t="s">
        <v>703</v>
      </c>
      <c r="M20" s="1518" t="s">
        <v>1393</v>
      </c>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167</v>
      </c>
      <c r="D21" s="1512" t="s">
        <v>145</v>
      </c>
      <c r="E21" s="1513"/>
      <c r="F21" s="1514">
        <v>532</v>
      </c>
      <c r="G21" s="1515">
        <v>7</v>
      </c>
      <c r="H21" s="1516">
        <v>9</v>
      </c>
      <c r="I21" s="1514"/>
      <c r="J21" s="1515"/>
      <c r="K21" s="1516"/>
      <c r="L21" s="1517" t="s">
        <v>703</v>
      </c>
      <c r="M21" s="1518" t="s">
        <v>1393</v>
      </c>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167</v>
      </c>
      <c r="D22" s="1512" t="s">
        <v>145</v>
      </c>
      <c r="E22" s="1513"/>
      <c r="F22" s="1514">
        <v>532</v>
      </c>
      <c r="G22" s="1515">
        <v>15</v>
      </c>
      <c r="H22" s="1516">
        <v>9</v>
      </c>
      <c r="I22" s="1514"/>
      <c r="J22" s="1515"/>
      <c r="K22" s="1516"/>
      <c r="L22" s="1517" t="s">
        <v>703</v>
      </c>
      <c r="M22" s="1518" t="s">
        <v>1393</v>
      </c>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167</v>
      </c>
      <c r="D23" s="1512" t="s">
        <v>145</v>
      </c>
      <c r="E23" s="1513"/>
      <c r="F23" s="1514">
        <v>532</v>
      </c>
      <c r="G23" s="1515">
        <v>23</v>
      </c>
      <c r="H23" s="1516">
        <v>9</v>
      </c>
      <c r="I23" s="1514"/>
      <c r="J23" s="1515"/>
      <c r="K23" s="1516"/>
      <c r="L23" s="1517" t="s">
        <v>703</v>
      </c>
      <c r="M23" s="1518" t="s">
        <v>1393</v>
      </c>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167</v>
      </c>
      <c r="D24" s="1512" t="s">
        <v>145</v>
      </c>
      <c r="E24" s="1513"/>
      <c r="F24" s="1514">
        <v>532</v>
      </c>
      <c r="G24" s="1515">
        <v>31</v>
      </c>
      <c r="H24" s="1516">
        <v>9</v>
      </c>
      <c r="I24" s="1514"/>
      <c r="J24" s="1515"/>
      <c r="K24" s="1516"/>
      <c r="L24" s="1517" t="s">
        <v>703</v>
      </c>
      <c r="M24" s="1518" t="s">
        <v>1393</v>
      </c>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167</v>
      </c>
      <c r="D25" s="1512" t="s">
        <v>145</v>
      </c>
      <c r="E25" s="1513"/>
      <c r="F25" s="1514">
        <v>532</v>
      </c>
      <c r="G25" s="1515">
        <v>39</v>
      </c>
      <c r="H25" s="1516">
        <v>9</v>
      </c>
      <c r="I25" s="1514"/>
      <c r="J25" s="1515"/>
      <c r="K25" s="1516"/>
      <c r="L25" s="1517" t="s">
        <v>703</v>
      </c>
      <c r="M25" s="1518" t="s">
        <v>1393</v>
      </c>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167</v>
      </c>
      <c r="D26" s="1512" t="s">
        <v>145</v>
      </c>
      <c r="E26" s="1513"/>
      <c r="F26" s="1514">
        <v>532</v>
      </c>
      <c r="G26" s="1515">
        <v>47</v>
      </c>
      <c r="H26" s="1516">
        <v>9</v>
      </c>
      <c r="I26" s="1514"/>
      <c r="J26" s="1515"/>
      <c r="K26" s="1516"/>
      <c r="L26" s="1517" t="s">
        <v>703</v>
      </c>
      <c r="M26" s="1518" t="s">
        <v>1393</v>
      </c>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t="s">
        <v>2037</v>
      </c>
      <c r="B27" s="1512" t="s">
        <v>155</v>
      </c>
      <c r="C27" s="1512" t="s">
        <v>165</v>
      </c>
      <c r="D27" s="1512" t="s">
        <v>145</v>
      </c>
      <c r="E27" s="1513"/>
      <c r="F27" s="1514">
        <v>250</v>
      </c>
      <c r="G27" s="1515"/>
      <c r="H27" s="1516"/>
      <c r="I27" s="1514"/>
      <c r="J27" s="1515"/>
      <c r="K27" s="1516"/>
      <c r="L27" s="1517" t="s">
        <v>116</v>
      </c>
      <c r="M27" s="1518" t="s">
        <v>1393</v>
      </c>
      <c r="N27" s="1519"/>
      <c r="O27" s="1646"/>
      <c r="P27" s="245" t="b">
        <f t="shared" si="3"/>
        <v>0</v>
      </c>
      <c r="R27" s="245" t="b">
        <f t="shared" si="1"/>
        <v>1</v>
      </c>
      <c r="AO27" s="238" t="str">
        <f t="shared" si="2"/>
        <v>SG87</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155</v>
      </c>
      <c r="C28" s="1512" t="s">
        <v>165</v>
      </c>
      <c r="D28" s="1512" t="s">
        <v>159</v>
      </c>
      <c r="E28" s="1513"/>
      <c r="F28" s="1514">
        <v>250</v>
      </c>
      <c r="G28" s="1515"/>
      <c r="H28" s="1516"/>
      <c r="I28" s="1514"/>
      <c r="J28" s="1515"/>
      <c r="K28" s="1516"/>
      <c r="L28" s="1517" t="s">
        <v>116</v>
      </c>
      <c r="M28" s="1518" t="s">
        <v>1393</v>
      </c>
      <c r="N28" s="1689"/>
      <c r="O28" s="1645"/>
      <c r="P28" s="245" t="b">
        <f t="shared" si="3"/>
        <v>0</v>
      </c>
      <c r="R28" s="245" t="b">
        <f t="shared" si="1"/>
        <v>1</v>
      </c>
      <c r="AO28" s="238" t="str">
        <f t="shared" si="2"/>
        <v>SG87</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154</v>
      </c>
      <c r="C29" s="1512" t="s">
        <v>165</v>
      </c>
      <c r="D29" s="1512" t="s">
        <v>145</v>
      </c>
      <c r="E29" s="1513"/>
      <c r="F29" s="1514">
        <v>1500</v>
      </c>
      <c r="G29" s="1515"/>
      <c r="H29" s="1516"/>
      <c r="I29" s="1514"/>
      <c r="J29" s="1515"/>
      <c r="K29" s="1516"/>
      <c r="L29" s="1517" t="s">
        <v>116</v>
      </c>
      <c r="M29" s="1518" t="s">
        <v>1393</v>
      </c>
      <c r="N29" s="1689"/>
      <c r="O29" s="1645"/>
      <c r="P29" s="245" t="b">
        <f t="shared" si="3"/>
        <v>0</v>
      </c>
      <c r="R29" s="245" t="b">
        <f t="shared" si="1"/>
        <v>1</v>
      </c>
      <c r="AO29" s="238" t="str">
        <f t="shared" si="2"/>
        <v>SG87</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165</v>
      </c>
      <c r="D30" s="1512" t="s">
        <v>145</v>
      </c>
      <c r="E30" s="1513"/>
      <c r="F30" s="1514">
        <v>7000</v>
      </c>
      <c r="G30" s="1515">
        <v>7</v>
      </c>
      <c r="H30" s="1516">
        <v>9</v>
      </c>
      <c r="I30" s="1514"/>
      <c r="J30" s="1515"/>
      <c r="K30" s="1516"/>
      <c r="L30" s="1517" t="s">
        <v>703</v>
      </c>
      <c r="M30" s="1518" t="s">
        <v>1393</v>
      </c>
      <c r="N30" s="1689" t="s">
        <v>116</v>
      </c>
      <c r="O30" s="1645"/>
      <c r="P30" s="245" t="b">
        <f t="shared" si="3"/>
        <v>0</v>
      </c>
      <c r="R30" s="245" t="b">
        <f t="shared" si="1"/>
        <v>0</v>
      </c>
      <c r="AO30" s="238" t="str">
        <f t="shared" si="2"/>
        <v>SG87</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165</v>
      </c>
      <c r="D31" s="1512" t="s">
        <v>145</v>
      </c>
      <c r="E31" s="1513"/>
      <c r="F31" s="1514">
        <v>7000</v>
      </c>
      <c r="G31" s="1515">
        <v>15</v>
      </c>
      <c r="H31" s="1516">
        <v>9</v>
      </c>
      <c r="I31" s="1514"/>
      <c r="J31" s="1515"/>
      <c r="K31" s="1516"/>
      <c r="L31" s="1517" t="s">
        <v>703</v>
      </c>
      <c r="M31" s="1517" t="s">
        <v>1393</v>
      </c>
      <c r="N31" s="1689" t="s">
        <v>116</v>
      </c>
      <c r="O31" s="1645"/>
      <c r="P31" s="245" t="b">
        <f t="shared" si="3"/>
        <v>0</v>
      </c>
      <c r="R31" s="245" t="b">
        <f t="shared" si="1"/>
        <v>0</v>
      </c>
      <c r="AO31" s="238" t="str">
        <f t="shared" si="2"/>
        <v>SG87</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165</v>
      </c>
      <c r="D32" s="1512" t="s">
        <v>145</v>
      </c>
      <c r="E32" s="1513"/>
      <c r="F32" s="1514">
        <v>7000</v>
      </c>
      <c r="G32" s="1515">
        <v>23</v>
      </c>
      <c r="H32" s="1516">
        <v>9</v>
      </c>
      <c r="I32" s="1514"/>
      <c r="J32" s="1515"/>
      <c r="K32" s="1516"/>
      <c r="L32" s="1517" t="s">
        <v>703</v>
      </c>
      <c r="M32" s="1517" t="s">
        <v>1393</v>
      </c>
      <c r="N32" s="1689" t="s">
        <v>116</v>
      </c>
      <c r="O32" s="1645"/>
      <c r="P32" s="245" t="b">
        <f t="shared" si="3"/>
        <v>0</v>
      </c>
      <c r="R32" s="245" t="b">
        <f t="shared" si="1"/>
        <v>0</v>
      </c>
      <c r="AO32" s="238" t="str">
        <f t="shared" si="2"/>
        <v>SG87</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165</v>
      </c>
      <c r="D33" s="1512" t="s">
        <v>145</v>
      </c>
      <c r="E33" s="1513"/>
      <c r="F33" s="1514">
        <v>7000</v>
      </c>
      <c r="G33" s="1515">
        <v>31</v>
      </c>
      <c r="H33" s="1516">
        <v>9</v>
      </c>
      <c r="I33" s="1514"/>
      <c r="J33" s="1515"/>
      <c r="K33" s="1516"/>
      <c r="L33" s="1517" t="s">
        <v>703</v>
      </c>
      <c r="M33" s="1517" t="s">
        <v>1393</v>
      </c>
      <c r="N33" s="1689" t="s">
        <v>116</v>
      </c>
      <c r="O33" s="1645"/>
      <c r="P33" s="245" t="b">
        <f t="shared" si="3"/>
        <v>0</v>
      </c>
      <c r="R33" s="245" t="b">
        <f t="shared" si="1"/>
        <v>0</v>
      </c>
      <c r="AO33" s="238" t="str">
        <f t="shared" si="2"/>
        <v>SG87</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t="s">
        <v>148</v>
      </c>
      <c r="C34" s="1512" t="s">
        <v>165</v>
      </c>
      <c r="D34" s="1512" t="s">
        <v>145</v>
      </c>
      <c r="E34" s="1513"/>
      <c r="F34" s="1514">
        <v>7000</v>
      </c>
      <c r="G34" s="1515">
        <v>39</v>
      </c>
      <c r="H34" s="1516">
        <v>9</v>
      </c>
      <c r="I34" s="1514"/>
      <c r="J34" s="1515"/>
      <c r="K34" s="1516"/>
      <c r="L34" s="1517" t="s">
        <v>703</v>
      </c>
      <c r="M34" s="1517" t="s">
        <v>1393</v>
      </c>
      <c r="N34" s="1689" t="s">
        <v>116</v>
      </c>
      <c r="O34" s="1645"/>
      <c r="P34" s="245" t="b">
        <f t="shared" si="3"/>
        <v>0</v>
      </c>
      <c r="R34" s="245" t="b">
        <f t="shared" si="1"/>
        <v>0</v>
      </c>
      <c r="AO34" s="238" t="str">
        <f t="shared" si="2"/>
        <v>SG87</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t="s">
        <v>148</v>
      </c>
      <c r="C35" s="1512" t="s">
        <v>165</v>
      </c>
      <c r="D35" s="1512" t="s">
        <v>145</v>
      </c>
      <c r="E35" s="1513"/>
      <c r="F35" s="1514">
        <v>7000</v>
      </c>
      <c r="G35" s="1515">
        <v>47</v>
      </c>
      <c r="H35" s="1516">
        <v>9</v>
      </c>
      <c r="I35" s="1514"/>
      <c r="J35" s="1515"/>
      <c r="K35" s="1516"/>
      <c r="L35" s="1517" t="s">
        <v>703</v>
      </c>
      <c r="M35" s="1517" t="s">
        <v>1393</v>
      </c>
      <c r="N35" s="1689" t="s">
        <v>116</v>
      </c>
      <c r="O35" s="1645"/>
      <c r="P35" s="245" t="b">
        <f t="shared" si="3"/>
        <v>0</v>
      </c>
      <c r="R35" s="245" t="b">
        <f t="shared" si="1"/>
        <v>0</v>
      </c>
      <c r="AO35" s="238" t="str">
        <f t="shared" si="2"/>
        <v>SG87</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t="s">
        <v>148</v>
      </c>
      <c r="C36" s="1512" t="s">
        <v>167</v>
      </c>
      <c r="D36" s="1512" t="s">
        <v>145</v>
      </c>
      <c r="E36" s="1513"/>
      <c r="F36" s="1514">
        <v>532</v>
      </c>
      <c r="G36" s="1515">
        <v>7</v>
      </c>
      <c r="H36" s="1516">
        <v>9</v>
      </c>
      <c r="I36" s="1514"/>
      <c r="J36" s="1515"/>
      <c r="K36" s="1516"/>
      <c r="L36" s="1517" t="s">
        <v>703</v>
      </c>
      <c r="M36" s="1517" t="s">
        <v>1393</v>
      </c>
      <c r="N36" s="1689" t="s">
        <v>116</v>
      </c>
      <c r="O36" s="1645"/>
      <c r="P36" s="245" t="b">
        <f t="shared" si="3"/>
        <v>0</v>
      </c>
      <c r="R36" s="245" t="b">
        <f t="shared" si="1"/>
        <v>0</v>
      </c>
      <c r="AO36" s="238" t="str">
        <f t="shared" si="2"/>
        <v>SG87</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t="s">
        <v>148</v>
      </c>
      <c r="C37" s="1512" t="s">
        <v>167</v>
      </c>
      <c r="D37" s="1512" t="s">
        <v>145</v>
      </c>
      <c r="E37" s="1513"/>
      <c r="F37" s="1514">
        <v>532</v>
      </c>
      <c r="G37" s="1515">
        <v>15</v>
      </c>
      <c r="H37" s="1516">
        <v>9</v>
      </c>
      <c r="I37" s="1514"/>
      <c r="J37" s="1515"/>
      <c r="K37" s="1516"/>
      <c r="L37" s="1517" t="s">
        <v>703</v>
      </c>
      <c r="M37" s="1517" t="s">
        <v>1393</v>
      </c>
      <c r="N37" s="1689" t="s">
        <v>116</v>
      </c>
      <c r="O37" s="1645"/>
      <c r="P37" s="245" t="b">
        <f t="shared" si="3"/>
        <v>0</v>
      </c>
      <c r="R37" s="245" t="b">
        <f t="shared" si="1"/>
        <v>0</v>
      </c>
      <c r="AO37" s="238" t="str">
        <f t="shared" si="2"/>
        <v>SG87</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t="s">
        <v>148</v>
      </c>
      <c r="C38" s="1512" t="s">
        <v>167</v>
      </c>
      <c r="D38" s="1512" t="s">
        <v>145</v>
      </c>
      <c r="E38" s="1513"/>
      <c r="F38" s="1514">
        <v>532</v>
      </c>
      <c r="G38" s="1515">
        <v>23</v>
      </c>
      <c r="H38" s="1516">
        <v>9</v>
      </c>
      <c r="I38" s="1514"/>
      <c r="J38" s="1515"/>
      <c r="K38" s="1516"/>
      <c r="L38" s="1517" t="s">
        <v>703</v>
      </c>
      <c r="M38" s="1517" t="s">
        <v>1393</v>
      </c>
      <c r="N38" s="1689" t="s">
        <v>116</v>
      </c>
      <c r="O38" s="1645"/>
      <c r="P38" s="245" t="b">
        <f t="shared" si="3"/>
        <v>0</v>
      </c>
      <c r="R38" s="245" t="b">
        <f t="shared" si="1"/>
        <v>0</v>
      </c>
      <c r="AO38" s="238" t="str">
        <f t="shared" si="2"/>
        <v>SG87</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t="s">
        <v>148</v>
      </c>
      <c r="C39" s="1512" t="s">
        <v>167</v>
      </c>
      <c r="D39" s="1512" t="s">
        <v>145</v>
      </c>
      <c r="E39" s="1513"/>
      <c r="F39" s="1514">
        <v>532</v>
      </c>
      <c r="G39" s="1515">
        <v>31</v>
      </c>
      <c r="H39" s="1516">
        <v>9</v>
      </c>
      <c r="I39" s="1514"/>
      <c r="J39" s="1515"/>
      <c r="K39" s="1516"/>
      <c r="L39" s="1517" t="s">
        <v>703</v>
      </c>
      <c r="M39" s="1517" t="s">
        <v>1393</v>
      </c>
      <c r="N39" s="1689" t="s">
        <v>116</v>
      </c>
      <c r="O39" s="1645"/>
      <c r="P39" s="245" t="b">
        <f t="shared" si="3"/>
        <v>0</v>
      </c>
      <c r="R39" s="245" t="b">
        <f t="shared" si="1"/>
        <v>0</v>
      </c>
      <c r="AO39" s="238" t="str">
        <f t="shared" si="2"/>
        <v>SG87</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t="s">
        <v>148</v>
      </c>
      <c r="C40" s="1512" t="s">
        <v>167</v>
      </c>
      <c r="D40" s="1512" t="s">
        <v>145</v>
      </c>
      <c r="E40" s="1513"/>
      <c r="F40" s="1514">
        <v>532</v>
      </c>
      <c r="G40" s="1515">
        <v>39</v>
      </c>
      <c r="H40" s="1516">
        <v>9</v>
      </c>
      <c r="I40" s="1514"/>
      <c r="J40" s="1515"/>
      <c r="K40" s="1516"/>
      <c r="L40" s="1517" t="s">
        <v>703</v>
      </c>
      <c r="M40" s="1517" t="s">
        <v>1393</v>
      </c>
      <c r="N40" s="1689" t="s">
        <v>116</v>
      </c>
      <c r="O40" s="1645"/>
      <c r="P40" s="245" t="b">
        <f t="shared" si="3"/>
        <v>0</v>
      </c>
      <c r="R40" s="245" t="b">
        <f t="shared" si="1"/>
        <v>0</v>
      </c>
      <c r="AO40" s="238" t="str">
        <f t="shared" si="2"/>
        <v>SG87</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t="s">
        <v>148</v>
      </c>
      <c r="C41" s="1512" t="s">
        <v>167</v>
      </c>
      <c r="D41" s="1512" t="s">
        <v>145</v>
      </c>
      <c r="E41" s="1513"/>
      <c r="F41" s="1514">
        <v>532</v>
      </c>
      <c r="G41" s="1515">
        <v>47</v>
      </c>
      <c r="H41" s="1516">
        <v>9</v>
      </c>
      <c r="I41" s="1514"/>
      <c r="J41" s="1515"/>
      <c r="K41" s="1516"/>
      <c r="L41" s="1517" t="s">
        <v>703</v>
      </c>
      <c r="M41" s="1517" t="s">
        <v>1393</v>
      </c>
      <c r="N41" s="1689" t="s">
        <v>116</v>
      </c>
      <c r="O41" s="1645"/>
      <c r="P41" s="245" t="b">
        <f t="shared" si="3"/>
        <v>0</v>
      </c>
      <c r="R41" s="245" t="b">
        <f t="shared" si="1"/>
        <v>0</v>
      </c>
      <c r="AO41" s="238" t="str">
        <f t="shared" si="2"/>
        <v>SG87</v>
      </c>
      <c r="AP41" s="945" t="b">
        <v>0</v>
      </c>
      <c r="AQ41" s="1323"/>
      <c r="AR41" s="1324"/>
      <c r="AS41" s="1324"/>
      <c r="AT41" s="1324"/>
      <c r="AU41" s="1324"/>
      <c r="AV41" s="1324"/>
      <c r="AW41" s="1324"/>
      <c r="AX41" s="1324"/>
      <c r="AY41" s="1324"/>
      <c r="AZ41" s="1324"/>
      <c r="BA41" s="1533"/>
      <c r="BB41" s="1533"/>
      <c r="BC41" s="1534"/>
    </row>
    <row r="42" spans="1:55" ht="14.1" customHeight="1" x14ac:dyDescent="0.2">
      <c r="A42" s="1511" t="s">
        <v>2038</v>
      </c>
      <c r="B42" s="1512" t="s">
        <v>155</v>
      </c>
      <c r="C42" s="1512" t="s">
        <v>165</v>
      </c>
      <c r="D42" s="1512" t="s">
        <v>145</v>
      </c>
      <c r="E42" s="1513"/>
      <c r="F42" s="1514">
        <v>250</v>
      </c>
      <c r="G42" s="1515"/>
      <c r="H42" s="1516"/>
      <c r="I42" s="1514"/>
      <c r="J42" s="1515"/>
      <c r="K42" s="1516"/>
      <c r="L42" s="1517" t="s">
        <v>116</v>
      </c>
      <c r="M42" s="1517" t="s">
        <v>1393</v>
      </c>
      <c r="N42" s="1689" t="s">
        <v>116</v>
      </c>
      <c r="O42" s="1645"/>
      <c r="P42" s="245" t="b">
        <f t="shared" si="3"/>
        <v>0</v>
      </c>
      <c r="R42" s="245" t="b">
        <f t="shared" si="1"/>
        <v>1</v>
      </c>
      <c r="AO42" s="238" t="str">
        <f t="shared" si="2"/>
        <v>SG88</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t="s">
        <v>155</v>
      </c>
      <c r="C43" s="1512" t="s">
        <v>165</v>
      </c>
      <c r="D43" s="1512" t="s">
        <v>159</v>
      </c>
      <c r="E43" s="1513"/>
      <c r="F43" s="1514">
        <v>250</v>
      </c>
      <c r="G43" s="1515"/>
      <c r="H43" s="1516"/>
      <c r="I43" s="1514"/>
      <c r="J43" s="1515"/>
      <c r="K43" s="1516"/>
      <c r="L43" s="1517" t="s">
        <v>116</v>
      </c>
      <c r="M43" s="1517" t="s">
        <v>1393</v>
      </c>
      <c r="N43" s="1689" t="s">
        <v>116</v>
      </c>
      <c r="O43" s="1645"/>
      <c r="P43" s="245" t="b">
        <f t="shared" si="3"/>
        <v>0</v>
      </c>
      <c r="R43" s="245" t="b">
        <f t="shared" si="1"/>
        <v>1</v>
      </c>
      <c r="AO43" s="238" t="str">
        <f t="shared" si="2"/>
        <v>SG88</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t="s">
        <v>154</v>
      </c>
      <c r="C44" s="1512" t="s">
        <v>165</v>
      </c>
      <c r="D44" s="1512" t="s">
        <v>145</v>
      </c>
      <c r="E44" s="1513"/>
      <c r="F44" s="1514">
        <v>1500</v>
      </c>
      <c r="G44" s="1515"/>
      <c r="H44" s="1516"/>
      <c r="I44" s="1514"/>
      <c r="J44" s="1515"/>
      <c r="K44" s="1516"/>
      <c r="L44" s="1517" t="s">
        <v>116</v>
      </c>
      <c r="M44" s="1517" t="s">
        <v>1393</v>
      </c>
      <c r="N44" s="1689" t="s">
        <v>116</v>
      </c>
      <c r="O44" s="1645"/>
      <c r="P44" s="245" t="b">
        <f t="shared" si="3"/>
        <v>0</v>
      </c>
      <c r="R44" s="245" t="b">
        <f t="shared" si="1"/>
        <v>1</v>
      </c>
      <c r="AO44" s="238" t="str">
        <f t="shared" si="2"/>
        <v>SG88</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t="s">
        <v>148</v>
      </c>
      <c r="C45" s="1512" t="s">
        <v>165</v>
      </c>
      <c r="D45" s="1512" t="s">
        <v>145</v>
      </c>
      <c r="E45" s="1513"/>
      <c r="F45" s="1514">
        <v>720</v>
      </c>
      <c r="G45" s="1515">
        <v>8</v>
      </c>
      <c r="H45" s="1516">
        <v>0</v>
      </c>
      <c r="I45" s="1514">
        <v>2220</v>
      </c>
      <c r="J45" s="1515">
        <v>40</v>
      </c>
      <c r="K45" s="1516">
        <v>0</v>
      </c>
      <c r="L45" s="1517" t="s">
        <v>700</v>
      </c>
      <c r="M45" s="1517" t="s">
        <v>1393</v>
      </c>
      <c r="N45" s="1689" t="s">
        <v>116</v>
      </c>
      <c r="O45" s="1645"/>
      <c r="P45" s="245" t="b">
        <f t="shared" si="3"/>
        <v>0</v>
      </c>
      <c r="R45" s="245" t="b">
        <f t="shared" si="1"/>
        <v>0</v>
      </c>
      <c r="AO45" s="238" t="str">
        <f t="shared" si="2"/>
        <v>SG88</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t="s">
        <v>148</v>
      </c>
      <c r="C46" s="1512" t="s">
        <v>165</v>
      </c>
      <c r="D46" s="1512" t="s">
        <v>145</v>
      </c>
      <c r="E46" s="1513"/>
      <c r="F46" s="1514">
        <v>2220</v>
      </c>
      <c r="G46" s="1515">
        <v>48</v>
      </c>
      <c r="H46" s="1516">
        <v>0</v>
      </c>
      <c r="I46" s="1514"/>
      <c r="J46" s="1515"/>
      <c r="K46" s="1516"/>
      <c r="L46" s="1517" t="s">
        <v>700</v>
      </c>
      <c r="M46" s="1517" t="s">
        <v>1393</v>
      </c>
      <c r="N46" s="1689" t="s">
        <v>116</v>
      </c>
      <c r="O46" s="1645"/>
      <c r="P46" s="245" t="b">
        <f t="shared" si="3"/>
        <v>0</v>
      </c>
      <c r="R46" s="245" t="b">
        <f t="shared" si="1"/>
        <v>0</v>
      </c>
      <c r="AO46" s="238" t="str">
        <f t="shared" si="2"/>
        <v>SG88</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t="s">
        <v>148</v>
      </c>
      <c r="C47" s="1512" t="s">
        <v>165</v>
      </c>
      <c r="D47" s="1512" t="s">
        <v>145</v>
      </c>
      <c r="E47" s="1513"/>
      <c r="F47" s="1514">
        <v>7000</v>
      </c>
      <c r="G47" s="1515">
        <v>7</v>
      </c>
      <c r="H47" s="1516">
        <v>9</v>
      </c>
      <c r="I47" s="1514"/>
      <c r="J47" s="1515"/>
      <c r="K47" s="1516"/>
      <c r="L47" s="1517" t="s">
        <v>703</v>
      </c>
      <c r="M47" s="1517" t="s">
        <v>1393</v>
      </c>
      <c r="N47" s="1689" t="s">
        <v>116</v>
      </c>
      <c r="O47" s="1645"/>
      <c r="P47" s="245" t="b">
        <f t="shared" si="3"/>
        <v>0</v>
      </c>
      <c r="R47" s="245" t="b">
        <f t="shared" si="1"/>
        <v>0</v>
      </c>
      <c r="AO47" s="238" t="str">
        <f t="shared" si="2"/>
        <v>SG88</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t="s">
        <v>148</v>
      </c>
      <c r="C48" s="1512" t="s">
        <v>165</v>
      </c>
      <c r="D48" s="1512" t="s">
        <v>145</v>
      </c>
      <c r="E48" s="1513"/>
      <c r="F48" s="1514">
        <v>7000</v>
      </c>
      <c r="G48" s="1515">
        <v>15</v>
      </c>
      <c r="H48" s="1516">
        <v>9</v>
      </c>
      <c r="I48" s="1514"/>
      <c r="J48" s="1515"/>
      <c r="K48" s="1516"/>
      <c r="L48" s="1517" t="s">
        <v>703</v>
      </c>
      <c r="M48" s="1517" t="s">
        <v>1393</v>
      </c>
      <c r="N48" s="1689" t="s">
        <v>116</v>
      </c>
      <c r="O48" s="1645"/>
      <c r="P48" s="245" t="b">
        <f t="shared" si="3"/>
        <v>0</v>
      </c>
      <c r="R48" s="245" t="b">
        <f t="shared" si="1"/>
        <v>0</v>
      </c>
      <c r="AO48" s="238" t="str">
        <f t="shared" si="2"/>
        <v>SG88</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t="s">
        <v>148</v>
      </c>
      <c r="C49" s="1512" t="s">
        <v>165</v>
      </c>
      <c r="D49" s="1512" t="s">
        <v>145</v>
      </c>
      <c r="E49" s="1513"/>
      <c r="F49" s="1514">
        <v>7000</v>
      </c>
      <c r="G49" s="1515">
        <v>23</v>
      </c>
      <c r="H49" s="1516">
        <v>9</v>
      </c>
      <c r="I49" s="1514"/>
      <c r="J49" s="1515"/>
      <c r="K49" s="1516"/>
      <c r="L49" s="1517" t="s">
        <v>703</v>
      </c>
      <c r="M49" s="1517" t="s">
        <v>1393</v>
      </c>
      <c r="N49" s="1689" t="s">
        <v>116</v>
      </c>
      <c r="O49" s="1645"/>
      <c r="P49" s="245" t="b">
        <f t="shared" si="3"/>
        <v>0</v>
      </c>
      <c r="R49" s="245" t="b">
        <f t="shared" si="1"/>
        <v>0</v>
      </c>
      <c r="AO49" s="238" t="str">
        <f t="shared" si="2"/>
        <v>SG88</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t="s">
        <v>148</v>
      </c>
      <c r="C50" s="1512" t="s">
        <v>165</v>
      </c>
      <c r="D50" s="1512" t="s">
        <v>145</v>
      </c>
      <c r="E50" s="1513"/>
      <c r="F50" s="1514">
        <v>7000</v>
      </c>
      <c r="G50" s="1515">
        <v>31</v>
      </c>
      <c r="H50" s="1516">
        <v>9</v>
      </c>
      <c r="I50" s="1514"/>
      <c r="J50" s="1515"/>
      <c r="K50" s="1516"/>
      <c r="L50" s="1517" t="s">
        <v>703</v>
      </c>
      <c r="M50" s="1517" t="s">
        <v>1393</v>
      </c>
      <c r="N50" s="1689" t="s">
        <v>116</v>
      </c>
      <c r="O50" s="1645"/>
      <c r="P50" s="245" t="b">
        <f t="shared" si="3"/>
        <v>0</v>
      </c>
      <c r="R50" s="245" t="b">
        <f t="shared" si="1"/>
        <v>0</v>
      </c>
      <c r="AO50" s="238" t="str">
        <f t="shared" si="2"/>
        <v>SG88</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t="s">
        <v>148</v>
      </c>
      <c r="C51" s="1512" t="s">
        <v>165</v>
      </c>
      <c r="D51" s="1512" t="s">
        <v>145</v>
      </c>
      <c r="E51" s="1513"/>
      <c r="F51" s="1514">
        <v>7000</v>
      </c>
      <c r="G51" s="1515">
        <v>39</v>
      </c>
      <c r="H51" s="1516">
        <v>9</v>
      </c>
      <c r="I51" s="1514"/>
      <c r="J51" s="1515"/>
      <c r="K51" s="1516"/>
      <c r="L51" s="1517" t="s">
        <v>703</v>
      </c>
      <c r="M51" s="1517" t="s">
        <v>1393</v>
      </c>
      <c r="N51" s="1689" t="s">
        <v>116</v>
      </c>
      <c r="O51" s="1645"/>
      <c r="P51" s="245" t="b">
        <f t="shared" si="3"/>
        <v>0</v>
      </c>
      <c r="R51" s="245" t="b">
        <f t="shared" si="1"/>
        <v>0</v>
      </c>
      <c r="AO51" s="238" t="str">
        <f t="shared" si="2"/>
        <v>SG88</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t="s">
        <v>148</v>
      </c>
      <c r="C52" s="1512" t="s">
        <v>165</v>
      </c>
      <c r="D52" s="1512" t="s">
        <v>145</v>
      </c>
      <c r="E52" s="1513"/>
      <c r="F52" s="1514">
        <v>7000</v>
      </c>
      <c r="G52" s="1515">
        <v>47</v>
      </c>
      <c r="H52" s="1516">
        <v>9</v>
      </c>
      <c r="I52" s="1514"/>
      <c r="J52" s="1515"/>
      <c r="K52" s="1516"/>
      <c r="L52" s="1517" t="s">
        <v>703</v>
      </c>
      <c r="M52" s="1517" t="s">
        <v>1393</v>
      </c>
      <c r="N52" s="1689" t="s">
        <v>116</v>
      </c>
      <c r="O52" s="1645"/>
      <c r="P52" s="245" t="b">
        <f t="shared" si="3"/>
        <v>0</v>
      </c>
      <c r="R52" s="245" t="b">
        <f t="shared" si="1"/>
        <v>0</v>
      </c>
      <c r="AO52" s="238" t="str">
        <f t="shared" si="2"/>
        <v>SG88</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t="s">
        <v>148</v>
      </c>
      <c r="C53" s="1512" t="s">
        <v>167</v>
      </c>
      <c r="D53" s="1512" t="s">
        <v>145</v>
      </c>
      <c r="E53" s="1513"/>
      <c r="F53" s="1514">
        <v>532</v>
      </c>
      <c r="G53" s="1515">
        <v>7</v>
      </c>
      <c r="H53" s="1516">
        <v>9</v>
      </c>
      <c r="I53" s="1514"/>
      <c r="J53" s="1515"/>
      <c r="K53" s="1516"/>
      <c r="L53" s="1517" t="s">
        <v>703</v>
      </c>
      <c r="M53" s="1517" t="s">
        <v>1393</v>
      </c>
      <c r="N53" s="1689" t="s">
        <v>116</v>
      </c>
      <c r="O53" s="1645"/>
      <c r="P53" s="245" t="b">
        <f t="shared" si="3"/>
        <v>0</v>
      </c>
      <c r="R53" s="245" t="b">
        <f t="shared" si="1"/>
        <v>0</v>
      </c>
      <c r="AO53" s="238" t="str">
        <f t="shared" si="2"/>
        <v>SG88</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t="s">
        <v>148</v>
      </c>
      <c r="C54" s="1512" t="s">
        <v>167</v>
      </c>
      <c r="D54" s="1512" t="s">
        <v>145</v>
      </c>
      <c r="E54" s="1513"/>
      <c r="F54" s="1514">
        <v>532</v>
      </c>
      <c r="G54" s="1515">
        <v>15</v>
      </c>
      <c r="H54" s="1516">
        <v>9</v>
      </c>
      <c r="I54" s="1514"/>
      <c r="J54" s="1515"/>
      <c r="K54" s="1516"/>
      <c r="L54" s="1517" t="s">
        <v>703</v>
      </c>
      <c r="M54" s="1517" t="s">
        <v>1393</v>
      </c>
      <c r="N54" s="1689" t="s">
        <v>116</v>
      </c>
      <c r="O54" s="1645"/>
      <c r="P54" s="245" t="b">
        <f t="shared" si="3"/>
        <v>0</v>
      </c>
      <c r="R54" s="245" t="b">
        <f t="shared" si="1"/>
        <v>0</v>
      </c>
      <c r="AO54" s="238" t="str">
        <f t="shared" si="2"/>
        <v>SG88</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t="s">
        <v>148</v>
      </c>
      <c r="C55" s="1521" t="s">
        <v>167</v>
      </c>
      <c r="D55" s="1521" t="s">
        <v>145</v>
      </c>
      <c r="E55" s="1522"/>
      <c r="F55" s="1523">
        <v>532</v>
      </c>
      <c r="G55" s="1524">
        <v>23</v>
      </c>
      <c r="H55" s="1525">
        <v>9</v>
      </c>
      <c r="I55" s="1523"/>
      <c r="J55" s="1524"/>
      <c r="K55" s="1525"/>
      <c r="L55" s="1526" t="s">
        <v>703</v>
      </c>
      <c r="M55" s="1526" t="s">
        <v>1393</v>
      </c>
      <c r="N55" s="1690"/>
      <c r="O55" s="1645"/>
      <c r="P55" s="245" t="b">
        <f t="shared" si="3"/>
        <v>0</v>
      </c>
      <c r="R55" s="245" t="b">
        <f t="shared" si="1"/>
        <v>0</v>
      </c>
      <c r="AO55" s="238" t="str">
        <f t="shared" si="2"/>
        <v>SG88</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9" priority="4" stopIfTrue="1">
      <formula>AND($B14="NU",F14&lt;0)</formula>
    </cfRule>
  </conditionalFormatting>
  <conditionalFormatting sqref="B14:B55">
    <cfRule type="expression" dxfId="18" priority="5" stopIfTrue="1">
      <formula>OR(AND($B14="NU",F14&lt;0),AND($B14="NU",I14&lt;0))</formula>
    </cfRule>
  </conditionalFormatting>
  <conditionalFormatting sqref="G14:H55 J14:L55">
    <cfRule type="expression" dxfId="17" priority="6" stopIfTrue="1">
      <formula>$R14</formula>
    </cfRule>
  </conditionalFormatting>
  <conditionalFormatting sqref="I2:K4">
    <cfRule type="cellIs" dxfId="16" priority="7" stopIfTrue="1" operator="equal">
      <formula>""</formula>
    </cfRule>
  </conditionalFormatting>
  <conditionalFormatting sqref="I14:I55">
    <cfRule type="expression" dxfId="15" priority="8" stopIfTrue="1">
      <formula>OR($R14,$B14="CZ",AND($B14="NU",I14&lt;0))</formula>
    </cfRule>
  </conditionalFormatting>
  <conditionalFormatting sqref="A14:A55">
    <cfRule type="expression" dxfId="14" priority="3">
      <formula>NOT($P14)</formula>
    </cfRule>
  </conditionalFormatting>
  <conditionalFormatting sqref="B14:D55">
    <cfRule type="expression" dxfId="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 priority="9">
      <formula>AND(NOT($P14),$T$1)</formula>
    </cfRule>
    <cfRule type="expression" dxfId="11" priority="10">
      <formula>AND($AP14,$S$1="M")</formula>
    </cfRule>
  </conditionalFormatting>
  <conditionalFormatting sqref="L14:L55">
    <cfRule type="expression" dxfId="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4BA1D6A2-1DA1-4041-A2FF-7814ED3AA88B}">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3343FD6-88B7-46C8-BE46-A97679FBDF94}">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038C0-BE3D-4E41-934C-534634872E7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554AF59-1207-4A19-8F85-4AB3BA5CB2AE}">
      <formula1>IF($CA$14,$CA$16:$CA$21,$CB$16:$CB$19)</formula1>
    </dataValidation>
    <dataValidation type="list" allowBlank="1" showErrorMessage="1" errorTitle="Invalid Type" error="You MUST select a Type from the dropdown list provided._x000a__x000a_Also, make sure your Cap Lock is turned on." sqref="B14:B55" xr:uid="{9A0FC547-29BB-421E-8465-5FFB150C2D10}">
      <formula1>$BF$15:$BU$15</formula1>
    </dataValidation>
    <dataValidation allowBlank="1" showInputMessage="1" errorTitle="Invalid Load Case" error="You MUST use a Load Case from the list provided." sqref="M14:M55" xr:uid="{D9266DA2-6D02-409B-829A-0728F2E9476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C0505-67F3-49D2-B3B7-096E5F251C2E}">
  <sheetPr codeName="Sheet73">
    <tabColor indexed="45"/>
  </sheetPr>
  <dimension ref="A1:CE65"/>
  <sheetViews>
    <sheetView showGridLines="0" tabSelected="1"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02" t="str">
        <f>IF(S1="","",VLOOKUP(S1,'Job Info.'!X:AA,4,FALSE))</f>
        <v>Master</v>
      </c>
      <c r="J1" s="1802"/>
      <c r="K1" s="180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07" t="str">
        <f>IF(S1="","",IF(VLOOKUP(S1,'Job Info.'!X:Z,2,FALSE),"Released for Fabrication",""))</f>
        <v/>
      </c>
      <c r="J2" s="1808"/>
      <c r="K2" s="1809"/>
      <c r="L2" s="375"/>
      <c r="M2" s="375" t="s">
        <v>96</v>
      </c>
      <c r="N2" s="463" t="str">
        <f ca="1">'Job Info.'!D13</f>
        <v>775-867-2140</v>
      </c>
      <c r="O2" s="1008"/>
      <c r="P2" s="1008"/>
      <c r="BE2" s="1040"/>
    </row>
    <row r="3" spans="1:83" ht="12.95" customHeight="1" x14ac:dyDescent="0.2">
      <c r="A3" s="374"/>
      <c r="B3" s="374"/>
      <c r="C3" s="374"/>
      <c r="D3" s="374"/>
      <c r="E3" s="374"/>
      <c r="F3" s="374"/>
      <c r="G3" s="374"/>
      <c r="H3" s="375"/>
      <c r="I3" s="1810"/>
      <c r="J3" s="1811"/>
      <c r="K3" s="1812"/>
      <c r="L3" s="375"/>
      <c r="M3" s="375" t="s">
        <v>98</v>
      </c>
      <c r="N3" s="463" t="str">
        <f ca="1">'Job Info.'!D14</f>
        <v>775-867-2169</v>
      </c>
      <c r="O3" s="1008"/>
      <c r="P3" s="1008"/>
    </row>
    <row r="4" spans="1:83" ht="12.95" customHeight="1" thickBot="1" x14ac:dyDescent="0.25">
      <c r="A4" s="374"/>
      <c r="B4" s="374"/>
      <c r="C4" s="374"/>
      <c r="D4" s="374"/>
      <c r="E4" s="374"/>
      <c r="F4" s="374"/>
      <c r="G4" s="374"/>
      <c r="H4" s="374"/>
      <c r="I4" s="1813" t="str">
        <f>IF(S1="","",IF(VLOOKUP(S1,'Job Info.'!X:Z,2,FALSE),VLOOKUP(S1,'Job Info.'!X:Z,3,FALSE),""))</f>
        <v/>
      </c>
      <c r="J4" s="1814"/>
      <c r="K4" s="1815"/>
      <c r="L4" s="375"/>
      <c r="M4" s="375" t="s">
        <v>97</v>
      </c>
      <c r="N4" s="463" t="str">
        <f ca="1">'Job Info.'!D15</f>
        <v>775-867-2060</v>
      </c>
      <c r="O4" s="1008"/>
      <c r="P4" s="1008"/>
    </row>
    <row r="5" spans="1:83" ht="12.95" customHeight="1" thickTop="1" x14ac:dyDescent="0.2">
      <c r="A5" s="1816" t="str">
        <f ca="1">'Job Info.'!D11</f>
        <v>8200 Woolery Way | Fallon, NV 89406 | www.newmill.com</v>
      </c>
      <c r="B5" s="1846"/>
      <c r="C5" s="1846"/>
      <c r="D5" s="1846"/>
      <c r="E5" s="1846"/>
      <c r="F5" s="1846"/>
      <c r="G5" s="1846"/>
      <c r="H5" s="1846"/>
      <c r="I5" s="1846"/>
      <c r="J5" s="184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6" t="str">
        <f>IF(ISBLANK('Job Info.'!D3),"",'Job Info.'!D3)</f>
        <v>SUNCAP CHEYENNE&amp;COMMERCE BLDG A&amp;B PP</v>
      </c>
      <c r="C9" s="1796"/>
      <c r="D9" s="1796"/>
      <c r="E9" s="1796"/>
      <c r="F9" s="1796"/>
      <c r="G9" s="1796"/>
      <c r="H9" s="1797"/>
      <c r="I9" s="469"/>
      <c r="J9" s="458" t="s">
        <v>2</v>
      </c>
      <c r="K9" s="1796" t="str">
        <f>IF(ISBLANK('Job Info.'!D5),"",'Job Info.'!D5)</f>
        <v>9122-0050</v>
      </c>
      <c r="L9" s="1848"/>
      <c r="M9" s="1848"/>
      <c r="N9" s="1849"/>
      <c r="O9" s="1056"/>
      <c r="P9" s="1056"/>
      <c r="V9" s="631"/>
    </row>
    <row r="10" spans="1:83" ht="12.6" customHeight="1" x14ac:dyDescent="0.2">
      <c r="A10" s="471" t="s">
        <v>3</v>
      </c>
      <c r="B10" s="1796" t="str">
        <f>IF(ISBLANK('Job Info.'!D4),"",'Job Info.'!D4)</f>
        <v>LAS VEGAS, NV</v>
      </c>
      <c r="C10" s="1796"/>
      <c r="D10" s="1796"/>
      <c r="E10" s="1796"/>
      <c r="F10" s="1796"/>
      <c r="G10" s="1796"/>
      <c r="H10" s="1797"/>
      <c r="I10" s="1847" t="s">
        <v>22</v>
      </c>
      <c r="J10" s="1847"/>
      <c r="K10" s="1796" t="str">
        <f>IF(ISBLANK('Job Info.'!D6),"",'Job Info.'!D6)</f>
        <v>SA</v>
      </c>
      <c r="L10" s="1797"/>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9" t="s">
        <v>77</v>
      </c>
      <c r="B12" s="1840"/>
      <c r="C12" s="1840"/>
      <c r="D12" s="1840"/>
      <c r="E12" s="1850"/>
      <c r="F12" s="1839" t="s">
        <v>49</v>
      </c>
      <c r="G12" s="1840"/>
      <c r="H12" s="1841"/>
      <c r="I12" s="1839" t="s">
        <v>50</v>
      </c>
      <c r="J12" s="1840"/>
      <c r="K12" s="1841"/>
      <c r="L12" s="1844" t="s">
        <v>51</v>
      </c>
      <c r="M12" s="1842" t="s">
        <v>741</v>
      </c>
      <c r="N12" s="1844" t="s">
        <v>52</v>
      </c>
      <c r="O12" s="1085"/>
      <c r="P12" s="1085"/>
      <c r="AO12" s="548" t="s">
        <v>973</v>
      </c>
      <c r="AP12" s="944" t="s">
        <v>170</v>
      </c>
      <c r="AQ12" s="1833" t="s">
        <v>1208</v>
      </c>
      <c r="AR12" s="1834"/>
      <c r="AS12" s="1834"/>
      <c r="AT12" s="1834"/>
      <c r="AU12" s="1834"/>
      <c r="AV12" s="1834"/>
      <c r="AW12" s="1834"/>
      <c r="AX12" s="1834"/>
      <c r="AY12" s="1834"/>
      <c r="AZ12" s="1835"/>
      <c r="BA12" s="1835"/>
      <c r="BB12" s="1835"/>
      <c r="BC12" s="1836"/>
      <c r="BE12" s="1531"/>
    </row>
    <row r="13" spans="1:83" s="478" customFormat="1" ht="14.1" customHeight="1" x14ac:dyDescent="0.2">
      <c r="A13" s="1049" t="s">
        <v>46</v>
      </c>
      <c r="B13" s="1050" t="s">
        <v>17</v>
      </c>
      <c r="C13" s="1050" t="s">
        <v>45</v>
      </c>
      <c r="D13" s="1050" t="s">
        <v>78</v>
      </c>
      <c r="E13" s="1327" t="s">
        <v>44</v>
      </c>
      <c r="F13" s="1049" t="s">
        <v>47</v>
      </c>
      <c r="G13" s="1837" t="s">
        <v>48</v>
      </c>
      <c r="H13" s="1838"/>
      <c r="I13" s="1049" t="s">
        <v>47</v>
      </c>
      <c r="J13" s="1837" t="s">
        <v>48</v>
      </c>
      <c r="K13" s="1838"/>
      <c r="L13" s="1851"/>
      <c r="M13" s="1843"/>
      <c r="N13" s="1845"/>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t="s">
        <v>148</v>
      </c>
      <c r="C14" s="1505" t="s">
        <v>167</v>
      </c>
      <c r="D14" s="1505" t="s">
        <v>145</v>
      </c>
      <c r="E14" s="1688"/>
      <c r="F14" s="1506">
        <v>532</v>
      </c>
      <c r="G14" s="1507">
        <v>31</v>
      </c>
      <c r="H14" s="1508">
        <v>9</v>
      </c>
      <c r="I14" s="1506"/>
      <c r="J14" s="1507"/>
      <c r="K14" s="1508"/>
      <c r="L14" s="1509" t="s">
        <v>703</v>
      </c>
      <c r="M14" s="1510" t="s">
        <v>1393</v>
      </c>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t="s">
        <v>148</v>
      </c>
      <c r="C15" s="1512" t="s">
        <v>167</v>
      </c>
      <c r="D15" s="1512" t="s">
        <v>145</v>
      </c>
      <c r="E15" s="1513"/>
      <c r="F15" s="1514">
        <v>532</v>
      </c>
      <c r="G15" s="1515">
        <v>39</v>
      </c>
      <c r="H15" s="1516">
        <v>9</v>
      </c>
      <c r="I15" s="1514"/>
      <c r="J15" s="1515"/>
      <c r="K15" s="1516"/>
      <c r="L15" s="1517" t="s">
        <v>703</v>
      </c>
      <c r="M15" s="1518" t="s">
        <v>1393</v>
      </c>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t="s">
        <v>148</v>
      </c>
      <c r="C16" s="1512" t="s">
        <v>167</v>
      </c>
      <c r="D16" s="1512" t="s">
        <v>145</v>
      </c>
      <c r="E16" s="1513"/>
      <c r="F16" s="1514">
        <v>532</v>
      </c>
      <c r="G16" s="1515">
        <v>47</v>
      </c>
      <c r="H16" s="1516">
        <v>9</v>
      </c>
      <c r="I16" s="1514"/>
      <c r="J16" s="1515"/>
      <c r="K16" s="1516"/>
      <c r="L16" s="1517" t="s">
        <v>703</v>
      </c>
      <c r="M16" s="1518" t="s">
        <v>1393</v>
      </c>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t="s">
        <v>2039</v>
      </c>
      <c r="B17" s="1512" t="s">
        <v>155</v>
      </c>
      <c r="C17" s="1512" t="s">
        <v>165</v>
      </c>
      <c r="D17" s="1512" t="s">
        <v>145</v>
      </c>
      <c r="E17" s="1513"/>
      <c r="F17" s="1514">
        <v>250</v>
      </c>
      <c r="G17" s="1515"/>
      <c r="H17" s="1516"/>
      <c r="I17" s="1514"/>
      <c r="J17" s="1515"/>
      <c r="K17" s="1516"/>
      <c r="L17" s="1517" t="s">
        <v>116</v>
      </c>
      <c r="M17" s="1518" t="s">
        <v>1393</v>
      </c>
      <c r="N17" s="1689"/>
      <c r="O17" s="1645"/>
      <c r="P17" s="245" t="b">
        <f>IF(ISERROR(VLOOKUP(AO17,BE:BE,1,FALSE)),FALSE,IF(AO17&lt;&gt;"",VLOOKUP(AO17,BE:BE,1,FALSE)=AO17))</f>
        <v>0</v>
      </c>
      <c r="R17" s="245" t="b">
        <f t="shared" si="1"/>
        <v>1</v>
      </c>
      <c r="AO17" s="238" t="str">
        <f t="shared" si="2"/>
        <v>SG89</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t="s">
        <v>155</v>
      </c>
      <c r="C18" s="1512" t="s">
        <v>165</v>
      </c>
      <c r="D18" s="1512" t="s">
        <v>159</v>
      </c>
      <c r="E18" s="1513"/>
      <c r="F18" s="1514">
        <v>250</v>
      </c>
      <c r="G18" s="1515"/>
      <c r="H18" s="1516"/>
      <c r="I18" s="1514"/>
      <c r="J18" s="1515"/>
      <c r="K18" s="1516"/>
      <c r="L18" s="1517" t="s">
        <v>116</v>
      </c>
      <c r="M18" s="1518" t="s">
        <v>1393</v>
      </c>
      <c r="N18" s="1689"/>
      <c r="O18" s="1645"/>
      <c r="P18" s="245" t="b">
        <f t="shared" ref="P18:P55" si="3">IF(ISERROR(VLOOKUP(AO18,BE:BE,1,FALSE)),FALSE,IF(AO18&lt;&gt;"",VLOOKUP(AO18,BE:BE,1,FALSE)=AO18))</f>
        <v>0</v>
      </c>
      <c r="R18" s="245" t="b">
        <f t="shared" si="1"/>
        <v>1</v>
      </c>
      <c r="AO18" s="238" t="str">
        <f t="shared" si="2"/>
        <v>SG89</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t="s">
        <v>154</v>
      </c>
      <c r="C19" s="1512" t="s">
        <v>165</v>
      </c>
      <c r="D19" s="1512" t="s">
        <v>145</v>
      </c>
      <c r="E19" s="1513"/>
      <c r="F19" s="1514">
        <v>1500</v>
      </c>
      <c r="G19" s="1515"/>
      <c r="H19" s="1516"/>
      <c r="I19" s="1514"/>
      <c r="J19" s="1515"/>
      <c r="K19" s="1516"/>
      <c r="L19" s="1517" t="s">
        <v>116</v>
      </c>
      <c r="M19" s="1518" t="s">
        <v>1393</v>
      </c>
      <c r="N19" s="1689" t="s">
        <v>116</v>
      </c>
      <c r="O19" s="1645"/>
      <c r="P19" s="245" t="b">
        <f t="shared" si="3"/>
        <v>0</v>
      </c>
      <c r="R19" s="245" t="b">
        <f t="shared" si="1"/>
        <v>1</v>
      </c>
      <c r="AO19" s="238" t="str">
        <f t="shared" si="2"/>
        <v>SG89</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t="s">
        <v>148</v>
      </c>
      <c r="C20" s="1512" t="s">
        <v>165</v>
      </c>
      <c r="D20" s="1512" t="s">
        <v>145</v>
      </c>
      <c r="E20" s="1513"/>
      <c r="F20" s="1514">
        <v>7000</v>
      </c>
      <c r="G20" s="1515">
        <v>7</v>
      </c>
      <c r="H20" s="1516">
        <v>9</v>
      </c>
      <c r="I20" s="1514"/>
      <c r="J20" s="1515"/>
      <c r="K20" s="1516"/>
      <c r="L20" s="1517" t="s">
        <v>703</v>
      </c>
      <c r="M20" s="1518" t="s">
        <v>1393</v>
      </c>
      <c r="N20" s="1519"/>
      <c r="O20" s="1646"/>
      <c r="P20" s="245" t="b">
        <f t="shared" si="3"/>
        <v>0</v>
      </c>
      <c r="R20" s="245" t="b">
        <f t="shared" si="1"/>
        <v>0</v>
      </c>
      <c r="AO20" s="238" t="str">
        <f t="shared" si="2"/>
        <v>SG89</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t="s">
        <v>148</v>
      </c>
      <c r="C21" s="1512" t="s">
        <v>165</v>
      </c>
      <c r="D21" s="1512" t="s">
        <v>145</v>
      </c>
      <c r="E21" s="1513"/>
      <c r="F21" s="1514">
        <v>7000</v>
      </c>
      <c r="G21" s="1515">
        <v>15</v>
      </c>
      <c r="H21" s="1516">
        <v>9</v>
      </c>
      <c r="I21" s="1514"/>
      <c r="J21" s="1515"/>
      <c r="K21" s="1516"/>
      <c r="L21" s="1517" t="s">
        <v>703</v>
      </c>
      <c r="M21" s="1518" t="s">
        <v>1393</v>
      </c>
      <c r="N21" s="1519"/>
      <c r="O21" s="1646"/>
      <c r="P21" s="245" t="b">
        <f t="shared" si="3"/>
        <v>0</v>
      </c>
      <c r="R21" s="245" t="b">
        <f t="shared" si="1"/>
        <v>0</v>
      </c>
      <c r="AO21" s="238" t="str">
        <f t="shared" si="2"/>
        <v>SG89</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t="s">
        <v>148</v>
      </c>
      <c r="C22" s="1512" t="s">
        <v>165</v>
      </c>
      <c r="D22" s="1512" t="s">
        <v>145</v>
      </c>
      <c r="E22" s="1513"/>
      <c r="F22" s="1514">
        <v>7000</v>
      </c>
      <c r="G22" s="1515">
        <v>23</v>
      </c>
      <c r="H22" s="1516">
        <v>9</v>
      </c>
      <c r="I22" s="1514"/>
      <c r="J22" s="1515"/>
      <c r="K22" s="1516"/>
      <c r="L22" s="1517" t="s">
        <v>703</v>
      </c>
      <c r="M22" s="1518" t="s">
        <v>1393</v>
      </c>
      <c r="N22" s="1519"/>
      <c r="O22" s="1646"/>
      <c r="P22" s="245" t="b">
        <f t="shared" si="3"/>
        <v>0</v>
      </c>
      <c r="R22" s="245" t="b">
        <f t="shared" si="1"/>
        <v>0</v>
      </c>
      <c r="AO22" s="238" t="str">
        <f t="shared" si="2"/>
        <v>SG89</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t="s">
        <v>148</v>
      </c>
      <c r="C23" s="1512" t="s">
        <v>165</v>
      </c>
      <c r="D23" s="1512" t="s">
        <v>145</v>
      </c>
      <c r="E23" s="1513"/>
      <c r="F23" s="1514">
        <v>7000</v>
      </c>
      <c r="G23" s="1515">
        <v>31</v>
      </c>
      <c r="H23" s="1516">
        <v>9</v>
      </c>
      <c r="I23" s="1514"/>
      <c r="J23" s="1515"/>
      <c r="K23" s="1516"/>
      <c r="L23" s="1517" t="s">
        <v>703</v>
      </c>
      <c r="M23" s="1518" t="s">
        <v>1393</v>
      </c>
      <c r="N23" s="1519"/>
      <c r="O23" s="1646"/>
      <c r="P23" s="245" t="b">
        <f t="shared" si="3"/>
        <v>0</v>
      </c>
      <c r="R23" s="245" t="b">
        <f t="shared" si="1"/>
        <v>0</v>
      </c>
      <c r="AO23" s="238" t="str">
        <f t="shared" si="2"/>
        <v>SG89</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t="s">
        <v>148</v>
      </c>
      <c r="C24" s="1512" t="s">
        <v>165</v>
      </c>
      <c r="D24" s="1512" t="s">
        <v>145</v>
      </c>
      <c r="E24" s="1513"/>
      <c r="F24" s="1514">
        <v>7000</v>
      </c>
      <c r="G24" s="1515">
        <v>39</v>
      </c>
      <c r="H24" s="1516">
        <v>9</v>
      </c>
      <c r="I24" s="1514"/>
      <c r="J24" s="1515"/>
      <c r="K24" s="1516"/>
      <c r="L24" s="1517" t="s">
        <v>703</v>
      </c>
      <c r="M24" s="1518" t="s">
        <v>1393</v>
      </c>
      <c r="N24" s="1519"/>
      <c r="O24" s="1646"/>
      <c r="P24" s="245" t="b">
        <f t="shared" si="3"/>
        <v>0</v>
      </c>
      <c r="R24" s="245" t="b">
        <f t="shared" si="1"/>
        <v>0</v>
      </c>
      <c r="AO24" s="238" t="str">
        <f t="shared" si="2"/>
        <v>SG89</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t="s">
        <v>148</v>
      </c>
      <c r="C25" s="1512" t="s">
        <v>165</v>
      </c>
      <c r="D25" s="1512" t="s">
        <v>145</v>
      </c>
      <c r="E25" s="1513"/>
      <c r="F25" s="1514">
        <v>7000</v>
      </c>
      <c r="G25" s="1515">
        <v>47</v>
      </c>
      <c r="H25" s="1516">
        <v>9</v>
      </c>
      <c r="I25" s="1514"/>
      <c r="J25" s="1515"/>
      <c r="K25" s="1516"/>
      <c r="L25" s="1517" t="s">
        <v>703</v>
      </c>
      <c r="M25" s="1518" t="s">
        <v>1393</v>
      </c>
      <c r="N25" s="1519"/>
      <c r="O25" s="1646"/>
      <c r="P25" s="245" t="b">
        <f t="shared" si="3"/>
        <v>0</v>
      </c>
      <c r="R25" s="245" t="b">
        <f t="shared" si="1"/>
        <v>0</v>
      </c>
      <c r="AO25" s="238" t="str">
        <f t="shared" si="2"/>
        <v>SG89</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t="s">
        <v>148</v>
      </c>
      <c r="C26" s="1512" t="s">
        <v>165</v>
      </c>
      <c r="D26" s="1512" t="s">
        <v>145</v>
      </c>
      <c r="E26" s="1513"/>
      <c r="F26" s="1514">
        <v>7000</v>
      </c>
      <c r="G26" s="1515">
        <v>55</v>
      </c>
      <c r="H26" s="1516">
        <v>9</v>
      </c>
      <c r="I26" s="1514"/>
      <c r="J26" s="1515"/>
      <c r="K26" s="1516"/>
      <c r="L26" s="1517" t="s">
        <v>703</v>
      </c>
      <c r="M26" s="1518" t="s">
        <v>1393</v>
      </c>
      <c r="N26" s="1519"/>
      <c r="O26" s="1646"/>
      <c r="P26" s="245" t="b">
        <f t="shared" si="3"/>
        <v>0</v>
      </c>
      <c r="R26" s="245" t="b">
        <f t="shared" si="1"/>
        <v>0</v>
      </c>
      <c r="AO26" s="238" t="str">
        <f t="shared" si="2"/>
        <v>SG89</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t="s">
        <v>148</v>
      </c>
      <c r="C27" s="1512" t="s">
        <v>167</v>
      </c>
      <c r="D27" s="1512" t="s">
        <v>145</v>
      </c>
      <c r="E27" s="1513"/>
      <c r="F27" s="1514">
        <v>532</v>
      </c>
      <c r="G27" s="1515">
        <v>7</v>
      </c>
      <c r="H27" s="1516">
        <v>9</v>
      </c>
      <c r="I27" s="1514"/>
      <c r="J27" s="1515"/>
      <c r="K27" s="1516"/>
      <c r="L27" s="1517" t="s">
        <v>703</v>
      </c>
      <c r="M27" s="1518" t="s">
        <v>1393</v>
      </c>
      <c r="N27" s="1519"/>
      <c r="O27" s="1646"/>
      <c r="P27" s="245" t="b">
        <f t="shared" si="3"/>
        <v>0</v>
      </c>
      <c r="R27" s="245" t="b">
        <f t="shared" si="1"/>
        <v>0</v>
      </c>
      <c r="AO27" s="238" t="str">
        <f t="shared" si="2"/>
        <v>SG89</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t="s">
        <v>148</v>
      </c>
      <c r="C28" s="1512" t="s">
        <v>167</v>
      </c>
      <c r="D28" s="1512" t="s">
        <v>145</v>
      </c>
      <c r="E28" s="1513"/>
      <c r="F28" s="1514">
        <v>532</v>
      </c>
      <c r="G28" s="1515">
        <v>15</v>
      </c>
      <c r="H28" s="1516">
        <v>9</v>
      </c>
      <c r="I28" s="1514"/>
      <c r="J28" s="1515"/>
      <c r="K28" s="1516"/>
      <c r="L28" s="1517" t="s">
        <v>703</v>
      </c>
      <c r="M28" s="1518" t="s">
        <v>1393</v>
      </c>
      <c r="N28" s="1689"/>
      <c r="O28" s="1645"/>
      <c r="P28" s="245" t="b">
        <f t="shared" si="3"/>
        <v>0</v>
      </c>
      <c r="R28" s="245" t="b">
        <f t="shared" si="1"/>
        <v>0</v>
      </c>
      <c r="AO28" s="238" t="str">
        <f t="shared" si="2"/>
        <v>SG89</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t="s">
        <v>148</v>
      </c>
      <c r="C29" s="1512" t="s">
        <v>167</v>
      </c>
      <c r="D29" s="1512" t="s">
        <v>145</v>
      </c>
      <c r="E29" s="1513"/>
      <c r="F29" s="1514">
        <v>532</v>
      </c>
      <c r="G29" s="1515">
        <v>23</v>
      </c>
      <c r="H29" s="1516">
        <v>9</v>
      </c>
      <c r="I29" s="1514"/>
      <c r="J29" s="1515"/>
      <c r="K29" s="1516"/>
      <c r="L29" s="1517" t="s">
        <v>703</v>
      </c>
      <c r="M29" s="1518" t="s">
        <v>1393</v>
      </c>
      <c r="N29" s="1689"/>
      <c r="O29" s="1645"/>
      <c r="P29" s="245" t="b">
        <f t="shared" si="3"/>
        <v>0</v>
      </c>
      <c r="R29" s="245" t="b">
        <f t="shared" si="1"/>
        <v>0</v>
      </c>
      <c r="AO29" s="238" t="str">
        <f t="shared" si="2"/>
        <v>SG89</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t="s">
        <v>148</v>
      </c>
      <c r="C30" s="1512" t="s">
        <v>167</v>
      </c>
      <c r="D30" s="1512" t="s">
        <v>145</v>
      </c>
      <c r="E30" s="1513"/>
      <c r="F30" s="1514">
        <v>532</v>
      </c>
      <c r="G30" s="1515">
        <v>31</v>
      </c>
      <c r="H30" s="1516">
        <v>9</v>
      </c>
      <c r="I30" s="1514"/>
      <c r="J30" s="1515"/>
      <c r="K30" s="1516"/>
      <c r="L30" s="1517" t="s">
        <v>703</v>
      </c>
      <c r="M30" s="1518" t="s">
        <v>1393</v>
      </c>
      <c r="N30" s="1689" t="s">
        <v>116</v>
      </c>
      <c r="O30" s="1645"/>
      <c r="P30" s="245" t="b">
        <f t="shared" si="3"/>
        <v>0</v>
      </c>
      <c r="R30" s="245" t="b">
        <f t="shared" si="1"/>
        <v>0</v>
      </c>
      <c r="AO30" s="238" t="str">
        <f t="shared" si="2"/>
        <v>SG89</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t="s">
        <v>148</v>
      </c>
      <c r="C31" s="1512" t="s">
        <v>167</v>
      </c>
      <c r="D31" s="1512" t="s">
        <v>145</v>
      </c>
      <c r="E31" s="1513"/>
      <c r="F31" s="1514">
        <v>532</v>
      </c>
      <c r="G31" s="1515">
        <v>39</v>
      </c>
      <c r="H31" s="1516">
        <v>9</v>
      </c>
      <c r="I31" s="1514"/>
      <c r="J31" s="1515"/>
      <c r="K31" s="1516"/>
      <c r="L31" s="1517" t="s">
        <v>703</v>
      </c>
      <c r="M31" s="1517" t="s">
        <v>1393</v>
      </c>
      <c r="N31" s="1689" t="s">
        <v>116</v>
      </c>
      <c r="O31" s="1645"/>
      <c r="P31" s="245" t="b">
        <f t="shared" si="3"/>
        <v>0</v>
      </c>
      <c r="R31" s="245" t="b">
        <f t="shared" si="1"/>
        <v>0</v>
      </c>
      <c r="AO31" s="238" t="str">
        <f t="shared" si="2"/>
        <v>SG89</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t="s">
        <v>148</v>
      </c>
      <c r="C32" s="1512" t="s">
        <v>167</v>
      </c>
      <c r="D32" s="1512" t="s">
        <v>145</v>
      </c>
      <c r="E32" s="1513"/>
      <c r="F32" s="1514">
        <v>532</v>
      </c>
      <c r="G32" s="1515">
        <v>47</v>
      </c>
      <c r="H32" s="1516">
        <v>9</v>
      </c>
      <c r="I32" s="1514"/>
      <c r="J32" s="1515"/>
      <c r="K32" s="1516"/>
      <c r="L32" s="1517" t="s">
        <v>703</v>
      </c>
      <c r="M32" s="1517" t="s">
        <v>1393</v>
      </c>
      <c r="N32" s="1689" t="s">
        <v>116</v>
      </c>
      <c r="O32" s="1645"/>
      <c r="P32" s="245" t="b">
        <f t="shared" si="3"/>
        <v>0</v>
      </c>
      <c r="R32" s="245" t="b">
        <f t="shared" si="1"/>
        <v>0</v>
      </c>
      <c r="AO32" s="238" t="str">
        <f t="shared" si="2"/>
        <v>SG89</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t="s">
        <v>148</v>
      </c>
      <c r="C33" s="1512" t="s">
        <v>167</v>
      </c>
      <c r="D33" s="1512" t="s">
        <v>145</v>
      </c>
      <c r="E33" s="1513"/>
      <c r="F33" s="1514">
        <v>532</v>
      </c>
      <c r="G33" s="1515">
        <v>55</v>
      </c>
      <c r="H33" s="1516">
        <v>9</v>
      </c>
      <c r="I33" s="1514"/>
      <c r="J33" s="1515"/>
      <c r="K33" s="1516"/>
      <c r="L33" s="1517" t="s">
        <v>703</v>
      </c>
      <c r="M33" s="1517" t="s">
        <v>1393</v>
      </c>
      <c r="N33" s="1689" t="s">
        <v>116</v>
      </c>
      <c r="O33" s="1645"/>
      <c r="P33" s="245" t="b">
        <f t="shared" si="3"/>
        <v>0</v>
      </c>
      <c r="R33" s="245" t="b">
        <f t="shared" si="1"/>
        <v>0</v>
      </c>
      <c r="AO33" s="238" t="str">
        <f t="shared" si="2"/>
        <v>SG89</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c r="C34" s="1512"/>
      <c r="D34" s="1512"/>
      <c r="E34" s="1513"/>
      <c r="F34" s="1514"/>
      <c r="G34" s="1515"/>
      <c r="H34" s="1516"/>
      <c r="I34" s="1514"/>
      <c r="J34" s="1515"/>
      <c r="K34" s="1516"/>
      <c r="L34" s="1517"/>
      <c r="M34" s="1517"/>
      <c r="N34" s="1689" t="s">
        <v>116</v>
      </c>
      <c r="O34" s="1645"/>
      <c r="P34" s="245" t="b">
        <f t="shared" si="3"/>
        <v>0</v>
      </c>
      <c r="R34" s="245" t="b">
        <f t="shared" si="1"/>
        <v>0</v>
      </c>
      <c r="AO34" s="238" t="str">
        <f t="shared" si="2"/>
        <v>SG89</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c r="C35" s="1512"/>
      <c r="D35" s="1512"/>
      <c r="E35" s="1513"/>
      <c r="F35" s="1514"/>
      <c r="G35" s="1515"/>
      <c r="H35" s="1516"/>
      <c r="I35" s="1514"/>
      <c r="J35" s="1515"/>
      <c r="K35" s="1516"/>
      <c r="L35" s="1517"/>
      <c r="M35" s="1517"/>
      <c r="N35" s="1689" t="s">
        <v>116</v>
      </c>
      <c r="O35" s="1645"/>
      <c r="P35" s="245" t="b">
        <f t="shared" si="3"/>
        <v>0</v>
      </c>
      <c r="R35" s="245" t="b">
        <f t="shared" si="1"/>
        <v>0</v>
      </c>
      <c r="AO35" s="238" t="str">
        <f t="shared" si="2"/>
        <v>SG89</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c r="C36" s="1512"/>
      <c r="D36" s="1512"/>
      <c r="E36" s="1513"/>
      <c r="F36" s="1514"/>
      <c r="G36" s="1515"/>
      <c r="H36" s="1516"/>
      <c r="I36" s="1514"/>
      <c r="J36" s="1515"/>
      <c r="K36" s="1516"/>
      <c r="L36" s="1517"/>
      <c r="M36" s="1517"/>
      <c r="N36" s="1689" t="s">
        <v>116</v>
      </c>
      <c r="O36" s="1645"/>
      <c r="P36" s="245" t="b">
        <f t="shared" si="3"/>
        <v>0</v>
      </c>
      <c r="R36" s="245" t="b">
        <f t="shared" si="1"/>
        <v>0</v>
      </c>
      <c r="AO36" s="238" t="str">
        <f t="shared" si="2"/>
        <v>SG89</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c r="C37" s="1512"/>
      <c r="D37" s="1512"/>
      <c r="E37" s="1513"/>
      <c r="F37" s="1514"/>
      <c r="G37" s="1515"/>
      <c r="H37" s="1516"/>
      <c r="I37" s="1514"/>
      <c r="J37" s="1515"/>
      <c r="K37" s="1516"/>
      <c r="L37" s="1517"/>
      <c r="M37" s="1517"/>
      <c r="N37" s="1689" t="s">
        <v>116</v>
      </c>
      <c r="O37" s="1645"/>
      <c r="P37" s="245" t="b">
        <f t="shared" si="3"/>
        <v>0</v>
      </c>
      <c r="R37" s="245" t="b">
        <f t="shared" si="1"/>
        <v>0</v>
      </c>
      <c r="AO37" s="238" t="str">
        <f t="shared" si="2"/>
        <v>SG89</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c r="C38" s="1512"/>
      <c r="D38" s="1512"/>
      <c r="E38" s="1513"/>
      <c r="F38" s="1514"/>
      <c r="G38" s="1515"/>
      <c r="H38" s="1516"/>
      <c r="I38" s="1514"/>
      <c r="J38" s="1515"/>
      <c r="K38" s="1516"/>
      <c r="L38" s="1517"/>
      <c r="M38" s="1517"/>
      <c r="N38" s="1689" t="s">
        <v>116</v>
      </c>
      <c r="O38" s="1645"/>
      <c r="P38" s="245" t="b">
        <f t="shared" si="3"/>
        <v>0</v>
      </c>
      <c r="R38" s="245" t="b">
        <f t="shared" si="1"/>
        <v>0</v>
      </c>
      <c r="AO38" s="238" t="str">
        <f t="shared" si="2"/>
        <v>SG89</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c r="C39" s="1512"/>
      <c r="D39" s="1512"/>
      <c r="E39" s="1513"/>
      <c r="F39" s="1514"/>
      <c r="G39" s="1515"/>
      <c r="H39" s="1516"/>
      <c r="I39" s="1514"/>
      <c r="J39" s="1515"/>
      <c r="K39" s="1516"/>
      <c r="L39" s="1517"/>
      <c r="M39" s="1517"/>
      <c r="N39" s="1689" t="s">
        <v>116</v>
      </c>
      <c r="O39" s="1645"/>
      <c r="P39" s="245" t="b">
        <f t="shared" si="3"/>
        <v>0</v>
      </c>
      <c r="R39" s="245" t="b">
        <f t="shared" si="1"/>
        <v>0</v>
      </c>
      <c r="AO39" s="238" t="str">
        <f t="shared" si="2"/>
        <v>SG89</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c r="C40" s="1512"/>
      <c r="D40" s="1512"/>
      <c r="E40" s="1513"/>
      <c r="F40" s="1514"/>
      <c r="G40" s="1515"/>
      <c r="H40" s="1516"/>
      <c r="I40" s="1514"/>
      <c r="J40" s="1515"/>
      <c r="K40" s="1516"/>
      <c r="L40" s="1517"/>
      <c r="M40" s="1517"/>
      <c r="N40" s="1689" t="s">
        <v>116</v>
      </c>
      <c r="O40" s="1645"/>
      <c r="P40" s="245" t="b">
        <f t="shared" si="3"/>
        <v>0</v>
      </c>
      <c r="R40" s="245" t="b">
        <f t="shared" si="1"/>
        <v>0</v>
      </c>
      <c r="AO40" s="238" t="str">
        <f t="shared" si="2"/>
        <v>SG89</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c r="C41" s="1512"/>
      <c r="D41" s="1512"/>
      <c r="E41" s="1513"/>
      <c r="F41" s="1514"/>
      <c r="G41" s="1515"/>
      <c r="H41" s="1516"/>
      <c r="I41" s="1514"/>
      <c r="J41" s="1515"/>
      <c r="K41" s="1516"/>
      <c r="L41" s="1517"/>
      <c r="M41" s="1517"/>
      <c r="N41" s="1689" t="s">
        <v>116</v>
      </c>
      <c r="O41" s="1645"/>
      <c r="P41" s="245" t="b">
        <f t="shared" si="3"/>
        <v>0</v>
      </c>
      <c r="R41" s="245" t="b">
        <f t="shared" si="1"/>
        <v>0</v>
      </c>
      <c r="AO41" s="238" t="str">
        <f t="shared" si="2"/>
        <v>SG89</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c r="C42" s="1512"/>
      <c r="D42" s="1512"/>
      <c r="E42" s="1513"/>
      <c r="F42" s="1514"/>
      <c r="G42" s="1515"/>
      <c r="H42" s="1516"/>
      <c r="I42" s="1514"/>
      <c r="J42" s="1515"/>
      <c r="K42" s="1516"/>
      <c r="L42" s="1517"/>
      <c r="M42" s="1517"/>
      <c r="N42" s="1689" t="s">
        <v>116</v>
      </c>
      <c r="O42" s="1645"/>
      <c r="P42" s="245" t="b">
        <f t="shared" si="3"/>
        <v>0</v>
      </c>
      <c r="R42" s="245" t="b">
        <f t="shared" si="1"/>
        <v>0</v>
      </c>
      <c r="AO42" s="238" t="str">
        <f t="shared" si="2"/>
        <v>SG89</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c r="C43" s="1512"/>
      <c r="D43" s="1512"/>
      <c r="E43" s="1513"/>
      <c r="F43" s="1514"/>
      <c r="G43" s="1515"/>
      <c r="H43" s="1516"/>
      <c r="I43" s="1514"/>
      <c r="J43" s="1515"/>
      <c r="K43" s="1516"/>
      <c r="L43" s="1517"/>
      <c r="M43" s="1517"/>
      <c r="N43" s="1689" t="s">
        <v>116</v>
      </c>
      <c r="O43" s="1645"/>
      <c r="P43" s="245" t="b">
        <f t="shared" si="3"/>
        <v>0</v>
      </c>
      <c r="R43" s="245" t="b">
        <f t="shared" si="1"/>
        <v>0</v>
      </c>
      <c r="AO43" s="238" t="str">
        <f t="shared" si="2"/>
        <v>SG89</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c r="C44" s="1512"/>
      <c r="D44" s="1512"/>
      <c r="E44" s="1513"/>
      <c r="F44" s="1514"/>
      <c r="G44" s="1515"/>
      <c r="H44" s="1516"/>
      <c r="I44" s="1514"/>
      <c r="J44" s="1515"/>
      <c r="K44" s="1516"/>
      <c r="L44" s="1517"/>
      <c r="M44" s="1517"/>
      <c r="N44" s="1689" t="s">
        <v>116</v>
      </c>
      <c r="O44" s="1645"/>
      <c r="P44" s="245" t="b">
        <f t="shared" si="3"/>
        <v>0</v>
      </c>
      <c r="R44" s="245" t="b">
        <f t="shared" si="1"/>
        <v>0</v>
      </c>
      <c r="AO44" s="238" t="str">
        <f t="shared" si="2"/>
        <v>SG89</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c r="C45" s="1512"/>
      <c r="D45" s="1512"/>
      <c r="E45" s="1513"/>
      <c r="F45" s="1514"/>
      <c r="G45" s="1515"/>
      <c r="H45" s="1516"/>
      <c r="I45" s="1514"/>
      <c r="J45" s="1515"/>
      <c r="K45" s="1516"/>
      <c r="L45" s="1517"/>
      <c r="M45" s="1517"/>
      <c r="N45" s="1689" t="s">
        <v>116</v>
      </c>
      <c r="O45" s="1645"/>
      <c r="P45" s="245" t="b">
        <f t="shared" si="3"/>
        <v>0</v>
      </c>
      <c r="R45" s="245" t="b">
        <f t="shared" si="1"/>
        <v>0</v>
      </c>
      <c r="AO45" s="238" t="str">
        <f t="shared" si="2"/>
        <v>SG89</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c r="C46" s="1512"/>
      <c r="D46" s="1512"/>
      <c r="E46" s="1513"/>
      <c r="F46" s="1514"/>
      <c r="G46" s="1515"/>
      <c r="H46" s="1516"/>
      <c r="I46" s="1514"/>
      <c r="J46" s="1515"/>
      <c r="K46" s="1516"/>
      <c r="L46" s="1517"/>
      <c r="M46" s="1517"/>
      <c r="N46" s="1689" t="s">
        <v>116</v>
      </c>
      <c r="O46" s="1645"/>
      <c r="P46" s="245" t="b">
        <f t="shared" si="3"/>
        <v>0</v>
      </c>
      <c r="R46" s="245" t="b">
        <f t="shared" si="1"/>
        <v>0</v>
      </c>
      <c r="AO46" s="238" t="str">
        <f t="shared" si="2"/>
        <v>SG89</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c r="C47" s="1512"/>
      <c r="D47" s="1512"/>
      <c r="E47" s="1513"/>
      <c r="F47" s="1514"/>
      <c r="G47" s="1515"/>
      <c r="H47" s="1516"/>
      <c r="I47" s="1514"/>
      <c r="J47" s="1515"/>
      <c r="K47" s="1516"/>
      <c r="L47" s="1517"/>
      <c r="M47" s="1517"/>
      <c r="N47" s="1689" t="s">
        <v>116</v>
      </c>
      <c r="O47" s="1645"/>
      <c r="P47" s="245" t="b">
        <f t="shared" si="3"/>
        <v>0</v>
      </c>
      <c r="R47" s="245" t="b">
        <f t="shared" si="1"/>
        <v>0</v>
      </c>
      <c r="AO47" s="238" t="str">
        <f t="shared" si="2"/>
        <v>SG89</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c r="C48" s="1512"/>
      <c r="D48" s="1512"/>
      <c r="E48" s="1513"/>
      <c r="F48" s="1514"/>
      <c r="G48" s="1515"/>
      <c r="H48" s="1516"/>
      <c r="I48" s="1514"/>
      <c r="J48" s="1515"/>
      <c r="K48" s="1516"/>
      <c r="L48" s="1517"/>
      <c r="M48" s="1517"/>
      <c r="N48" s="1689" t="s">
        <v>116</v>
      </c>
      <c r="O48" s="1645"/>
      <c r="P48" s="245" t="b">
        <f t="shared" si="3"/>
        <v>0</v>
      </c>
      <c r="R48" s="245" t="b">
        <f t="shared" si="1"/>
        <v>0</v>
      </c>
      <c r="AO48" s="238" t="str">
        <f t="shared" si="2"/>
        <v>SG89</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c r="C49" s="1512"/>
      <c r="D49" s="1512"/>
      <c r="E49" s="1513"/>
      <c r="F49" s="1514"/>
      <c r="G49" s="1515"/>
      <c r="H49" s="1516"/>
      <c r="I49" s="1514"/>
      <c r="J49" s="1515"/>
      <c r="K49" s="1516"/>
      <c r="L49" s="1517"/>
      <c r="M49" s="1517"/>
      <c r="N49" s="1689" t="s">
        <v>116</v>
      </c>
      <c r="O49" s="1645"/>
      <c r="P49" s="245" t="b">
        <f t="shared" si="3"/>
        <v>0</v>
      </c>
      <c r="R49" s="245" t="b">
        <f t="shared" si="1"/>
        <v>0</v>
      </c>
      <c r="AO49" s="238" t="str">
        <f t="shared" si="2"/>
        <v>SG89</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c r="C50" s="1512"/>
      <c r="D50" s="1512"/>
      <c r="E50" s="1513"/>
      <c r="F50" s="1514"/>
      <c r="G50" s="1515"/>
      <c r="H50" s="1516"/>
      <c r="I50" s="1514"/>
      <c r="J50" s="1515"/>
      <c r="K50" s="1516"/>
      <c r="L50" s="1517"/>
      <c r="M50" s="1517"/>
      <c r="N50" s="1689" t="s">
        <v>116</v>
      </c>
      <c r="O50" s="1645"/>
      <c r="P50" s="245" t="b">
        <f t="shared" si="3"/>
        <v>0</v>
      </c>
      <c r="R50" s="245" t="b">
        <f t="shared" si="1"/>
        <v>0</v>
      </c>
      <c r="AO50" s="238" t="str">
        <f t="shared" si="2"/>
        <v>SG89</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c r="C51" s="1512"/>
      <c r="D51" s="1512"/>
      <c r="E51" s="1513"/>
      <c r="F51" s="1514"/>
      <c r="G51" s="1515"/>
      <c r="H51" s="1516"/>
      <c r="I51" s="1514"/>
      <c r="J51" s="1515"/>
      <c r="K51" s="1516"/>
      <c r="L51" s="1517"/>
      <c r="M51" s="1517"/>
      <c r="N51" s="1689" t="s">
        <v>116</v>
      </c>
      <c r="O51" s="1645"/>
      <c r="P51" s="245" t="b">
        <f t="shared" si="3"/>
        <v>0</v>
      </c>
      <c r="R51" s="245" t="b">
        <f t="shared" si="1"/>
        <v>0</v>
      </c>
      <c r="AO51" s="238" t="str">
        <f t="shared" si="2"/>
        <v>SG89</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c r="C52" s="1512"/>
      <c r="D52" s="1512"/>
      <c r="E52" s="1513"/>
      <c r="F52" s="1514"/>
      <c r="G52" s="1515"/>
      <c r="H52" s="1516"/>
      <c r="I52" s="1514"/>
      <c r="J52" s="1515"/>
      <c r="K52" s="1516"/>
      <c r="L52" s="1517"/>
      <c r="M52" s="1517"/>
      <c r="N52" s="1689" t="s">
        <v>116</v>
      </c>
      <c r="O52" s="1645"/>
      <c r="P52" s="245" t="b">
        <f t="shared" si="3"/>
        <v>0</v>
      </c>
      <c r="R52" s="245" t="b">
        <f t="shared" si="1"/>
        <v>0</v>
      </c>
      <c r="AO52" s="238" t="str">
        <f t="shared" si="2"/>
        <v>SG89</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c r="C53" s="1512"/>
      <c r="D53" s="1512"/>
      <c r="E53" s="1513"/>
      <c r="F53" s="1514"/>
      <c r="G53" s="1515"/>
      <c r="H53" s="1516"/>
      <c r="I53" s="1514"/>
      <c r="J53" s="1515"/>
      <c r="K53" s="1516"/>
      <c r="L53" s="1517"/>
      <c r="M53" s="1517"/>
      <c r="N53" s="1689" t="s">
        <v>116</v>
      </c>
      <c r="O53" s="1645"/>
      <c r="P53" s="245" t="b">
        <f t="shared" si="3"/>
        <v>0</v>
      </c>
      <c r="R53" s="245" t="b">
        <f t="shared" si="1"/>
        <v>0</v>
      </c>
      <c r="AO53" s="238" t="str">
        <f t="shared" si="2"/>
        <v>SG89</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c r="C54" s="1512"/>
      <c r="D54" s="1512"/>
      <c r="E54" s="1513"/>
      <c r="F54" s="1514"/>
      <c r="G54" s="1515"/>
      <c r="H54" s="1516"/>
      <c r="I54" s="1514"/>
      <c r="J54" s="1515"/>
      <c r="K54" s="1516"/>
      <c r="L54" s="1517"/>
      <c r="M54" s="1517"/>
      <c r="N54" s="1689" t="s">
        <v>116</v>
      </c>
      <c r="O54" s="1645"/>
      <c r="P54" s="245" t="b">
        <f t="shared" si="3"/>
        <v>0</v>
      </c>
      <c r="R54" s="245" t="b">
        <f t="shared" si="1"/>
        <v>0</v>
      </c>
      <c r="AO54" s="238" t="str">
        <f t="shared" si="2"/>
        <v>SG89</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c r="C55" s="1521"/>
      <c r="D55" s="1521"/>
      <c r="E55" s="1522"/>
      <c r="F55" s="1523"/>
      <c r="G55" s="1524"/>
      <c r="H55" s="1525"/>
      <c r="I55" s="1523"/>
      <c r="J55" s="1524"/>
      <c r="K55" s="1525"/>
      <c r="L55" s="1526"/>
      <c r="M55" s="1526"/>
      <c r="N55" s="1690"/>
      <c r="O55" s="1645"/>
      <c r="P55" s="245" t="b">
        <f t="shared" si="3"/>
        <v>0</v>
      </c>
      <c r="R55" s="245" t="b">
        <f t="shared" si="1"/>
        <v>0</v>
      </c>
      <c r="AO55" s="238" t="str">
        <f t="shared" si="2"/>
        <v>SG89</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 priority="4" stopIfTrue="1">
      <formula>AND($B14="NU",F14&lt;0)</formula>
    </cfRule>
  </conditionalFormatting>
  <conditionalFormatting sqref="B14:B55">
    <cfRule type="expression" dxfId="8" priority="5" stopIfTrue="1">
      <formula>OR(AND($B14="NU",F14&lt;0),AND($B14="NU",I14&lt;0))</formula>
    </cfRule>
  </conditionalFormatting>
  <conditionalFormatting sqref="G14:H55 J14:L55">
    <cfRule type="expression" dxfId="7" priority="6" stopIfTrue="1">
      <formula>$R14</formula>
    </cfRule>
  </conditionalFormatting>
  <conditionalFormatting sqref="I2:K4">
    <cfRule type="cellIs" dxfId="6" priority="7" stopIfTrue="1" operator="equal">
      <formula>""</formula>
    </cfRule>
  </conditionalFormatting>
  <conditionalFormatting sqref="I14:I55">
    <cfRule type="expression" dxfId="5" priority="8" stopIfTrue="1">
      <formula>OR($R14,$B14="CZ",AND($B14="NU",I14&lt;0))</formula>
    </cfRule>
  </conditionalFormatting>
  <conditionalFormatting sqref="A14:A55">
    <cfRule type="expression" dxfId="4" priority="3">
      <formula>NOT($P14)</formula>
    </cfRule>
  </conditionalFormatting>
  <conditionalFormatting sqref="B14:D55">
    <cfRule type="expression" dxfId="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 priority="9">
      <formula>AND(NOT($P14),$T$1)</formula>
    </cfRule>
    <cfRule type="expression" dxfId="1" priority="10">
      <formula>AND($AP14,$S$1="M")</formula>
    </cfRule>
  </conditionalFormatting>
  <conditionalFormatting sqref="L14:L55">
    <cfRule type="expression" dxfId="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6AD71DAE-F270-46E9-913D-902081D4ADB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8955AAF-FDE6-494D-8680-805B9E904CD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CBD8DDF7-3062-4EC8-B719-D954742CA61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A27E794-B8DA-4893-A8BF-3F90A4F2D491}">
      <formula1>IF($CA$14,$CA$16:$CA$21,$CB$16:$CB$19)</formula1>
    </dataValidation>
    <dataValidation type="list" allowBlank="1" showErrorMessage="1" errorTitle="Invalid Type" error="You MUST select a Type from the dropdown list provided._x000a__x000a_Also, make sure your Cap Lock is turned on." sqref="B14:B55" xr:uid="{93CC5171-F88A-4CD9-BDEE-8C72DC574CBE}">
      <formula1>$BF$15:$BU$15</formula1>
    </dataValidation>
    <dataValidation allowBlank="1" showInputMessage="1" errorTitle="Invalid Load Case" error="You MUST use a Load Case from the list provided." sqref="M14:M55" xr:uid="{34FFFC5E-DEFC-4EAD-9DD0-99F3F745977B}"/>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4B02-A638-49C7-95F6-279CA4518EA9}">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02" t="str">
        <f>IF(P1="","",VLOOKUP(P1,'Job Info.'!$X:$AA,4,FALSE))</f>
        <v>Master</v>
      </c>
      <c r="I1" s="1802"/>
      <c r="J1" s="1802"/>
      <c r="K1" s="1803" t="s">
        <v>95</v>
      </c>
      <c r="L1" s="1804"/>
      <c r="M1" s="1805" t="str">
        <f ca="1">'Job Info.'!D12</f>
        <v>775-428-0600</v>
      </c>
      <c r="N1" s="180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07" t="str">
        <f>IF(P1="","",IF(VLOOKUP(P1,'Job Info.'!$X:$Z,2,FALSE),"Released for Fabrication",""))</f>
        <v/>
      </c>
      <c r="I2" s="1808"/>
      <c r="J2" s="1809"/>
      <c r="K2" s="1803" t="s">
        <v>96</v>
      </c>
      <c r="L2" s="1803"/>
      <c r="M2" s="1805" t="str">
        <f ca="1">'Job Info.'!D13</f>
        <v>775-867-2140</v>
      </c>
      <c r="N2" s="1806"/>
      <c r="R2" s="245" t="s">
        <v>122</v>
      </c>
      <c r="S2" s="245" t="s">
        <v>134</v>
      </c>
      <c r="T2" s="378"/>
    </row>
    <row r="3" spans="1:39" ht="12.95" customHeight="1" x14ac:dyDescent="0.2">
      <c r="A3" s="374"/>
      <c r="B3" s="462"/>
      <c r="C3" s="374"/>
      <c r="D3" s="474"/>
      <c r="E3" s="393"/>
      <c r="F3" s="393"/>
      <c r="G3" s="393"/>
      <c r="H3" s="1810"/>
      <c r="I3" s="1811"/>
      <c r="J3" s="1812"/>
      <c r="K3" s="1803" t="s">
        <v>98</v>
      </c>
      <c r="L3" s="1803"/>
      <c r="M3" s="1805" t="str">
        <f ca="1">'Job Info.'!D14</f>
        <v>775-867-2169</v>
      </c>
      <c r="N3" s="1806"/>
      <c r="R3" s="245" t="s">
        <v>123</v>
      </c>
      <c r="S3" s="245" t="s">
        <v>135</v>
      </c>
    </row>
    <row r="4" spans="1:39" ht="12.95" customHeight="1" thickBot="1" x14ac:dyDescent="0.25">
      <c r="A4" s="374"/>
      <c r="B4" s="462"/>
      <c r="C4" s="374"/>
      <c r="D4" s="474"/>
      <c r="E4" s="393"/>
      <c r="F4" s="393"/>
      <c r="G4" s="393"/>
      <c r="H4" s="1813" t="str">
        <f>IF(P1="","",IF(VLOOKUP(P1,'Job Info.'!$X:$Z,2,FALSE),VLOOKUP(P1,'Job Info.'!$X:$Z,3,FALSE),""))</f>
        <v/>
      </c>
      <c r="I4" s="1814"/>
      <c r="J4" s="1815"/>
      <c r="K4" s="1803" t="s">
        <v>97</v>
      </c>
      <c r="L4" s="1803"/>
      <c r="M4" s="1805" t="str">
        <f ca="1">'Job Info.'!D15</f>
        <v>775-867-2060</v>
      </c>
      <c r="N4" s="1806"/>
      <c r="R4" s="245" t="s">
        <v>124</v>
      </c>
      <c r="S4" s="245" t="s">
        <v>136</v>
      </c>
    </row>
    <row r="5" spans="1:39" ht="12.95" customHeight="1" thickTop="1" x14ac:dyDescent="0.2">
      <c r="A5" s="1816" t="str">
        <f ca="1">'Job Info.'!D11</f>
        <v>8200 Woolery Way | Fallon, NV 89406 | www.newmill.com</v>
      </c>
      <c r="B5" s="1863"/>
      <c r="C5" s="1863"/>
      <c r="D5" s="1863"/>
      <c r="E5" s="1863"/>
      <c r="F5" s="1863"/>
      <c r="G5" s="1863"/>
      <c r="H5" s="1863"/>
      <c r="I5" s="1863"/>
      <c r="J5" s="1863"/>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799">
        <f>IF(ISBLANK('Job Info.'!D8),"",'Job Info.'!D8)</f>
        <v>44909</v>
      </c>
      <c r="M6" s="1799"/>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7 of 28</v>
      </c>
      <c r="M7" s="658"/>
      <c r="N7" s="374"/>
      <c r="P7" s="1083">
        <v>7</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796" t="str">
        <f>IF(ISBLANK('Job Info.'!D3),"",'Job Info.'!D3)</f>
        <v>SUNCAP CHEYENNE&amp;COMMERCE BLDG A&amp;B PP</v>
      </c>
      <c r="C9" s="1858"/>
      <c r="D9" s="1858"/>
      <c r="E9" s="1858"/>
      <c r="F9" s="1858"/>
      <c r="G9" s="1858"/>
      <c r="H9" s="1858"/>
      <c r="I9" s="1858"/>
      <c r="J9" s="1859"/>
      <c r="K9" s="480" t="s">
        <v>2</v>
      </c>
      <c r="L9" s="659" t="str">
        <f>IF(ISBLANK('Job Info.'!D5),"",'Job Info.'!D5)</f>
        <v>9122-0050</v>
      </c>
      <c r="M9" s="402"/>
      <c r="N9" s="477"/>
      <c r="R9" s="245" t="s">
        <v>129</v>
      </c>
      <c r="S9" s="245" t="s">
        <v>141</v>
      </c>
    </row>
    <row r="10" spans="1:39" ht="12.6" customHeight="1" x14ac:dyDescent="0.2">
      <c r="A10" s="480" t="s">
        <v>3</v>
      </c>
      <c r="B10" s="1796" t="str">
        <f>IF(ISBLANK('Job Info.'!D4),"",'Job Info.'!D4)</f>
        <v>LAS VEGAS, NV</v>
      </c>
      <c r="C10" s="1858"/>
      <c r="D10" s="1858"/>
      <c r="E10" s="1858"/>
      <c r="F10" s="1858"/>
      <c r="G10" s="1858"/>
      <c r="H10" s="1858"/>
      <c r="I10" s="1858"/>
      <c r="J10" s="1859"/>
      <c r="K10" s="480" t="s">
        <v>22</v>
      </c>
      <c r="L10" s="660" t="str">
        <f>IF(ISBLANK('Job Info.'!D6),"",'Job Info.'!D6)</f>
        <v>SA</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57" t="s">
        <v>120</v>
      </c>
      <c r="C12" s="1822"/>
      <c r="D12" s="1823"/>
      <c r="E12" s="1821" t="s">
        <v>1183</v>
      </c>
      <c r="F12" s="1822"/>
      <c r="G12" s="1822"/>
      <c r="H12" s="1822"/>
      <c r="I12" s="1822"/>
      <c r="J12" s="1822"/>
      <c r="K12" s="1855"/>
      <c r="L12" s="1855"/>
      <c r="M12" s="1855"/>
      <c r="N12" s="1856"/>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1078" t="s">
        <v>1392</v>
      </c>
      <c r="B13" s="1079" t="s">
        <v>121</v>
      </c>
      <c r="C13" s="1057"/>
      <c r="D13" s="1080"/>
      <c r="E13" s="1860" t="s">
        <v>1633</v>
      </c>
      <c r="F13" s="1861"/>
      <c r="G13" s="1861"/>
      <c r="H13" s="1861"/>
      <c r="I13" s="1861"/>
      <c r="J13" s="1861"/>
      <c r="K13" s="1861"/>
      <c r="L13" s="1861"/>
      <c r="M13" s="1861"/>
      <c r="N13" s="1862"/>
      <c r="P13" s="464" t="str">
        <f t="shared" ref="P13:P48" si="0">CONCATENATE(IF(ISBLANK(B13),"",VLOOKUP(B13,$R$1:$S$9,2,FALSE)),IF(ISBLANK(C13),"",CONCATENATE("/",VLOOKUP(C13,$R$1:$S$9,2,FALSE))),IF(ISBLANK(D13),"",CONCATENATE("/",VLOOKUP(D13,$R$1:$S$9,2,FALSE))))</f>
        <v>White</v>
      </c>
      <c r="R13" s="238" t="str">
        <f t="shared" ref="R13:R48" ca="1" si="1">OFFSET($R$1,R$12+(COUNTIF($R$1:$R$1,B13)),0)</f>
        <v>BRN</v>
      </c>
      <c r="S13" s="238" t="str">
        <f t="shared" ref="S13:S48" ca="1" si="2">OFFSET($R$1,S$12+(COUNTIF($R$1:$R$2,B13)),0)</f>
        <v>ORG</v>
      </c>
      <c r="T13" s="238" t="str">
        <f t="shared" ref="T13:T48" ca="1" si="3">OFFSET($R$1,T$12+(COUNTIF($R$1:$R$3,B13)),0)</f>
        <v>BLU</v>
      </c>
      <c r="U13" s="238" t="str">
        <f t="shared" ref="U13:U48" ca="1" si="4">OFFSET($R$1,U$12+(COUNTIF($R$1:$R$4,B13)),0)</f>
        <v>GRN</v>
      </c>
      <c r="V13" s="238" t="str">
        <f t="shared" ref="V13:V48" ca="1" si="5">OFFSET($R$1,V$12+(COUNTIF($R$1:$R$5,B13)),0)</f>
        <v>YLW</v>
      </c>
      <c r="W13" s="238" t="str">
        <f t="shared" ref="W13:W48" ca="1" si="6">OFFSET($R$1,W$12+(COUNTIF($R$1:$R$6,B13)),0)</f>
        <v>PRP</v>
      </c>
      <c r="X13" s="238" t="str">
        <f t="shared" ref="X13:X48" ca="1" si="7">OFFSET($R$1,X$12+(COUNTIF($R$1:$R$7,B13)),0)</f>
        <v>RED</v>
      </c>
      <c r="Y13" s="238" t="str">
        <f t="shared" ref="Y13:Y48" ca="1" si="8">OFFSET($R$1,Y$12+(COUNTIF($R$1:$R$8,B13)),0)</f>
        <v>BLK</v>
      </c>
      <c r="Z13" s="238" t="str">
        <f ca="1">OFFSET($R13,0,R$12+(COUNTIF($R13:R13,$C13)))</f>
        <v>BRN</v>
      </c>
      <c r="AA13" s="238" t="str">
        <f ca="1">OFFSET($R13,0,S$12+(COUNTIF($R13:S13,$C13)))</f>
        <v>ORG</v>
      </c>
      <c r="AB13" s="238" t="str">
        <f ca="1">OFFSET($R13,0,T$12+(COUNTIF($R13:T13,$C13)))</f>
        <v>BLU</v>
      </c>
      <c r="AC13" s="238" t="str">
        <f ca="1">OFFSET($R13,0,U$12+(COUNTIF($R13:U13,$C13)))</f>
        <v>GRN</v>
      </c>
      <c r="AD13" s="238" t="str">
        <f ca="1">OFFSET($R13,0,V$12+(COUNTIF($R13:V13,$C13)))</f>
        <v>YLW</v>
      </c>
      <c r="AE13" s="238" t="str">
        <f ca="1">OFFSET($R13,0,W$12+(COUNTIF($R13:W13,$C13)))</f>
        <v>PRP</v>
      </c>
      <c r="AF13" s="238" t="str">
        <f ca="1">OFFSET($R13,0,X$12+(COUNTIF($R13:X13,$C13)))</f>
        <v>RED</v>
      </c>
      <c r="AG13" s="245" t="b">
        <f t="shared" ref="AG13:AH28" si="9">ISBLANK(B13)</f>
        <v>0</v>
      </c>
      <c r="AH13" s="245" t="b">
        <f t="shared" si="9"/>
        <v>1</v>
      </c>
      <c r="AJ13" s="996" t="s">
        <v>121</v>
      </c>
      <c r="AK13" s="996"/>
      <c r="AL13" s="996"/>
    </row>
    <row r="14" spans="1:39" ht="16.350000000000001" customHeight="1" x14ac:dyDescent="0.2">
      <c r="A14" s="1072" t="s">
        <v>808</v>
      </c>
      <c r="B14" s="1074" t="s">
        <v>122</v>
      </c>
      <c r="C14" s="652"/>
      <c r="D14" s="1075"/>
      <c r="E14" s="1852" t="s">
        <v>1633</v>
      </c>
      <c r="F14" s="1853"/>
      <c r="G14" s="1853"/>
      <c r="H14" s="1853"/>
      <c r="I14" s="1853"/>
      <c r="J14" s="1853"/>
      <c r="K14" s="1853"/>
      <c r="L14" s="1853"/>
      <c r="M14" s="1853"/>
      <c r="N14" s="1854"/>
      <c r="P14" s="464" t="str">
        <f t="shared" si="0"/>
        <v>Brown</v>
      </c>
      <c r="R14" s="238" t="str">
        <f t="shared" ca="1" si="1"/>
        <v>WHT</v>
      </c>
      <c r="S14" s="238" t="str">
        <f t="shared" ca="1" si="2"/>
        <v>ORG</v>
      </c>
      <c r="T14" s="238" t="str">
        <f t="shared" ca="1" si="3"/>
        <v>BLU</v>
      </c>
      <c r="U14" s="238" t="str">
        <f t="shared" ca="1" si="4"/>
        <v>GRN</v>
      </c>
      <c r="V14" s="238" t="str">
        <f t="shared" ca="1" si="5"/>
        <v>YLW</v>
      </c>
      <c r="W14" s="238" t="str">
        <f t="shared" ca="1" si="6"/>
        <v>PRP</v>
      </c>
      <c r="X14" s="238" t="str">
        <f t="shared" ca="1" si="7"/>
        <v>RED</v>
      </c>
      <c r="Y14" s="238" t="str">
        <f t="shared" ca="1" si="8"/>
        <v>BLK</v>
      </c>
      <c r="Z14" s="238" t="str">
        <f ca="1">OFFSET($R14,0,R$12+(COUNTIF($R14:R14,$C14)))</f>
        <v>WHT</v>
      </c>
      <c r="AA14" s="238" t="str">
        <f ca="1">OFFSET($R14,0,S$12+(COUNTIF($R14:S14,$C14)))</f>
        <v>ORG</v>
      </c>
      <c r="AB14" s="238" t="str">
        <f ca="1">OFFSET($R14,0,T$12+(COUNTIF($R14:T14,$C14)))</f>
        <v>BLU</v>
      </c>
      <c r="AC14" s="238" t="str">
        <f ca="1">OFFSET($R14,0,U$12+(COUNTIF($R14:U14,$C14)))</f>
        <v>GRN</v>
      </c>
      <c r="AD14" s="238" t="str">
        <f ca="1">OFFSET($R14,0,V$12+(COUNTIF($R14:V14,$C14)))</f>
        <v>YLW</v>
      </c>
      <c r="AE14" s="238" t="str">
        <f ca="1">OFFSET($R14,0,W$12+(COUNTIF($R14:W14,$C14)))</f>
        <v>PRP</v>
      </c>
      <c r="AF14" s="238" t="str">
        <f ca="1">OFFSET($R14,0,X$12+(COUNTIF($R14:X14,$C14)))</f>
        <v>RED</v>
      </c>
      <c r="AG14" s="245" t="b">
        <f t="shared" si="9"/>
        <v>0</v>
      </c>
      <c r="AH14" s="245" t="b">
        <f t="shared" si="9"/>
        <v>1</v>
      </c>
      <c r="AJ14" s="996" t="s">
        <v>122</v>
      </c>
      <c r="AK14" s="996"/>
      <c r="AL14" s="996"/>
    </row>
    <row r="15" spans="1:39" ht="16.350000000000001" customHeight="1" x14ac:dyDescent="0.2">
      <c r="A15" s="1072" t="s">
        <v>1393</v>
      </c>
      <c r="B15" s="1074" t="s">
        <v>123</v>
      </c>
      <c r="C15" s="652"/>
      <c r="D15" s="1075"/>
      <c r="E15" s="1852" t="s">
        <v>1636</v>
      </c>
      <c r="F15" s="1853"/>
      <c r="G15" s="1853"/>
      <c r="H15" s="1853"/>
      <c r="I15" s="1853"/>
      <c r="J15" s="1853"/>
      <c r="K15" s="1853"/>
      <c r="L15" s="1853"/>
      <c r="M15" s="1853"/>
      <c r="N15" s="1854"/>
      <c r="P15" s="464" t="str">
        <f t="shared" si="0"/>
        <v>Orange</v>
      </c>
      <c r="R15" s="238" t="str">
        <f t="shared" ca="1" si="1"/>
        <v>WHT</v>
      </c>
      <c r="S15" s="238" t="str">
        <f t="shared" ca="1" si="2"/>
        <v>BRN</v>
      </c>
      <c r="T15" s="238" t="str">
        <f t="shared" ca="1" si="3"/>
        <v>BLU</v>
      </c>
      <c r="U15" s="238" t="str">
        <f t="shared" ca="1" si="4"/>
        <v>GRN</v>
      </c>
      <c r="V15" s="238" t="str">
        <f t="shared" ca="1" si="5"/>
        <v>YLW</v>
      </c>
      <c r="W15" s="238" t="str">
        <f t="shared" ca="1" si="6"/>
        <v>PRP</v>
      </c>
      <c r="X15" s="238" t="str">
        <f t="shared" ca="1" si="7"/>
        <v>RED</v>
      </c>
      <c r="Y15" s="238" t="str">
        <f t="shared" ca="1" si="8"/>
        <v>BLK</v>
      </c>
      <c r="Z15" s="238" t="str">
        <f ca="1">OFFSET($R15,0,R$12+(COUNTIF($R15:R15,$C15)))</f>
        <v>WHT</v>
      </c>
      <c r="AA15" s="238" t="str">
        <f ca="1">OFFSET($R15,0,S$12+(COUNTIF($R15:S15,$C15)))</f>
        <v>BRN</v>
      </c>
      <c r="AB15" s="238" t="str">
        <f ca="1">OFFSET($R15,0,T$12+(COUNTIF($R15:T15,$C15)))</f>
        <v>BLU</v>
      </c>
      <c r="AC15" s="238" t="str">
        <f ca="1">OFFSET($R15,0,U$12+(COUNTIF($R15:U15,$C15)))</f>
        <v>GRN</v>
      </c>
      <c r="AD15" s="238" t="str">
        <f ca="1">OFFSET($R15,0,V$12+(COUNTIF($R15:V15,$C15)))</f>
        <v>YLW</v>
      </c>
      <c r="AE15" s="238" t="str">
        <f ca="1">OFFSET($R15,0,W$12+(COUNTIF($R15:W15,$C15)))</f>
        <v>PRP</v>
      </c>
      <c r="AF15" s="238" t="str">
        <f ca="1">OFFSET($R15,0,X$12+(COUNTIF($R15:X15,$C15)))</f>
        <v>RED</v>
      </c>
      <c r="AG15" s="245" t="b">
        <f t="shared" si="9"/>
        <v>0</v>
      </c>
      <c r="AH15" s="245" t="b">
        <f t="shared" si="9"/>
        <v>1</v>
      </c>
      <c r="AJ15" s="996" t="s">
        <v>123</v>
      </c>
      <c r="AK15" s="996"/>
      <c r="AL15" s="996"/>
    </row>
    <row r="16" spans="1:39" ht="16.350000000000001" customHeight="1" x14ac:dyDescent="0.2">
      <c r="A16" s="1072" t="s">
        <v>1394</v>
      </c>
      <c r="B16" s="1074" t="s">
        <v>124</v>
      </c>
      <c r="C16" s="652"/>
      <c r="D16" s="1075"/>
      <c r="E16" s="1852" t="s">
        <v>1636</v>
      </c>
      <c r="F16" s="1853"/>
      <c r="G16" s="1853"/>
      <c r="H16" s="1853"/>
      <c r="I16" s="1853"/>
      <c r="J16" s="1853"/>
      <c r="K16" s="1853"/>
      <c r="L16" s="1853"/>
      <c r="M16" s="1853"/>
      <c r="N16" s="1854"/>
      <c r="P16" s="464" t="str">
        <f t="shared" si="0"/>
        <v>Blue</v>
      </c>
      <c r="R16" s="238" t="str">
        <f t="shared" ca="1" si="1"/>
        <v>WHT</v>
      </c>
      <c r="S16" s="238" t="str">
        <f t="shared" ca="1" si="2"/>
        <v>BRN</v>
      </c>
      <c r="T16" s="238" t="str">
        <f t="shared" ca="1" si="3"/>
        <v>ORG</v>
      </c>
      <c r="U16" s="238" t="str">
        <f t="shared" ca="1" si="4"/>
        <v>GRN</v>
      </c>
      <c r="V16" s="238" t="str">
        <f t="shared" ca="1" si="5"/>
        <v>YLW</v>
      </c>
      <c r="W16" s="238" t="str">
        <f t="shared" ca="1" si="6"/>
        <v>PRP</v>
      </c>
      <c r="X16" s="238" t="str">
        <f t="shared" ca="1" si="7"/>
        <v>RED</v>
      </c>
      <c r="Y16" s="238" t="str">
        <f t="shared" ca="1" si="8"/>
        <v>BLK</v>
      </c>
      <c r="Z16" s="238" t="str">
        <f ca="1">OFFSET($R16,0,R$12+(COUNTIF($R16:R16,$C16)))</f>
        <v>WHT</v>
      </c>
      <c r="AA16" s="238" t="str">
        <f ca="1">OFFSET($R16,0,S$12+(COUNTIF($R16:S16,$C16)))</f>
        <v>BRN</v>
      </c>
      <c r="AB16" s="238" t="str">
        <f ca="1">OFFSET($R16,0,T$12+(COUNTIF($R16:T16,$C16)))</f>
        <v>ORG</v>
      </c>
      <c r="AC16" s="238" t="str">
        <f ca="1">OFFSET($R16,0,U$12+(COUNTIF($R16:U16,$C16)))</f>
        <v>GRN</v>
      </c>
      <c r="AD16" s="238" t="str">
        <f ca="1">OFFSET($R16,0,V$12+(COUNTIF($R16:V16,$C16)))</f>
        <v>YLW</v>
      </c>
      <c r="AE16" s="238" t="str">
        <f ca="1">OFFSET($R16,0,W$12+(COUNTIF($R16:W16,$C16)))</f>
        <v>PRP</v>
      </c>
      <c r="AF16" s="238" t="str">
        <f ca="1">OFFSET($R16,0,X$12+(COUNTIF($R16:X16,$C16)))</f>
        <v>RED</v>
      </c>
      <c r="AG16" s="245" t="b">
        <f t="shared" si="9"/>
        <v>0</v>
      </c>
      <c r="AH16" s="245" t="b">
        <f t="shared" si="9"/>
        <v>1</v>
      </c>
      <c r="AJ16" s="996" t="s">
        <v>124</v>
      </c>
      <c r="AK16" s="996"/>
      <c r="AL16" s="996"/>
    </row>
    <row r="17" spans="1:38" ht="16.350000000000001" customHeight="1" x14ac:dyDescent="0.2">
      <c r="A17" s="1072"/>
      <c r="B17" s="1074"/>
      <c r="C17" s="652"/>
      <c r="D17" s="1075"/>
      <c r="E17" s="1852"/>
      <c r="F17" s="1853"/>
      <c r="G17" s="1853"/>
      <c r="H17" s="1853"/>
      <c r="I17" s="1853"/>
      <c r="J17" s="1853"/>
      <c r="K17" s="1853"/>
      <c r="L17" s="1853"/>
      <c r="M17" s="1853"/>
      <c r="N17" s="1854"/>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072"/>
      <c r="B18" s="1074"/>
      <c r="C18" s="652"/>
      <c r="D18" s="1075"/>
      <c r="E18" s="1852"/>
      <c r="F18" s="1853"/>
      <c r="G18" s="1853"/>
      <c r="H18" s="1853"/>
      <c r="I18" s="1853"/>
      <c r="J18" s="1853"/>
      <c r="K18" s="1853"/>
      <c r="L18" s="1853"/>
      <c r="M18" s="1853"/>
      <c r="N18" s="1854"/>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072"/>
      <c r="B19" s="1074"/>
      <c r="C19" s="652"/>
      <c r="D19" s="1075"/>
      <c r="E19" s="1852"/>
      <c r="F19" s="1853"/>
      <c r="G19" s="1853"/>
      <c r="H19" s="1853"/>
      <c r="I19" s="1853"/>
      <c r="J19" s="1853"/>
      <c r="K19" s="1853"/>
      <c r="L19" s="1853"/>
      <c r="M19" s="1853"/>
      <c r="N19" s="1854"/>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072"/>
      <c r="B20" s="1074"/>
      <c r="C20" s="652"/>
      <c r="D20" s="1075"/>
      <c r="E20" s="1852"/>
      <c r="F20" s="1853"/>
      <c r="G20" s="1853"/>
      <c r="H20" s="1853"/>
      <c r="I20" s="1853"/>
      <c r="J20" s="1853"/>
      <c r="K20" s="1853"/>
      <c r="L20" s="1853"/>
      <c r="M20" s="1853"/>
      <c r="N20" s="1854"/>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072"/>
      <c r="B21" s="1074"/>
      <c r="C21" s="652"/>
      <c r="D21" s="1075"/>
      <c r="E21" s="1852"/>
      <c r="F21" s="1853"/>
      <c r="G21" s="1853"/>
      <c r="H21" s="1853"/>
      <c r="I21" s="1853"/>
      <c r="J21" s="1853"/>
      <c r="K21" s="1853"/>
      <c r="L21" s="1853"/>
      <c r="M21" s="1853"/>
      <c r="N21" s="1854"/>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072"/>
      <c r="B22" s="1074"/>
      <c r="C22" s="652"/>
      <c r="D22" s="1075"/>
      <c r="E22" s="1852"/>
      <c r="F22" s="1853"/>
      <c r="G22" s="1853"/>
      <c r="H22" s="1853"/>
      <c r="I22" s="1853"/>
      <c r="J22" s="1853"/>
      <c r="K22" s="1853"/>
      <c r="L22" s="1853"/>
      <c r="M22" s="1853"/>
      <c r="N22" s="1854"/>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072"/>
      <c r="B23" s="1074"/>
      <c r="C23" s="652"/>
      <c r="D23" s="1075"/>
      <c r="E23" s="1852"/>
      <c r="F23" s="1853"/>
      <c r="G23" s="1853"/>
      <c r="H23" s="1853"/>
      <c r="I23" s="1853"/>
      <c r="J23" s="1853"/>
      <c r="K23" s="1853"/>
      <c r="L23" s="1853"/>
      <c r="M23" s="1853"/>
      <c r="N23" s="1854"/>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072"/>
      <c r="B24" s="1074"/>
      <c r="C24" s="652"/>
      <c r="D24" s="1075"/>
      <c r="E24" s="1852"/>
      <c r="F24" s="1853"/>
      <c r="G24" s="1853"/>
      <c r="H24" s="1853"/>
      <c r="I24" s="1853"/>
      <c r="J24" s="1853"/>
      <c r="K24" s="1853"/>
      <c r="L24" s="1853"/>
      <c r="M24" s="1853"/>
      <c r="N24" s="1854"/>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072"/>
      <c r="B25" s="1074"/>
      <c r="C25" s="652"/>
      <c r="D25" s="1075"/>
      <c r="E25" s="1852"/>
      <c r="F25" s="1853"/>
      <c r="G25" s="1853"/>
      <c r="H25" s="1853"/>
      <c r="I25" s="1853"/>
      <c r="J25" s="1853"/>
      <c r="K25" s="1853"/>
      <c r="L25" s="1853"/>
      <c r="M25" s="1853"/>
      <c r="N25" s="1854"/>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072"/>
      <c r="B26" s="1074"/>
      <c r="C26" s="652"/>
      <c r="D26" s="1075"/>
      <c r="E26" s="1852"/>
      <c r="F26" s="1853"/>
      <c r="G26" s="1853"/>
      <c r="H26" s="1853"/>
      <c r="I26" s="1853"/>
      <c r="J26" s="1853"/>
      <c r="K26" s="1853"/>
      <c r="L26" s="1853"/>
      <c r="M26" s="1853"/>
      <c r="N26" s="1854"/>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072"/>
      <c r="B27" s="1074"/>
      <c r="C27" s="652"/>
      <c r="D27" s="1075"/>
      <c r="E27" s="1852"/>
      <c r="F27" s="1853"/>
      <c r="G27" s="1853"/>
      <c r="H27" s="1853"/>
      <c r="I27" s="1853"/>
      <c r="J27" s="1853"/>
      <c r="K27" s="1853"/>
      <c r="L27" s="1853"/>
      <c r="M27" s="1853"/>
      <c r="N27" s="1854"/>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072"/>
      <c r="B28" s="1074"/>
      <c r="C28" s="652"/>
      <c r="D28" s="1075"/>
      <c r="E28" s="1870"/>
      <c r="F28" s="1871"/>
      <c r="G28" s="1871"/>
      <c r="H28" s="1871"/>
      <c r="I28" s="1871"/>
      <c r="J28" s="1871"/>
      <c r="K28" s="1871"/>
      <c r="L28" s="1871"/>
      <c r="M28" s="1871"/>
      <c r="N28" s="1872"/>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072"/>
      <c r="B29" s="1074"/>
      <c r="C29" s="652"/>
      <c r="D29" s="1075"/>
      <c r="E29" s="1870"/>
      <c r="F29" s="1871"/>
      <c r="G29" s="1871"/>
      <c r="H29" s="1871"/>
      <c r="I29" s="1871"/>
      <c r="J29" s="1871"/>
      <c r="K29" s="1871"/>
      <c r="L29" s="1871"/>
      <c r="M29" s="1871"/>
      <c r="N29" s="1872"/>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072"/>
      <c r="B30" s="1074"/>
      <c r="C30" s="652"/>
      <c r="D30" s="1075"/>
      <c r="E30" s="1870"/>
      <c r="F30" s="1871"/>
      <c r="G30" s="1871"/>
      <c r="H30" s="1871"/>
      <c r="I30" s="1871"/>
      <c r="J30" s="1871"/>
      <c r="K30" s="1871"/>
      <c r="L30" s="1871"/>
      <c r="M30" s="1871"/>
      <c r="N30" s="1872"/>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072"/>
      <c r="B31" s="1074"/>
      <c r="C31" s="652"/>
      <c r="D31" s="1075"/>
      <c r="E31" s="1870"/>
      <c r="F31" s="1871"/>
      <c r="G31" s="1871"/>
      <c r="H31" s="1871"/>
      <c r="I31" s="1871"/>
      <c r="J31" s="1871"/>
      <c r="K31" s="1871"/>
      <c r="L31" s="1871"/>
      <c r="M31" s="1871"/>
      <c r="N31" s="1872"/>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072"/>
      <c r="B32" s="1074"/>
      <c r="C32" s="652"/>
      <c r="D32" s="1075"/>
      <c r="E32" s="1870"/>
      <c r="F32" s="1871"/>
      <c r="G32" s="1871"/>
      <c r="H32" s="1871"/>
      <c r="I32" s="1871"/>
      <c r="J32" s="1871"/>
      <c r="K32" s="1871"/>
      <c r="L32" s="1871"/>
      <c r="M32" s="1871"/>
      <c r="N32" s="1872"/>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072"/>
      <c r="B33" s="1074"/>
      <c r="C33" s="652"/>
      <c r="D33" s="1075"/>
      <c r="E33" s="1870"/>
      <c r="F33" s="1871"/>
      <c r="G33" s="1871"/>
      <c r="H33" s="1871"/>
      <c r="I33" s="1871"/>
      <c r="J33" s="1871"/>
      <c r="K33" s="1871"/>
      <c r="L33" s="1871"/>
      <c r="M33" s="1871"/>
      <c r="N33" s="1872"/>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072"/>
      <c r="B34" s="1074"/>
      <c r="C34" s="652"/>
      <c r="D34" s="1075"/>
      <c r="E34" s="1870"/>
      <c r="F34" s="1871"/>
      <c r="G34" s="1871"/>
      <c r="H34" s="1871"/>
      <c r="I34" s="1871"/>
      <c r="J34" s="1871"/>
      <c r="K34" s="1871"/>
      <c r="L34" s="1871"/>
      <c r="M34" s="1871"/>
      <c r="N34" s="1872"/>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072"/>
      <c r="B35" s="1074"/>
      <c r="C35" s="652"/>
      <c r="D35" s="1075"/>
      <c r="E35" s="1852"/>
      <c r="F35" s="1853"/>
      <c r="G35" s="1853"/>
      <c r="H35" s="1853"/>
      <c r="I35" s="1853"/>
      <c r="J35" s="1853"/>
      <c r="K35" s="1853"/>
      <c r="L35" s="1853"/>
      <c r="M35" s="1853"/>
      <c r="N35" s="1854"/>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072"/>
      <c r="B36" s="1074"/>
      <c r="C36" s="652"/>
      <c r="D36" s="1075"/>
      <c r="E36" s="1852"/>
      <c r="F36" s="1853"/>
      <c r="G36" s="1853"/>
      <c r="H36" s="1853"/>
      <c r="I36" s="1853"/>
      <c r="J36" s="1853"/>
      <c r="K36" s="1853"/>
      <c r="L36" s="1853"/>
      <c r="M36" s="1853"/>
      <c r="N36" s="1854"/>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072"/>
      <c r="B37" s="1074"/>
      <c r="C37" s="652"/>
      <c r="D37" s="1075"/>
      <c r="E37" s="1852"/>
      <c r="F37" s="1853"/>
      <c r="G37" s="1853"/>
      <c r="H37" s="1853"/>
      <c r="I37" s="1853"/>
      <c r="J37" s="1853"/>
      <c r="K37" s="1853"/>
      <c r="L37" s="1853"/>
      <c r="M37" s="1853"/>
      <c r="N37" s="1854"/>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072"/>
      <c r="B38" s="1074"/>
      <c r="C38" s="652"/>
      <c r="D38" s="1075"/>
      <c r="E38" s="1852"/>
      <c r="F38" s="1853"/>
      <c r="G38" s="1853"/>
      <c r="H38" s="1853"/>
      <c r="I38" s="1853"/>
      <c r="J38" s="1853"/>
      <c r="K38" s="1853"/>
      <c r="L38" s="1853"/>
      <c r="M38" s="1853"/>
      <c r="N38" s="1854"/>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072"/>
      <c r="B39" s="1074"/>
      <c r="C39" s="652"/>
      <c r="D39" s="1075"/>
      <c r="E39" s="1852"/>
      <c r="F39" s="1853"/>
      <c r="G39" s="1853"/>
      <c r="H39" s="1853"/>
      <c r="I39" s="1853"/>
      <c r="J39" s="1853"/>
      <c r="K39" s="1853"/>
      <c r="L39" s="1853"/>
      <c r="M39" s="1853"/>
      <c r="N39" s="1854"/>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072"/>
      <c r="B40" s="1074"/>
      <c r="C40" s="652"/>
      <c r="D40" s="1075"/>
      <c r="E40" s="1852"/>
      <c r="F40" s="1853"/>
      <c r="G40" s="1853"/>
      <c r="H40" s="1853"/>
      <c r="I40" s="1853"/>
      <c r="J40" s="1853"/>
      <c r="K40" s="1853"/>
      <c r="L40" s="1853"/>
      <c r="M40" s="1853"/>
      <c r="N40" s="1854"/>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072"/>
      <c r="B41" s="1074"/>
      <c r="C41" s="652"/>
      <c r="D41" s="1075"/>
      <c r="E41" s="1852"/>
      <c r="F41" s="1853"/>
      <c r="G41" s="1853"/>
      <c r="H41" s="1853"/>
      <c r="I41" s="1853"/>
      <c r="J41" s="1853"/>
      <c r="K41" s="1853"/>
      <c r="L41" s="1853"/>
      <c r="M41" s="1853"/>
      <c r="N41" s="1854"/>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072"/>
      <c r="B42" s="1074"/>
      <c r="C42" s="652"/>
      <c r="D42" s="1075"/>
      <c r="E42" s="1852"/>
      <c r="F42" s="1853"/>
      <c r="G42" s="1853"/>
      <c r="H42" s="1853"/>
      <c r="I42" s="1853"/>
      <c r="J42" s="1853"/>
      <c r="K42" s="1853"/>
      <c r="L42" s="1853"/>
      <c r="M42" s="1853"/>
      <c r="N42" s="1854"/>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072"/>
      <c r="B43" s="1074"/>
      <c r="C43" s="652"/>
      <c r="D43" s="1075"/>
      <c r="E43" s="1852"/>
      <c r="F43" s="1853"/>
      <c r="G43" s="1853"/>
      <c r="H43" s="1853"/>
      <c r="I43" s="1853"/>
      <c r="J43" s="1853"/>
      <c r="K43" s="1853"/>
      <c r="L43" s="1853"/>
      <c r="M43" s="1853"/>
      <c r="N43" s="1854"/>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072"/>
      <c r="B44" s="1074"/>
      <c r="C44" s="652"/>
      <c r="D44" s="1075"/>
      <c r="E44" s="1852"/>
      <c r="F44" s="1853"/>
      <c r="G44" s="1853"/>
      <c r="H44" s="1853"/>
      <c r="I44" s="1853"/>
      <c r="J44" s="1853"/>
      <c r="K44" s="1853"/>
      <c r="L44" s="1853"/>
      <c r="M44" s="1853"/>
      <c r="N44" s="1854"/>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072"/>
      <c r="B45" s="1074"/>
      <c r="C45" s="652"/>
      <c r="D45" s="1075"/>
      <c r="E45" s="1852"/>
      <c r="F45" s="1853"/>
      <c r="G45" s="1853"/>
      <c r="H45" s="1853"/>
      <c r="I45" s="1853"/>
      <c r="J45" s="1853"/>
      <c r="K45" s="1853"/>
      <c r="L45" s="1853"/>
      <c r="M45" s="1853"/>
      <c r="N45" s="1854"/>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072"/>
      <c r="B46" s="1074"/>
      <c r="C46" s="652"/>
      <c r="D46" s="1075"/>
      <c r="E46" s="1852"/>
      <c r="F46" s="1853"/>
      <c r="G46" s="1853"/>
      <c r="H46" s="1853"/>
      <c r="I46" s="1853"/>
      <c r="J46" s="1853"/>
      <c r="K46" s="1853"/>
      <c r="L46" s="1853"/>
      <c r="M46" s="1853"/>
      <c r="N46" s="1854"/>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072"/>
      <c r="B47" s="1074"/>
      <c r="C47" s="652"/>
      <c r="D47" s="1075"/>
      <c r="E47" s="1852"/>
      <c r="F47" s="1853"/>
      <c r="G47" s="1853"/>
      <c r="H47" s="1853"/>
      <c r="I47" s="1853"/>
      <c r="J47" s="1853"/>
      <c r="K47" s="1853"/>
      <c r="L47" s="1853"/>
      <c r="M47" s="1853"/>
      <c r="N47" s="1854"/>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072"/>
      <c r="B48" s="1074"/>
      <c r="C48" s="652"/>
      <c r="D48" s="1075"/>
      <c r="E48" s="1852"/>
      <c r="F48" s="1853"/>
      <c r="G48" s="1853"/>
      <c r="H48" s="1853"/>
      <c r="I48" s="1853"/>
      <c r="J48" s="1853"/>
      <c r="K48" s="1853"/>
      <c r="L48" s="1853"/>
      <c r="M48" s="1853"/>
      <c r="N48" s="1854"/>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073"/>
      <c r="B49" s="1076"/>
      <c r="C49" s="1058"/>
      <c r="D49" s="1077"/>
      <c r="E49" s="1864"/>
      <c r="F49" s="1865"/>
      <c r="G49" s="1865"/>
      <c r="H49" s="1865"/>
      <c r="I49" s="1865"/>
      <c r="J49" s="1865"/>
      <c r="K49" s="1865"/>
      <c r="L49" s="1865"/>
      <c r="M49" s="1865"/>
      <c r="N49" s="1866"/>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AbbUYxvsDcVbesc75ILRSlceVstGJmnLXJLxUHMl2OpmsTZdQucGSRDDd/KtVsDBvC24OJy3QIukI1Q3YjewUw==" saltValue="550BNNk3DWi/BBVTBPqEvg=="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827" priority="1" stopIfTrue="1" operator="equal">
      <formula>""</formula>
    </cfRule>
  </conditionalFormatting>
  <conditionalFormatting sqref="E13:N49">
    <cfRule type="expression" dxfId="826" priority="2" stopIfTrue="1">
      <formula>LEN(E13)&gt;20</formula>
    </cfRule>
  </conditionalFormatting>
  <dataValidations count="3">
    <dataValidation type="list" allowBlank="1" showInputMessage="1" showErrorMessage="1" sqref="D13:D49" xr:uid="{062E6D13-400D-42EC-B817-9A0FC0BCF309}">
      <formula1>IF(AH13,$T$1:$T$1,$Z13:$AF13)</formula1>
    </dataValidation>
    <dataValidation type="list" allowBlank="1" showInputMessage="1" showErrorMessage="1" sqref="C13:C49" xr:uid="{BE09E60D-1FA0-4D0F-9AD4-5A6CF00A0C35}">
      <formula1>IF(AG13,$T$1,$R13:$Y13)</formula1>
    </dataValidation>
    <dataValidation type="list" allowBlank="1" showErrorMessage="1" sqref="B13:B49" xr:uid="{8B7D2805-D120-431C-A5D3-6FF827EFB3F4}">
      <formula1>$R$1:$R$9</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CD86E-E47C-49FF-8274-789D23529461}">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8 of 28</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1395</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1396</v>
      </c>
      <c r="B15" s="1494" t="s">
        <v>1397</v>
      </c>
      <c r="C15" s="1495">
        <v>1</v>
      </c>
      <c r="D15" s="1495" t="s">
        <v>1397</v>
      </c>
      <c r="E15" s="1495" t="s">
        <v>1397</v>
      </c>
      <c r="F15" s="1495"/>
      <c r="G15" s="1495"/>
      <c r="H15" s="1495"/>
      <c r="I15" s="1495"/>
      <c r="J15" s="1495"/>
      <c r="K15" s="1495"/>
      <c r="L15" s="1495"/>
      <c r="M15" s="1495"/>
      <c r="N15" s="1495"/>
      <c r="O15" s="1496"/>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1398</v>
      </c>
      <c r="B16" s="1494" t="s">
        <v>1397</v>
      </c>
      <c r="C16" s="1495">
        <v>1</v>
      </c>
      <c r="D16" s="1495" t="s">
        <v>1397</v>
      </c>
      <c r="E16" s="1495" t="s">
        <v>1397</v>
      </c>
      <c r="F16" s="1495"/>
      <c r="G16" s="1495"/>
      <c r="H16" s="1495"/>
      <c r="I16" s="1495"/>
      <c r="J16" s="1495"/>
      <c r="K16" s="1495"/>
      <c r="L16" s="1495"/>
      <c r="M16" s="1495"/>
      <c r="N16" s="1495"/>
      <c r="O16" s="1496"/>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3" t="s">
        <v>1399</v>
      </c>
      <c r="B17" s="1494" t="s">
        <v>1397</v>
      </c>
      <c r="C17" s="1495">
        <v>1</v>
      </c>
      <c r="D17" s="1495" t="s">
        <v>1397</v>
      </c>
      <c r="E17" s="1495" t="s">
        <v>1397</v>
      </c>
      <c r="F17" s="1495"/>
      <c r="G17" s="1495"/>
      <c r="H17" s="1495"/>
      <c r="I17" s="1495"/>
      <c r="J17" s="1495"/>
      <c r="K17" s="1495"/>
      <c r="L17" s="1495"/>
      <c r="M17" s="1495"/>
      <c r="N17" s="1495"/>
      <c r="O17" s="1496"/>
      <c r="P17" s="657">
        <f t="shared" si="0"/>
        <v>1</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3" t="s">
        <v>1400</v>
      </c>
      <c r="B18" s="1494" t="s">
        <v>1397</v>
      </c>
      <c r="C18" s="1495">
        <v>2</v>
      </c>
      <c r="D18" s="1495" t="s">
        <v>1397</v>
      </c>
      <c r="E18" s="1495" t="s">
        <v>1397</v>
      </c>
      <c r="F18" s="1495"/>
      <c r="G18" s="1495"/>
      <c r="H18" s="1495"/>
      <c r="I18" s="1495"/>
      <c r="J18" s="1495"/>
      <c r="K18" s="1495"/>
      <c r="L18" s="1495"/>
      <c r="M18" s="1495"/>
      <c r="N18" s="1495"/>
      <c r="O18" s="1496"/>
      <c r="P18" s="657">
        <f t="shared" si="0"/>
        <v>2</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3" t="s">
        <v>1401</v>
      </c>
      <c r="B19" s="1494">
        <v>1</v>
      </c>
      <c r="C19" s="1495">
        <v>1</v>
      </c>
      <c r="D19" s="1495" t="s">
        <v>1397</v>
      </c>
      <c r="E19" s="1495" t="s">
        <v>1397</v>
      </c>
      <c r="F19" s="1495"/>
      <c r="G19" s="1495"/>
      <c r="H19" s="1495"/>
      <c r="I19" s="1495"/>
      <c r="J19" s="1495"/>
      <c r="K19" s="1495"/>
      <c r="L19" s="1495"/>
      <c r="M19" s="1495"/>
      <c r="N19" s="1495"/>
      <c r="O19" s="1496"/>
      <c r="P19" s="657">
        <f t="shared" si="0"/>
        <v>2</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3" t="s">
        <v>1402</v>
      </c>
      <c r="B20" s="1494">
        <v>1</v>
      </c>
      <c r="C20" s="1495">
        <v>1</v>
      </c>
      <c r="D20" s="1495" t="s">
        <v>1397</v>
      </c>
      <c r="E20" s="1495" t="s">
        <v>1397</v>
      </c>
      <c r="F20" s="1495"/>
      <c r="G20" s="1495"/>
      <c r="H20" s="1495"/>
      <c r="I20" s="1495"/>
      <c r="J20" s="1495"/>
      <c r="K20" s="1495"/>
      <c r="L20" s="1495"/>
      <c r="M20" s="1495"/>
      <c r="N20" s="1495"/>
      <c r="O20" s="1496"/>
      <c r="P20" s="657">
        <f t="shared" si="0"/>
        <v>2</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3" t="s">
        <v>1403</v>
      </c>
      <c r="B21" s="1494">
        <v>1</v>
      </c>
      <c r="C21" s="1495">
        <v>1</v>
      </c>
      <c r="D21" s="1495" t="s">
        <v>1397</v>
      </c>
      <c r="E21" s="1495" t="s">
        <v>1397</v>
      </c>
      <c r="F21" s="1495"/>
      <c r="G21" s="1495"/>
      <c r="H21" s="1495"/>
      <c r="I21" s="1495"/>
      <c r="J21" s="1495"/>
      <c r="K21" s="1495"/>
      <c r="L21" s="1495"/>
      <c r="M21" s="1495"/>
      <c r="N21" s="1495"/>
      <c r="O21" s="1496"/>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3" t="s">
        <v>1404</v>
      </c>
      <c r="B22" s="1494" t="s">
        <v>1397</v>
      </c>
      <c r="C22" s="1495">
        <v>1</v>
      </c>
      <c r="D22" s="1495" t="s">
        <v>1397</v>
      </c>
      <c r="E22" s="1495" t="s">
        <v>1397</v>
      </c>
      <c r="F22" s="1495"/>
      <c r="G22" s="1495"/>
      <c r="H22" s="1495"/>
      <c r="I22" s="1495"/>
      <c r="J22" s="1495"/>
      <c r="K22" s="1495"/>
      <c r="L22" s="1495"/>
      <c r="M22" s="1495"/>
      <c r="N22" s="1495"/>
      <c r="O22" s="1496"/>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3" t="s">
        <v>1405</v>
      </c>
      <c r="B23" s="1494">
        <v>1</v>
      </c>
      <c r="C23" s="1495" t="s">
        <v>1397</v>
      </c>
      <c r="D23" s="1495" t="s">
        <v>1397</v>
      </c>
      <c r="E23" s="1495" t="s">
        <v>1397</v>
      </c>
      <c r="F23" s="1495"/>
      <c r="G23" s="1495"/>
      <c r="H23" s="1495"/>
      <c r="I23" s="1495"/>
      <c r="J23" s="1495"/>
      <c r="K23" s="1495"/>
      <c r="L23" s="1495"/>
      <c r="M23" s="1495"/>
      <c r="N23" s="1495"/>
      <c r="O23" s="1496"/>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3" t="s">
        <v>1406</v>
      </c>
      <c r="B24" s="1494">
        <v>1</v>
      </c>
      <c r="C24" s="1495" t="s">
        <v>1397</v>
      </c>
      <c r="D24" s="1495" t="s">
        <v>1397</v>
      </c>
      <c r="E24" s="1495" t="s">
        <v>1397</v>
      </c>
      <c r="F24" s="1495"/>
      <c r="G24" s="1495"/>
      <c r="H24" s="1495"/>
      <c r="I24" s="1495"/>
      <c r="J24" s="1495"/>
      <c r="K24" s="1495"/>
      <c r="L24" s="1495"/>
      <c r="M24" s="1495"/>
      <c r="N24" s="1495"/>
      <c r="O24" s="1496"/>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3" t="s">
        <v>1407</v>
      </c>
      <c r="B25" s="1494">
        <v>2</v>
      </c>
      <c r="C25" s="1495" t="s">
        <v>1397</v>
      </c>
      <c r="D25" s="1495" t="s">
        <v>1397</v>
      </c>
      <c r="E25" s="1495" t="s">
        <v>1397</v>
      </c>
      <c r="F25" s="1495"/>
      <c r="G25" s="1495"/>
      <c r="H25" s="1495"/>
      <c r="I25" s="1495"/>
      <c r="J25" s="1495"/>
      <c r="K25" s="1495"/>
      <c r="L25" s="1495"/>
      <c r="M25" s="1495"/>
      <c r="N25" s="1495"/>
      <c r="O25" s="1496"/>
      <c r="P25" s="657">
        <f t="shared" si="0"/>
        <v>2</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493" t="s">
        <v>1408</v>
      </c>
      <c r="B26" s="1494">
        <v>2</v>
      </c>
      <c r="C26" s="1495" t="s">
        <v>1397</v>
      </c>
      <c r="D26" s="1495" t="s">
        <v>1397</v>
      </c>
      <c r="E26" s="1495" t="s">
        <v>1397</v>
      </c>
      <c r="F26" s="1495"/>
      <c r="G26" s="1495"/>
      <c r="H26" s="1495"/>
      <c r="I26" s="1495"/>
      <c r="J26" s="1495"/>
      <c r="K26" s="1495"/>
      <c r="L26" s="1495"/>
      <c r="M26" s="1495"/>
      <c r="N26" s="1495"/>
      <c r="O26" s="1496"/>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3" t="s">
        <v>1409</v>
      </c>
      <c r="B27" s="1494">
        <v>2</v>
      </c>
      <c r="C27" s="1495" t="s">
        <v>1397</v>
      </c>
      <c r="D27" s="1495" t="s">
        <v>1397</v>
      </c>
      <c r="E27" s="1495" t="s">
        <v>1397</v>
      </c>
      <c r="F27" s="1495"/>
      <c r="G27" s="1495"/>
      <c r="H27" s="1495"/>
      <c r="I27" s="1495"/>
      <c r="J27" s="1495"/>
      <c r="K27" s="1495"/>
      <c r="L27" s="1495"/>
      <c r="M27" s="1495"/>
      <c r="N27" s="1495"/>
      <c r="O27" s="1496"/>
      <c r="P27" s="657">
        <f t="shared" si="0"/>
        <v>2</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3" t="s">
        <v>1410</v>
      </c>
      <c r="B28" s="1494">
        <v>1</v>
      </c>
      <c r="C28" s="1495" t="s">
        <v>1397</v>
      </c>
      <c r="D28" s="1495" t="s">
        <v>1397</v>
      </c>
      <c r="E28" s="1495" t="s">
        <v>1397</v>
      </c>
      <c r="F28" s="1495"/>
      <c r="G28" s="1495"/>
      <c r="H28" s="1495"/>
      <c r="I28" s="1495"/>
      <c r="J28" s="1495"/>
      <c r="K28" s="1495"/>
      <c r="L28" s="1495"/>
      <c r="M28" s="1495"/>
      <c r="N28" s="1495"/>
      <c r="O28" s="1496"/>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3" t="s">
        <v>1411</v>
      </c>
      <c r="B29" s="1494">
        <v>1</v>
      </c>
      <c r="C29" s="1495" t="s">
        <v>1397</v>
      </c>
      <c r="D29" s="1495" t="s">
        <v>1397</v>
      </c>
      <c r="E29" s="1495" t="s">
        <v>1397</v>
      </c>
      <c r="F29" s="1495"/>
      <c r="G29" s="1495"/>
      <c r="H29" s="1495"/>
      <c r="I29" s="1495"/>
      <c r="J29" s="1495"/>
      <c r="K29" s="1495"/>
      <c r="L29" s="1495"/>
      <c r="M29" s="1495"/>
      <c r="N29" s="1495"/>
      <c r="O29" s="1496"/>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3" t="s">
        <v>1412</v>
      </c>
      <c r="B30" s="1494" t="s">
        <v>1397</v>
      </c>
      <c r="C30" s="1495">
        <v>1</v>
      </c>
      <c r="D30" s="1495" t="s">
        <v>1397</v>
      </c>
      <c r="E30" s="1495" t="s">
        <v>1397</v>
      </c>
      <c r="F30" s="1495"/>
      <c r="G30" s="1495"/>
      <c r="H30" s="1495"/>
      <c r="I30" s="1495"/>
      <c r="J30" s="1495"/>
      <c r="K30" s="1495"/>
      <c r="L30" s="1495"/>
      <c r="M30" s="1495"/>
      <c r="N30" s="1495"/>
      <c r="O30" s="1496"/>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3" t="s">
        <v>1413</v>
      </c>
      <c r="B31" s="1494" t="s">
        <v>1397</v>
      </c>
      <c r="C31" s="1495">
        <v>1</v>
      </c>
      <c r="D31" s="1495" t="s">
        <v>1397</v>
      </c>
      <c r="E31" s="1495" t="s">
        <v>1397</v>
      </c>
      <c r="F31" s="1495"/>
      <c r="G31" s="1495"/>
      <c r="H31" s="1495"/>
      <c r="I31" s="1495"/>
      <c r="J31" s="1495"/>
      <c r="K31" s="1495"/>
      <c r="L31" s="1495"/>
      <c r="M31" s="1495"/>
      <c r="N31" s="1495"/>
      <c r="O31" s="1496"/>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3" t="s">
        <v>1414</v>
      </c>
      <c r="B32" s="1494" t="s">
        <v>1397</v>
      </c>
      <c r="C32" s="1495">
        <v>2</v>
      </c>
      <c r="D32" s="1495" t="s">
        <v>1397</v>
      </c>
      <c r="E32" s="1495" t="s">
        <v>1397</v>
      </c>
      <c r="F32" s="1495"/>
      <c r="G32" s="1495"/>
      <c r="H32" s="1495"/>
      <c r="I32" s="1495"/>
      <c r="J32" s="1495"/>
      <c r="K32" s="1495"/>
      <c r="L32" s="1495"/>
      <c r="M32" s="1495"/>
      <c r="N32" s="1495"/>
      <c r="O32" s="1496"/>
      <c r="P32" s="657">
        <f t="shared" si="0"/>
        <v>2</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3" t="s">
        <v>1415</v>
      </c>
      <c r="B33" s="1494">
        <v>1</v>
      </c>
      <c r="C33" s="1495">
        <v>1</v>
      </c>
      <c r="D33" s="1495" t="s">
        <v>1397</v>
      </c>
      <c r="E33" s="1495" t="s">
        <v>1397</v>
      </c>
      <c r="F33" s="1495"/>
      <c r="G33" s="1495"/>
      <c r="H33" s="1495"/>
      <c r="I33" s="1495"/>
      <c r="J33" s="1495"/>
      <c r="K33" s="1495"/>
      <c r="L33" s="1495"/>
      <c r="M33" s="1495"/>
      <c r="N33" s="1495"/>
      <c r="O33" s="1496"/>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3" t="s">
        <v>1416</v>
      </c>
      <c r="B34" s="1494">
        <v>3</v>
      </c>
      <c r="C34" s="1495">
        <v>1</v>
      </c>
      <c r="D34" s="1495" t="s">
        <v>1397</v>
      </c>
      <c r="E34" s="1495" t="s">
        <v>1397</v>
      </c>
      <c r="F34" s="1495"/>
      <c r="G34" s="1495"/>
      <c r="H34" s="1495"/>
      <c r="I34" s="1495"/>
      <c r="J34" s="1495"/>
      <c r="K34" s="1495"/>
      <c r="L34" s="1495"/>
      <c r="M34" s="1495"/>
      <c r="N34" s="1495"/>
      <c r="O34" s="1496"/>
      <c r="P34" s="657">
        <f t="shared" si="0"/>
        <v>4</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493" t="s">
        <v>1417</v>
      </c>
      <c r="B35" s="1494">
        <v>3</v>
      </c>
      <c r="C35" s="1495">
        <v>1</v>
      </c>
      <c r="D35" s="1495" t="s">
        <v>1397</v>
      </c>
      <c r="E35" s="1495" t="s">
        <v>1397</v>
      </c>
      <c r="F35" s="1495"/>
      <c r="G35" s="1495"/>
      <c r="H35" s="1495"/>
      <c r="I35" s="1495"/>
      <c r="J35" s="1495"/>
      <c r="K35" s="1495"/>
      <c r="L35" s="1495"/>
      <c r="M35" s="1495"/>
      <c r="N35" s="1495"/>
      <c r="O35" s="1496"/>
      <c r="P35" s="657">
        <f t="shared" si="0"/>
        <v>4</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493" t="s">
        <v>1418</v>
      </c>
      <c r="B36" s="1494" t="s">
        <v>1397</v>
      </c>
      <c r="C36" s="1495">
        <v>1</v>
      </c>
      <c r="D36" s="1495" t="s">
        <v>1397</v>
      </c>
      <c r="E36" s="1495" t="s">
        <v>1397</v>
      </c>
      <c r="F36" s="1495"/>
      <c r="G36" s="1495"/>
      <c r="H36" s="1495"/>
      <c r="I36" s="1495"/>
      <c r="J36" s="1495"/>
      <c r="K36" s="1495"/>
      <c r="L36" s="1495"/>
      <c r="M36" s="1495"/>
      <c r="N36" s="1495"/>
      <c r="O36" s="1496"/>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493" t="s">
        <v>1419</v>
      </c>
      <c r="B37" s="1494">
        <v>1</v>
      </c>
      <c r="C37" s="1495" t="s">
        <v>1397</v>
      </c>
      <c r="D37" s="1495" t="s">
        <v>1397</v>
      </c>
      <c r="E37" s="1495" t="s">
        <v>1397</v>
      </c>
      <c r="F37" s="1495"/>
      <c r="G37" s="1495"/>
      <c r="H37" s="1495"/>
      <c r="I37" s="1495"/>
      <c r="J37" s="1495"/>
      <c r="K37" s="1495"/>
      <c r="L37" s="1495"/>
      <c r="M37" s="1495"/>
      <c r="N37" s="1495"/>
      <c r="O37" s="1496"/>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493" t="s">
        <v>1420</v>
      </c>
      <c r="B38" s="1494">
        <v>1</v>
      </c>
      <c r="C38" s="1495" t="s">
        <v>1397</v>
      </c>
      <c r="D38" s="1495" t="s">
        <v>1397</v>
      </c>
      <c r="E38" s="1495" t="s">
        <v>1397</v>
      </c>
      <c r="F38" s="1495"/>
      <c r="G38" s="1495"/>
      <c r="H38" s="1495"/>
      <c r="I38" s="1495"/>
      <c r="J38" s="1495"/>
      <c r="K38" s="1495"/>
      <c r="L38" s="1495"/>
      <c r="M38" s="1495"/>
      <c r="N38" s="1495"/>
      <c r="O38" s="1496"/>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493" t="s">
        <v>1421</v>
      </c>
      <c r="B39" s="1494">
        <v>2</v>
      </c>
      <c r="C39" s="1495" t="s">
        <v>1397</v>
      </c>
      <c r="D39" s="1495" t="s">
        <v>1397</v>
      </c>
      <c r="E39" s="1495" t="s">
        <v>1397</v>
      </c>
      <c r="F39" s="1495"/>
      <c r="G39" s="1495"/>
      <c r="H39" s="1495"/>
      <c r="I39" s="1495"/>
      <c r="J39" s="1495"/>
      <c r="K39" s="1495"/>
      <c r="L39" s="1495"/>
      <c r="M39" s="1495"/>
      <c r="N39" s="1495"/>
      <c r="O39" s="1496"/>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493" t="s">
        <v>1422</v>
      </c>
      <c r="B40" s="1494">
        <v>1</v>
      </c>
      <c r="C40" s="1495" t="s">
        <v>1397</v>
      </c>
      <c r="D40" s="1495" t="s">
        <v>1397</v>
      </c>
      <c r="E40" s="1495" t="s">
        <v>1397</v>
      </c>
      <c r="F40" s="1495"/>
      <c r="G40" s="1495"/>
      <c r="H40" s="1495"/>
      <c r="I40" s="1495"/>
      <c r="J40" s="1495"/>
      <c r="K40" s="1495"/>
      <c r="L40" s="1495"/>
      <c r="M40" s="1495"/>
      <c r="N40" s="1495"/>
      <c r="O40" s="1496"/>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493" t="s">
        <v>1423</v>
      </c>
      <c r="B41" s="1494">
        <v>1</v>
      </c>
      <c r="C41" s="1495" t="s">
        <v>1397</v>
      </c>
      <c r="D41" s="1495" t="s">
        <v>1397</v>
      </c>
      <c r="E41" s="1495" t="s">
        <v>1397</v>
      </c>
      <c r="F41" s="1495"/>
      <c r="G41" s="1495"/>
      <c r="H41" s="1495"/>
      <c r="I41" s="1495"/>
      <c r="J41" s="1495"/>
      <c r="K41" s="1495"/>
      <c r="L41" s="1495"/>
      <c r="M41" s="1495"/>
      <c r="N41" s="1495"/>
      <c r="O41" s="1496"/>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493" t="s">
        <v>1424</v>
      </c>
      <c r="B42" s="1494" t="s">
        <v>1397</v>
      </c>
      <c r="C42" s="1495">
        <v>1</v>
      </c>
      <c r="D42" s="1495" t="s">
        <v>1397</v>
      </c>
      <c r="E42" s="1495" t="s">
        <v>1397</v>
      </c>
      <c r="F42" s="1495"/>
      <c r="G42" s="1495"/>
      <c r="H42" s="1495"/>
      <c r="I42" s="1495"/>
      <c r="J42" s="1495"/>
      <c r="K42" s="1495"/>
      <c r="L42" s="1495"/>
      <c r="M42" s="1495"/>
      <c r="N42" s="1495"/>
      <c r="O42" s="1496"/>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493" t="s">
        <v>1425</v>
      </c>
      <c r="B43" s="1494" t="s">
        <v>1397</v>
      </c>
      <c r="C43" s="1495">
        <v>2</v>
      </c>
      <c r="D43" s="1495" t="s">
        <v>1397</v>
      </c>
      <c r="E43" s="1495" t="s">
        <v>1397</v>
      </c>
      <c r="F43" s="1495"/>
      <c r="G43" s="1495"/>
      <c r="H43" s="1495"/>
      <c r="I43" s="1495"/>
      <c r="J43" s="1495"/>
      <c r="K43" s="1495"/>
      <c r="L43" s="1495"/>
      <c r="M43" s="1495"/>
      <c r="N43" s="1495"/>
      <c r="O43" s="1496"/>
      <c r="P43" s="657">
        <f t="shared" si="0"/>
        <v>2</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493" t="s">
        <v>1426</v>
      </c>
      <c r="B44" s="1494">
        <v>1</v>
      </c>
      <c r="C44" s="1495">
        <v>1</v>
      </c>
      <c r="D44" s="1495" t="s">
        <v>1397</v>
      </c>
      <c r="E44" s="1495" t="s">
        <v>1397</v>
      </c>
      <c r="F44" s="1495"/>
      <c r="G44" s="1495"/>
      <c r="H44" s="1495"/>
      <c r="I44" s="1495"/>
      <c r="J44" s="1495"/>
      <c r="K44" s="1495"/>
      <c r="L44" s="1495"/>
      <c r="M44" s="1495"/>
      <c r="N44" s="1495"/>
      <c r="O44" s="1496"/>
      <c r="P44" s="657">
        <f t="shared" si="0"/>
        <v>2</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1493" t="s">
        <v>1427</v>
      </c>
      <c r="B45" s="1494">
        <v>1</v>
      </c>
      <c r="C45" s="1495">
        <v>1</v>
      </c>
      <c r="D45" s="1495" t="s">
        <v>1397</v>
      </c>
      <c r="E45" s="1495" t="s">
        <v>1397</v>
      </c>
      <c r="F45" s="1495"/>
      <c r="G45" s="1495"/>
      <c r="H45" s="1495"/>
      <c r="I45" s="1495"/>
      <c r="J45" s="1495"/>
      <c r="K45" s="1495"/>
      <c r="L45" s="1495"/>
      <c r="M45" s="1495"/>
      <c r="N45" s="1495"/>
      <c r="O45" s="1496"/>
      <c r="P45" s="657">
        <f t="shared" si="0"/>
        <v>2</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1493" t="s">
        <v>1428</v>
      </c>
      <c r="B46" s="1494">
        <v>1</v>
      </c>
      <c r="C46" s="1495">
        <v>1</v>
      </c>
      <c r="D46" s="1495" t="s">
        <v>1397</v>
      </c>
      <c r="E46" s="1495" t="s">
        <v>1397</v>
      </c>
      <c r="F46" s="1495"/>
      <c r="G46" s="1495"/>
      <c r="H46" s="1495"/>
      <c r="I46" s="1495"/>
      <c r="J46" s="1495"/>
      <c r="K46" s="1495"/>
      <c r="L46" s="1495"/>
      <c r="M46" s="1495"/>
      <c r="N46" s="1495"/>
      <c r="O46" s="1496"/>
      <c r="P46" s="657">
        <f t="shared" si="0"/>
        <v>2</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1493" t="s">
        <v>1429</v>
      </c>
      <c r="B47" s="1494" t="s">
        <v>1397</v>
      </c>
      <c r="C47" s="1495">
        <v>1</v>
      </c>
      <c r="D47" s="1495" t="s">
        <v>1397</v>
      </c>
      <c r="E47" s="1495" t="s">
        <v>1397</v>
      </c>
      <c r="F47" s="1495"/>
      <c r="G47" s="1495"/>
      <c r="H47" s="1495"/>
      <c r="I47" s="1495"/>
      <c r="J47" s="1495"/>
      <c r="K47" s="1495"/>
      <c r="L47" s="1495"/>
      <c r="M47" s="1495"/>
      <c r="N47" s="1495"/>
      <c r="O47" s="1496"/>
      <c r="P47" s="657">
        <f t="shared" si="0"/>
        <v>1</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1493" t="s">
        <v>1430</v>
      </c>
      <c r="B48" s="1494">
        <v>1</v>
      </c>
      <c r="C48" s="1495" t="s">
        <v>1397</v>
      </c>
      <c r="D48" s="1495" t="s">
        <v>1397</v>
      </c>
      <c r="E48" s="1495" t="s">
        <v>1397</v>
      </c>
      <c r="F48" s="1495"/>
      <c r="G48" s="1495"/>
      <c r="H48" s="1495"/>
      <c r="I48" s="1495"/>
      <c r="J48" s="1495"/>
      <c r="K48" s="1495"/>
      <c r="L48" s="1495"/>
      <c r="M48" s="1495"/>
      <c r="N48" s="1495"/>
      <c r="O48" s="1496"/>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1497" t="s">
        <v>1431</v>
      </c>
      <c r="B49" s="1498">
        <v>1</v>
      </c>
      <c r="C49" s="1499" t="s">
        <v>1397</v>
      </c>
      <c r="D49" s="1499" t="s">
        <v>1397</v>
      </c>
      <c r="E49" s="1499" t="s">
        <v>1397</v>
      </c>
      <c r="F49" s="1499"/>
      <c r="G49" s="1499"/>
      <c r="H49" s="1499"/>
      <c r="I49" s="1499"/>
      <c r="J49" s="1499"/>
      <c r="K49" s="1499"/>
      <c r="L49" s="1499"/>
      <c r="M49" s="1499"/>
      <c r="N49" s="1499"/>
      <c r="O49" s="1500"/>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31</v>
      </c>
      <c r="C50" s="654">
        <f t="shared" si="2"/>
        <v>24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1840</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3Ho2YHLTB1npBFgR5RlVh4B0RBnz7j2gDRRuHvkqIGhBu2mzMjPRSZ96/kLKLiSvIjKrJ4awTJU0K2WlTdjYVA==" saltValue="3zoPa2jf/wLTgdW3Q+c8i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825" priority="2">
      <formula>OR(A14="Girder",A14="Girders",A14="Joist",A14="Joists",A14="Bridging")</formula>
    </cfRule>
    <cfRule type="expression" dxfId="824" priority="3">
      <formula>AND(P14&gt;0,ISBLANK(AF14),OR($R$1="",$R$1="M"))</formula>
    </cfRule>
    <cfRule type="expression" dxfId="823" priority="9">
      <formula>$AH14</formula>
    </cfRule>
  </conditionalFormatting>
  <conditionalFormatting sqref="H2:J4">
    <cfRule type="cellIs" dxfId="822" priority="7" stopIfTrue="1" operator="equal">
      <formula>""</formula>
    </cfRule>
  </conditionalFormatting>
  <conditionalFormatting sqref="B14:O49">
    <cfRule type="expression" dxfId="821" priority="4">
      <formula>IF($R$1="M",AND(B14&gt;R14,R14&gt;0),B14&lt;R14)</formula>
    </cfRule>
    <cfRule type="expression" dxfId="820" priority="5">
      <formula>OR(AND($R$1="M",NOT($S$1),B14=R14),B14="-")</formula>
    </cfRule>
    <cfRule type="expression" dxfId="819" priority="6">
      <formula>IF(NOT(ISBLANK($R$1)),IF($R$1="M",IF(ISTEXT(B14),0,B14)&lt;R14,IF(ISTEXT(B14),0,B14)&gt;R14))</formula>
    </cfRule>
    <cfRule type="expression" dxfId="818" priority="8">
      <formula>OR($AH14,B$63)</formula>
    </cfRule>
  </conditionalFormatting>
  <conditionalFormatting sqref="B13:O13">
    <cfRule type="expression" dxfId="817" priority="1">
      <formula>AND(NOT(ISBLANK(B$13)),ISERROR(MATCH(B$13,$AK:$AK,0)))</formula>
    </cfRule>
    <cfRule type="expression" dxfId="81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651B8A1-EB2A-48DC-9D80-42CF3C7B7A6A}">
      <formula1>B13=TRIM(B13)</formula1>
    </dataValidation>
    <dataValidation type="custom" allowBlank="1" showInputMessage="1" showErrorMessage="1" errorTitle="Input Error" error="Value can only be a positive integer OR a dash." sqref="B14:O49" xr:uid="{FBB2FE00-1D07-46C9-892A-B584A8F61322}">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6F905-05CF-4282-B27F-490C581D996B}">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9 of 28</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1395</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1432</v>
      </c>
      <c r="B15" s="1494">
        <v>2</v>
      </c>
      <c r="C15" s="1495" t="s">
        <v>1397</v>
      </c>
      <c r="D15" s="1495" t="s">
        <v>1397</v>
      </c>
      <c r="E15" s="1495" t="s">
        <v>1397</v>
      </c>
      <c r="F15" s="1495"/>
      <c r="G15" s="1495"/>
      <c r="H15" s="1495"/>
      <c r="I15" s="1495"/>
      <c r="J15" s="1495"/>
      <c r="K15" s="1495"/>
      <c r="L15" s="1495"/>
      <c r="M15" s="1495"/>
      <c r="N15" s="1495"/>
      <c r="O15" s="1496"/>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1433</v>
      </c>
      <c r="B16" s="1494">
        <v>2</v>
      </c>
      <c r="C16" s="1495" t="s">
        <v>1397</v>
      </c>
      <c r="D16" s="1495" t="s">
        <v>1397</v>
      </c>
      <c r="E16" s="1495" t="s">
        <v>1397</v>
      </c>
      <c r="F16" s="1495"/>
      <c r="G16" s="1495"/>
      <c r="H16" s="1495"/>
      <c r="I16" s="1495"/>
      <c r="J16" s="1495"/>
      <c r="K16" s="1495"/>
      <c r="L16" s="1495"/>
      <c r="M16" s="1495"/>
      <c r="N16" s="1495"/>
      <c r="O16" s="1496"/>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3" t="s">
        <v>1434</v>
      </c>
      <c r="B17" s="1494">
        <v>2</v>
      </c>
      <c r="C17" s="1495" t="s">
        <v>1397</v>
      </c>
      <c r="D17" s="1495" t="s">
        <v>1397</v>
      </c>
      <c r="E17" s="1495" t="s">
        <v>1397</v>
      </c>
      <c r="F17" s="1495"/>
      <c r="G17" s="1495"/>
      <c r="H17" s="1495"/>
      <c r="I17" s="1495"/>
      <c r="J17" s="1495"/>
      <c r="K17" s="1495"/>
      <c r="L17" s="1495"/>
      <c r="M17" s="1495"/>
      <c r="N17" s="1495"/>
      <c r="O17" s="1496"/>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3" t="s">
        <v>1435</v>
      </c>
      <c r="B18" s="1494">
        <v>1</v>
      </c>
      <c r="C18" s="1495" t="s">
        <v>1397</v>
      </c>
      <c r="D18" s="1495" t="s">
        <v>1397</v>
      </c>
      <c r="E18" s="1495" t="s">
        <v>1397</v>
      </c>
      <c r="F18" s="1495"/>
      <c r="G18" s="1495"/>
      <c r="H18" s="1495"/>
      <c r="I18" s="1495"/>
      <c r="J18" s="1495"/>
      <c r="K18" s="1495"/>
      <c r="L18" s="1495"/>
      <c r="M18" s="1495"/>
      <c r="N18" s="1495"/>
      <c r="O18" s="1496"/>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3" t="s">
        <v>1436</v>
      </c>
      <c r="B19" s="1494">
        <v>1</v>
      </c>
      <c r="C19" s="1495" t="s">
        <v>1397</v>
      </c>
      <c r="D19" s="1495" t="s">
        <v>1397</v>
      </c>
      <c r="E19" s="1495" t="s">
        <v>1397</v>
      </c>
      <c r="F19" s="1495"/>
      <c r="G19" s="1495"/>
      <c r="H19" s="1495"/>
      <c r="I19" s="1495"/>
      <c r="J19" s="1495"/>
      <c r="K19" s="1495"/>
      <c r="L19" s="1495"/>
      <c r="M19" s="1495"/>
      <c r="N19" s="1495"/>
      <c r="O19" s="1496"/>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3" t="s">
        <v>1437</v>
      </c>
      <c r="B20" s="1494" t="s">
        <v>1397</v>
      </c>
      <c r="C20" s="1495" t="s">
        <v>1397</v>
      </c>
      <c r="D20" s="1495">
        <v>1</v>
      </c>
      <c r="E20" s="1495">
        <v>2</v>
      </c>
      <c r="F20" s="1495"/>
      <c r="G20" s="1495"/>
      <c r="H20" s="1495"/>
      <c r="I20" s="1495"/>
      <c r="J20" s="1495"/>
      <c r="K20" s="1495"/>
      <c r="L20" s="1495"/>
      <c r="M20" s="1495"/>
      <c r="N20" s="1495"/>
      <c r="O20" s="1496"/>
      <c r="P20" s="657">
        <f t="shared" si="0"/>
        <v>3</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3" t="s">
        <v>1438</v>
      </c>
      <c r="B21" s="1494" t="s">
        <v>1397</v>
      </c>
      <c r="C21" s="1495" t="s">
        <v>1397</v>
      </c>
      <c r="D21" s="1495" t="s">
        <v>1397</v>
      </c>
      <c r="E21" s="1495">
        <v>2</v>
      </c>
      <c r="F21" s="1495"/>
      <c r="G21" s="1495"/>
      <c r="H21" s="1495"/>
      <c r="I21" s="1495"/>
      <c r="J21" s="1495"/>
      <c r="K21" s="1495"/>
      <c r="L21" s="1495"/>
      <c r="M21" s="1495"/>
      <c r="N21" s="1495"/>
      <c r="O21" s="1496"/>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3" t="s">
        <v>1439</v>
      </c>
      <c r="B22" s="1494" t="s">
        <v>1397</v>
      </c>
      <c r="C22" s="1495" t="s">
        <v>1397</v>
      </c>
      <c r="D22" s="1495" t="s">
        <v>1397</v>
      </c>
      <c r="E22" s="1495">
        <v>2</v>
      </c>
      <c r="F22" s="1495"/>
      <c r="G22" s="1495"/>
      <c r="H22" s="1495"/>
      <c r="I22" s="1495"/>
      <c r="J22" s="1495"/>
      <c r="K22" s="1495"/>
      <c r="L22" s="1495"/>
      <c r="M22" s="1495"/>
      <c r="N22" s="1495"/>
      <c r="O22" s="1496"/>
      <c r="P22" s="657">
        <f t="shared" si="0"/>
        <v>2</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3" t="s">
        <v>1440</v>
      </c>
      <c r="B23" s="1494" t="s">
        <v>1397</v>
      </c>
      <c r="C23" s="1495" t="s">
        <v>1397</v>
      </c>
      <c r="D23" s="1495" t="s">
        <v>1397</v>
      </c>
      <c r="E23" s="1495">
        <v>2</v>
      </c>
      <c r="F23" s="1495"/>
      <c r="G23" s="1495"/>
      <c r="H23" s="1495"/>
      <c r="I23" s="1495"/>
      <c r="J23" s="1495"/>
      <c r="K23" s="1495"/>
      <c r="L23" s="1495"/>
      <c r="M23" s="1495"/>
      <c r="N23" s="1495"/>
      <c r="O23" s="1496"/>
      <c r="P23" s="657">
        <f t="shared" si="0"/>
        <v>2</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3" t="s">
        <v>1441</v>
      </c>
      <c r="B24" s="1494" t="s">
        <v>1397</v>
      </c>
      <c r="C24" s="1495" t="s">
        <v>1397</v>
      </c>
      <c r="D24" s="1495" t="s">
        <v>1397</v>
      </c>
      <c r="E24" s="1495">
        <v>1</v>
      </c>
      <c r="F24" s="1495"/>
      <c r="G24" s="1495"/>
      <c r="H24" s="1495"/>
      <c r="I24" s="1495"/>
      <c r="J24" s="1495"/>
      <c r="K24" s="1495"/>
      <c r="L24" s="1495"/>
      <c r="M24" s="1495"/>
      <c r="N24" s="1495"/>
      <c r="O24" s="1496"/>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3" t="s">
        <v>1442</v>
      </c>
      <c r="B25" s="1494" t="s">
        <v>1397</v>
      </c>
      <c r="C25" s="1495" t="s">
        <v>1397</v>
      </c>
      <c r="D25" s="1495">
        <v>1</v>
      </c>
      <c r="E25" s="1495">
        <v>3</v>
      </c>
      <c r="F25" s="1495"/>
      <c r="G25" s="1495"/>
      <c r="H25" s="1495"/>
      <c r="I25" s="1495"/>
      <c r="J25" s="1495"/>
      <c r="K25" s="1495"/>
      <c r="L25" s="1495"/>
      <c r="M25" s="1495"/>
      <c r="N25" s="1495"/>
      <c r="O25" s="1496"/>
      <c r="P25" s="657">
        <f t="shared" si="0"/>
        <v>4</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493" t="s">
        <v>1443</v>
      </c>
      <c r="B26" s="1494" t="s">
        <v>1397</v>
      </c>
      <c r="C26" s="1495" t="s">
        <v>1397</v>
      </c>
      <c r="D26" s="1495" t="s">
        <v>1397</v>
      </c>
      <c r="E26" s="1495">
        <v>2</v>
      </c>
      <c r="F26" s="1495"/>
      <c r="G26" s="1495"/>
      <c r="H26" s="1495"/>
      <c r="I26" s="1495"/>
      <c r="J26" s="1495"/>
      <c r="K26" s="1495"/>
      <c r="L26" s="1495"/>
      <c r="M26" s="1495"/>
      <c r="N26" s="1495"/>
      <c r="O26" s="1496"/>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3" t="s">
        <v>1444</v>
      </c>
      <c r="B27" s="1494" t="s">
        <v>1397</v>
      </c>
      <c r="C27" s="1495" t="s">
        <v>1397</v>
      </c>
      <c r="D27" s="1495" t="s">
        <v>1397</v>
      </c>
      <c r="E27" s="1495">
        <v>1</v>
      </c>
      <c r="F27" s="1495"/>
      <c r="G27" s="1495"/>
      <c r="H27" s="1495"/>
      <c r="I27" s="1495"/>
      <c r="J27" s="1495"/>
      <c r="K27" s="1495"/>
      <c r="L27" s="1495"/>
      <c r="M27" s="1495"/>
      <c r="N27" s="1495"/>
      <c r="O27" s="1496"/>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3" t="s">
        <v>1445</v>
      </c>
      <c r="B28" s="1494" t="s">
        <v>1397</v>
      </c>
      <c r="C28" s="1495" t="s">
        <v>1397</v>
      </c>
      <c r="D28" s="1495" t="s">
        <v>1397</v>
      </c>
      <c r="E28" s="1495">
        <v>1</v>
      </c>
      <c r="F28" s="1495"/>
      <c r="G28" s="1495"/>
      <c r="H28" s="1495"/>
      <c r="I28" s="1495"/>
      <c r="J28" s="1495"/>
      <c r="K28" s="1495"/>
      <c r="L28" s="1495"/>
      <c r="M28" s="1495"/>
      <c r="N28" s="1495"/>
      <c r="O28" s="1496"/>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3" t="s">
        <v>1446</v>
      </c>
      <c r="B29" s="1494" t="s">
        <v>1397</v>
      </c>
      <c r="C29" s="1495" t="s">
        <v>1397</v>
      </c>
      <c r="D29" s="1495">
        <v>1</v>
      </c>
      <c r="E29" s="1495">
        <v>1</v>
      </c>
      <c r="F29" s="1495"/>
      <c r="G29" s="1495"/>
      <c r="H29" s="1495"/>
      <c r="I29" s="1495"/>
      <c r="J29" s="1495"/>
      <c r="K29" s="1495"/>
      <c r="L29" s="1495"/>
      <c r="M29" s="1495"/>
      <c r="N29" s="1495"/>
      <c r="O29" s="1496"/>
      <c r="P29" s="657">
        <f t="shared" si="0"/>
        <v>2</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3" t="s">
        <v>1447</v>
      </c>
      <c r="B30" s="1494" t="s">
        <v>1397</v>
      </c>
      <c r="C30" s="1495" t="s">
        <v>1397</v>
      </c>
      <c r="D30" s="1495">
        <v>1</v>
      </c>
      <c r="E30" s="1495" t="s">
        <v>1397</v>
      </c>
      <c r="F30" s="1495"/>
      <c r="G30" s="1495"/>
      <c r="H30" s="1495"/>
      <c r="I30" s="1495"/>
      <c r="J30" s="1495"/>
      <c r="K30" s="1495"/>
      <c r="L30" s="1495"/>
      <c r="M30" s="1495"/>
      <c r="N30" s="1495"/>
      <c r="O30" s="1496"/>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3" t="s">
        <v>1448</v>
      </c>
      <c r="B31" s="1494" t="s">
        <v>1397</v>
      </c>
      <c r="C31" s="1495" t="s">
        <v>1397</v>
      </c>
      <c r="D31" s="1495">
        <v>1</v>
      </c>
      <c r="E31" s="1495" t="s">
        <v>1397</v>
      </c>
      <c r="F31" s="1495"/>
      <c r="G31" s="1495"/>
      <c r="H31" s="1495"/>
      <c r="I31" s="1495"/>
      <c r="J31" s="1495"/>
      <c r="K31" s="1495"/>
      <c r="L31" s="1495"/>
      <c r="M31" s="1495"/>
      <c r="N31" s="1495"/>
      <c r="O31" s="1496"/>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3" t="s">
        <v>1449</v>
      </c>
      <c r="B32" s="1494" t="s">
        <v>1397</v>
      </c>
      <c r="C32" s="1495" t="s">
        <v>1397</v>
      </c>
      <c r="D32" s="1495">
        <v>4</v>
      </c>
      <c r="E32" s="1495" t="s">
        <v>1397</v>
      </c>
      <c r="F32" s="1495"/>
      <c r="G32" s="1495"/>
      <c r="H32" s="1495"/>
      <c r="I32" s="1495"/>
      <c r="J32" s="1495"/>
      <c r="K32" s="1495"/>
      <c r="L32" s="1495"/>
      <c r="M32" s="1495"/>
      <c r="N32" s="1495"/>
      <c r="O32" s="1496"/>
      <c r="P32" s="657">
        <f t="shared" si="0"/>
        <v>4</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3" t="s">
        <v>1450</v>
      </c>
      <c r="B33" s="1494" t="s">
        <v>1397</v>
      </c>
      <c r="C33" s="1495" t="s">
        <v>1397</v>
      </c>
      <c r="D33" s="1495">
        <v>1</v>
      </c>
      <c r="E33" s="1495" t="s">
        <v>1397</v>
      </c>
      <c r="F33" s="1495"/>
      <c r="G33" s="1495"/>
      <c r="H33" s="1495"/>
      <c r="I33" s="1495"/>
      <c r="J33" s="1495"/>
      <c r="K33" s="1495"/>
      <c r="L33" s="1495"/>
      <c r="M33" s="1495"/>
      <c r="N33" s="1495"/>
      <c r="O33" s="1496"/>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3" t="s">
        <v>1451</v>
      </c>
      <c r="B34" s="1494" t="s">
        <v>1397</v>
      </c>
      <c r="C34" s="1495" t="s">
        <v>1397</v>
      </c>
      <c r="D34" s="1495">
        <v>1</v>
      </c>
      <c r="E34" s="1495" t="s">
        <v>1397</v>
      </c>
      <c r="F34" s="1495"/>
      <c r="G34" s="1495"/>
      <c r="H34" s="1495"/>
      <c r="I34" s="1495"/>
      <c r="J34" s="1495"/>
      <c r="K34" s="1495"/>
      <c r="L34" s="1495"/>
      <c r="M34" s="1495"/>
      <c r="N34" s="1495"/>
      <c r="O34" s="1496"/>
      <c r="P34" s="657">
        <f t="shared" si="0"/>
        <v>1</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493" t="s">
        <v>1452</v>
      </c>
      <c r="B35" s="1494" t="s">
        <v>1397</v>
      </c>
      <c r="C35" s="1495" t="s">
        <v>1397</v>
      </c>
      <c r="D35" s="1495">
        <v>1</v>
      </c>
      <c r="E35" s="1495" t="s">
        <v>1397</v>
      </c>
      <c r="F35" s="1495"/>
      <c r="G35" s="1495"/>
      <c r="H35" s="1495"/>
      <c r="I35" s="1495"/>
      <c r="J35" s="1495"/>
      <c r="K35" s="1495"/>
      <c r="L35" s="1495"/>
      <c r="M35" s="1495"/>
      <c r="N35" s="1495"/>
      <c r="O35" s="1496"/>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493" t="s">
        <v>1453</v>
      </c>
      <c r="B36" s="1494" t="s">
        <v>1397</v>
      </c>
      <c r="C36" s="1495" t="s">
        <v>1397</v>
      </c>
      <c r="D36" s="1495">
        <v>1</v>
      </c>
      <c r="E36" s="1495">
        <v>1</v>
      </c>
      <c r="F36" s="1495"/>
      <c r="G36" s="1495"/>
      <c r="H36" s="1495"/>
      <c r="I36" s="1495"/>
      <c r="J36" s="1495"/>
      <c r="K36" s="1495"/>
      <c r="L36" s="1495"/>
      <c r="M36" s="1495"/>
      <c r="N36" s="1495"/>
      <c r="O36" s="1496"/>
      <c r="P36" s="657">
        <f t="shared" si="0"/>
        <v>2</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493" t="s">
        <v>1454</v>
      </c>
      <c r="B37" s="1494" t="s">
        <v>1397</v>
      </c>
      <c r="C37" s="1495" t="s">
        <v>1397</v>
      </c>
      <c r="D37" s="1495" t="s">
        <v>1397</v>
      </c>
      <c r="E37" s="1495">
        <v>1</v>
      </c>
      <c r="F37" s="1495"/>
      <c r="G37" s="1495"/>
      <c r="H37" s="1495"/>
      <c r="I37" s="1495"/>
      <c r="J37" s="1495"/>
      <c r="K37" s="1495"/>
      <c r="L37" s="1495"/>
      <c r="M37" s="1495"/>
      <c r="N37" s="1495"/>
      <c r="O37" s="1496"/>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493" t="s">
        <v>1455</v>
      </c>
      <c r="B38" s="1494" t="s">
        <v>1397</v>
      </c>
      <c r="C38" s="1495" t="s">
        <v>1397</v>
      </c>
      <c r="D38" s="1495" t="s">
        <v>1397</v>
      </c>
      <c r="E38" s="1495">
        <v>1</v>
      </c>
      <c r="F38" s="1495"/>
      <c r="G38" s="1495"/>
      <c r="H38" s="1495"/>
      <c r="I38" s="1495"/>
      <c r="J38" s="1495"/>
      <c r="K38" s="1495"/>
      <c r="L38" s="1495"/>
      <c r="M38" s="1495"/>
      <c r="N38" s="1495"/>
      <c r="O38" s="1496"/>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493" t="s">
        <v>1456</v>
      </c>
      <c r="B39" s="1494" t="s">
        <v>1397</v>
      </c>
      <c r="C39" s="1495" t="s">
        <v>1397</v>
      </c>
      <c r="D39" s="1495">
        <v>1</v>
      </c>
      <c r="E39" s="1495">
        <v>1</v>
      </c>
      <c r="F39" s="1495"/>
      <c r="G39" s="1495"/>
      <c r="H39" s="1495"/>
      <c r="I39" s="1495"/>
      <c r="J39" s="1495"/>
      <c r="K39" s="1495"/>
      <c r="L39" s="1495"/>
      <c r="M39" s="1495"/>
      <c r="N39" s="1495"/>
      <c r="O39" s="1496"/>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493" t="s">
        <v>1457</v>
      </c>
      <c r="B40" s="1494" t="s">
        <v>1397</v>
      </c>
      <c r="C40" s="1495" t="s">
        <v>1397</v>
      </c>
      <c r="D40" s="1495">
        <v>1</v>
      </c>
      <c r="E40" s="1495">
        <v>1</v>
      </c>
      <c r="F40" s="1495"/>
      <c r="G40" s="1495"/>
      <c r="H40" s="1495"/>
      <c r="I40" s="1495"/>
      <c r="J40" s="1495"/>
      <c r="K40" s="1495"/>
      <c r="L40" s="1495"/>
      <c r="M40" s="1495"/>
      <c r="N40" s="1495"/>
      <c r="O40" s="1496"/>
      <c r="P40" s="657">
        <f t="shared" si="0"/>
        <v>2</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493" t="s">
        <v>1458</v>
      </c>
      <c r="B41" s="1494" t="s">
        <v>1397</v>
      </c>
      <c r="C41" s="1495" t="s">
        <v>1397</v>
      </c>
      <c r="D41" s="1495">
        <v>5</v>
      </c>
      <c r="E41" s="1495">
        <v>2</v>
      </c>
      <c r="F41" s="1495"/>
      <c r="G41" s="1495"/>
      <c r="H41" s="1495"/>
      <c r="I41" s="1495"/>
      <c r="J41" s="1495"/>
      <c r="K41" s="1495"/>
      <c r="L41" s="1495"/>
      <c r="M41" s="1495"/>
      <c r="N41" s="1495"/>
      <c r="O41" s="1496"/>
      <c r="P41" s="657">
        <f t="shared" si="0"/>
        <v>7</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493" t="s">
        <v>1459</v>
      </c>
      <c r="B42" s="1494" t="s">
        <v>1397</v>
      </c>
      <c r="C42" s="1495" t="s">
        <v>1397</v>
      </c>
      <c r="D42" s="1495" t="s">
        <v>1397</v>
      </c>
      <c r="E42" s="1495">
        <v>1</v>
      </c>
      <c r="F42" s="1495"/>
      <c r="G42" s="1495"/>
      <c r="H42" s="1495"/>
      <c r="I42" s="1495"/>
      <c r="J42" s="1495"/>
      <c r="K42" s="1495"/>
      <c r="L42" s="1495"/>
      <c r="M42" s="1495"/>
      <c r="N42" s="1495"/>
      <c r="O42" s="1496"/>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493" t="s">
        <v>1460</v>
      </c>
      <c r="B43" s="1494" t="s">
        <v>1397</v>
      </c>
      <c r="C43" s="1495" t="s">
        <v>1397</v>
      </c>
      <c r="D43" s="1495" t="s">
        <v>1397</v>
      </c>
      <c r="E43" s="1495">
        <v>1</v>
      </c>
      <c r="F43" s="1495"/>
      <c r="G43" s="1495"/>
      <c r="H43" s="1495"/>
      <c r="I43" s="1495"/>
      <c r="J43" s="1495"/>
      <c r="K43" s="1495"/>
      <c r="L43" s="1495"/>
      <c r="M43" s="1495"/>
      <c r="N43" s="1495"/>
      <c r="O43" s="1496"/>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493" t="s">
        <v>1461</v>
      </c>
      <c r="B44" s="1494" t="s">
        <v>1397</v>
      </c>
      <c r="C44" s="1495" t="s">
        <v>1397</v>
      </c>
      <c r="D44" s="1495" t="s">
        <v>1397</v>
      </c>
      <c r="E44" s="1495">
        <v>1</v>
      </c>
      <c r="F44" s="1495"/>
      <c r="G44" s="1495"/>
      <c r="H44" s="1495"/>
      <c r="I44" s="1495"/>
      <c r="J44" s="1495"/>
      <c r="K44" s="1495"/>
      <c r="L44" s="1495"/>
      <c r="M44" s="1495"/>
      <c r="N44" s="1495"/>
      <c r="O44" s="1496"/>
      <c r="P44" s="657">
        <f t="shared" si="0"/>
        <v>1</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1493" t="s">
        <v>1462</v>
      </c>
      <c r="B45" s="1494" t="s">
        <v>1397</v>
      </c>
      <c r="C45" s="1495" t="s">
        <v>1397</v>
      </c>
      <c r="D45" s="1495">
        <v>1</v>
      </c>
      <c r="E45" s="1495" t="s">
        <v>1397</v>
      </c>
      <c r="F45" s="1495"/>
      <c r="G45" s="1495"/>
      <c r="H45" s="1495"/>
      <c r="I45" s="1495"/>
      <c r="J45" s="1495"/>
      <c r="K45" s="1495"/>
      <c r="L45" s="1495"/>
      <c r="M45" s="1495"/>
      <c r="N45" s="1495"/>
      <c r="O45" s="1496"/>
      <c r="P45" s="657">
        <f t="shared" si="0"/>
        <v>1</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1493" t="s">
        <v>1463</v>
      </c>
      <c r="B46" s="1494" t="s">
        <v>1397</v>
      </c>
      <c r="C46" s="1495" t="s">
        <v>1397</v>
      </c>
      <c r="D46" s="1495">
        <v>1</v>
      </c>
      <c r="E46" s="1495" t="s">
        <v>1397</v>
      </c>
      <c r="F46" s="1495"/>
      <c r="G46" s="1495"/>
      <c r="H46" s="1495"/>
      <c r="I46" s="1495"/>
      <c r="J46" s="1495"/>
      <c r="K46" s="1495"/>
      <c r="L46" s="1495"/>
      <c r="M46" s="1495"/>
      <c r="N46" s="1495"/>
      <c r="O46" s="1496"/>
      <c r="P46" s="657">
        <f t="shared" si="0"/>
        <v>1</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1493" t="s">
        <v>1464</v>
      </c>
      <c r="B47" s="1494" t="s">
        <v>1397</v>
      </c>
      <c r="C47" s="1495" t="s">
        <v>1397</v>
      </c>
      <c r="D47" s="1495">
        <v>1</v>
      </c>
      <c r="E47" s="1495">
        <v>1</v>
      </c>
      <c r="F47" s="1495"/>
      <c r="G47" s="1495"/>
      <c r="H47" s="1495"/>
      <c r="I47" s="1495"/>
      <c r="J47" s="1495"/>
      <c r="K47" s="1495"/>
      <c r="L47" s="1495"/>
      <c r="M47" s="1495"/>
      <c r="N47" s="1495"/>
      <c r="O47" s="1496"/>
      <c r="P47" s="657">
        <f t="shared" si="0"/>
        <v>2</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1493" t="s">
        <v>1465</v>
      </c>
      <c r="B48" s="1494" t="s">
        <v>1397</v>
      </c>
      <c r="C48" s="1495" t="s">
        <v>1397</v>
      </c>
      <c r="D48" s="1495" t="s">
        <v>1397</v>
      </c>
      <c r="E48" s="1495">
        <v>1</v>
      </c>
      <c r="F48" s="1495"/>
      <c r="G48" s="1495"/>
      <c r="H48" s="1495"/>
      <c r="I48" s="1495"/>
      <c r="J48" s="1495"/>
      <c r="K48" s="1495"/>
      <c r="L48" s="1495"/>
      <c r="M48" s="1495"/>
      <c r="N48" s="1495"/>
      <c r="O48" s="1496"/>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1497" t="s">
        <v>1466</v>
      </c>
      <c r="B49" s="1498" t="s">
        <v>1397</v>
      </c>
      <c r="C49" s="1499" t="s">
        <v>1397</v>
      </c>
      <c r="D49" s="1499" t="s">
        <v>1397</v>
      </c>
      <c r="E49" s="1499">
        <v>1</v>
      </c>
      <c r="F49" s="1499"/>
      <c r="G49" s="1499"/>
      <c r="H49" s="1499"/>
      <c r="I49" s="1499"/>
      <c r="J49" s="1499"/>
      <c r="K49" s="1499"/>
      <c r="L49" s="1499"/>
      <c r="M49" s="1499"/>
      <c r="N49" s="1499"/>
      <c r="O49" s="1500"/>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8</v>
      </c>
      <c r="C50" s="654">
        <f t="shared" si="2"/>
        <v>0</v>
      </c>
      <c r="D50" s="654">
        <f t="shared" si="2"/>
        <v>23</v>
      </c>
      <c r="E50" s="654">
        <f t="shared" si="2"/>
        <v>30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1841</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bGGJXa//YviLw5EbyHsgpqj8kH+PiX2qP2dF1DFa7GkkgqVlnB4GYdAq87BVrw93OFI8nVS5KdkLiM1Ra62zUg==" saltValue="eBOfHFXhxhg7etc6OnZwd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815" priority="2">
      <formula>OR(A14="Girder",A14="Girders",A14="Joist",A14="Joists",A14="Bridging")</formula>
    </cfRule>
    <cfRule type="expression" dxfId="814" priority="3">
      <formula>AND(P14&gt;0,ISBLANK(AF14),OR($R$1="",$R$1="M"))</formula>
    </cfRule>
    <cfRule type="expression" dxfId="813" priority="9">
      <formula>$AH14</formula>
    </cfRule>
  </conditionalFormatting>
  <conditionalFormatting sqref="H2:J4">
    <cfRule type="cellIs" dxfId="812" priority="7" stopIfTrue="1" operator="equal">
      <formula>""</formula>
    </cfRule>
  </conditionalFormatting>
  <conditionalFormatting sqref="B14:O49">
    <cfRule type="expression" dxfId="811" priority="4">
      <formula>IF($R$1="M",AND(B14&gt;R14,R14&gt;0),B14&lt;R14)</formula>
    </cfRule>
    <cfRule type="expression" dxfId="810" priority="5">
      <formula>OR(AND($R$1="M",NOT($S$1),B14=R14),B14="-")</formula>
    </cfRule>
    <cfRule type="expression" dxfId="809" priority="6">
      <formula>IF(NOT(ISBLANK($R$1)),IF($R$1="M",IF(ISTEXT(B14),0,B14)&lt;R14,IF(ISTEXT(B14),0,B14)&gt;R14))</formula>
    </cfRule>
    <cfRule type="expression" dxfId="808" priority="8">
      <formula>OR($AH14,B$63)</formula>
    </cfRule>
  </conditionalFormatting>
  <conditionalFormatting sqref="B13:O13">
    <cfRule type="expression" dxfId="807" priority="1">
      <formula>AND(NOT(ISBLANK(B$13)),ISERROR(MATCH(B$13,$AK:$AK,0)))</formula>
    </cfRule>
    <cfRule type="expression" dxfId="80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186CE362-E234-4A62-B99F-BB66FABC8294}">
      <formula1>B13=TRIM(B13)</formula1>
    </dataValidation>
    <dataValidation type="custom" allowBlank="1" showInputMessage="1" showErrorMessage="1" errorTitle="Input Error" error="Value can only be a positive integer OR a dash." sqref="B14:O49" xr:uid="{374264D4-CD4E-4592-8B32-CD29ADC47FB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84083-9F7D-4F2B-99B2-74D160F0F773}">
  <sheetPr codeName="Sheet23">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10 of 28</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1395</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1467</v>
      </c>
      <c r="B15" s="1494" t="s">
        <v>1397</v>
      </c>
      <c r="C15" s="1495" t="s">
        <v>1397</v>
      </c>
      <c r="D15" s="1495" t="s">
        <v>1397</v>
      </c>
      <c r="E15" s="1495">
        <v>1</v>
      </c>
      <c r="F15" s="1495"/>
      <c r="G15" s="1495"/>
      <c r="H15" s="1495"/>
      <c r="I15" s="1495"/>
      <c r="J15" s="1495"/>
      <c r="K15" s="1495"/>
      <c r="L15" s="1495"/>
      <c r="M15" s="1495"/>
      <c r="N15" s="1495"/>
      <c r="O15" s="1496"/>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1468</v>
      </c>
      <c r="B16" s="1494" t="s">
        <v>1397</v>
      </c>
      <c r="C16" s="1495" t="s">
        <v>1397</v>
      </c>
      <c r="D16" s="1495" t="s">
        <v>1397</v>
      </c>
      <c r="E16" s="1495">
        <v>1</v>
      </c>
      <c r="F16" s="1495"/>
      <c r="G16" s="1495"/>
      <c r="H16" s="1495"/>
      <c r="I16" s="1495"/>
      <c r="J16" s="1495"/>
      <c r="K16" s="1495"/>
      <c r="L16" s="1495"/>
      <c r="M16" s="1495"/>
      <c r="N16" s="1495"/>
      <c r="O16" s="1496"/>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3" t="s">
        <v>1469</v>
      </c>
      <c r="B17" s="1494" t="s">
        <v>1397</v>
      </c>
      <c r="C17" s="1495" t="s">
        <v>1397</v>
      </c>
      <c r="D17" s="1495">
        <v>5</v>
      </c>
      <c r="E17" s="1495">
        <v>2</v>
      </c>
      <c r="F17" s="1495"/>
      <c r="G17" s="1495"/>
      <c r="H17" s="1495"/>
      <c r="I17" s="1495"/>
      <c r="J17" s="1495"/>
      <c r="K17" s="1495"/>
      <c r="L17" s="1495"/>
      <c r="M17" s="1495"/>
      <c r="N17" s="1495"/>
      <c r="O17" s="1496"/>
      <c r="P17" s="657">
        <f t="shared" si="0"/>
        <v>7</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3" t="s">
        <v>1470</v>
      </c>
      <c r="B18" s="1494" t="s">
        <v>1397</v>
      </c>
      <c r="C18" s="1495" t="s">
        <v>1397</v>
      </c>
      <c r="D18" s="1495" t="s">
        <v>1397</v>
      </c>
      <c r="E18" s="1495">
        <v>1</v>
      </c>
      <c r="F18" s="1495"/>
      <c r="G18" s="1495"/>
      <c r="H18" s="1495"/>
      <c r="I18" s="1495"/>
      <c r="J18" s="1495"/>
      <c r="K18" s="1495"/>
      <c r="L18" s="1495"/>
      <c r="M18" s="1495"/>
      <c r="N18" s="1495"/>
      <c r="O18" s="1496"/>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3" t="s">
        <v>1471</v>
      </c>
      <c r="B19" s="1494" t="s">
        <v>1397</v>
      </c>
      <c r="C19" s="1495" t="s">
        <v>1397</v>
      </c>
      <c r="D19" s="1495" t="s">
        <v>1397</v>
      </c>
      <c r="E19" s="1495">
        <v>1</v>
      </c>
      <c r="F19" s="1495"/>
      <c r="G19" s="1495"/>
      <c r="H19" s="1495"/>
      <c r="I19" s="1495"/>
      <c r="J19" s="1495"/>
      <c r="K19" s="1495"/>
      <c r="L19" s="1495"/>
      <c r="M19" s="1495"/>
      <c r="N19" s="1495"/>
      <c r="O19" s="1496"/>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3" t="s">
        <v>1472</v>
      </c>
      <c r="B20" s="1494" t="s">
        <v>1397</v>
      </c>
      <c r="C20" s="1495" t="s">
        <v>1397</v>
      </c>
      <c r="D20" s="1495" t="s">
        <v>1397</v>
      </c>
      <c r="E20" s="1495">
        <v>1</v>
      </c>
      <c r="F20" s="1495"/>
      <c r="G20" s="1495"/>
      <c r="H20" s="1495"/>
      <c r="I20" s="1495"/>
      <c r="J20" s="1495"/>
      <c r="K20" s="1495"/>
      <c r="L20" s="1495"/>
      <c r="M20" s="1495"/>
      <c r="N20" s="1495"/>
      <c r="O20" s="1496"/>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3" t="s">
        <v>1473</v>
      </c>
      <c r="B21" s="1494" t="s">
        <v>1397</v>
      </c>
      <c r="C21" s="1495" t="s">
        <v>1397</v>
      </c>
      <c r="D21" s="1495">
        <v>1</v>
      </c>
      <c r="E21" s="1495" t="s">
        <v>1397</v>
      </c>
      <c r="F21" s="1495"/>
      <c r="G21" s="1495"/>
      <c r="H21" s="1495"/>
      <c r="I21" s="1495"/>
      <c r="J21" s="1495"/>
      <c r="K21" s="1495"/>
      <c r="L21" s="1495"/>
      <c r="M21" s="1495"/>
      <c r="N21" s="1495"/>
      <c r="O21" s="1496"/>
      <c r="P21" s="657">
        <f t="shared" si="0"/>
        <v>1</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3" t="s">
        <v>1474</v>
      </c>
      <c r="B22" s="1494" t="s">
        <v>1397</v>
      </c>
      <c r="C22" s="1495" t="s">
        <v>1397</v>
      </c>
      <c r="D22" s="1495">
        <v>1</v>
      </c>
      <c r="E22" s="1495" t="s">
        <v>1397</v>
      </c>
      <c r="F22" s="1495"/>
      <c r="G22" s="1495"/>
      <c r="H22" s="1495"/>
      <c r="I22" s="1495"/>
      <c r="J22" s="1495"/>
      <c r="K22" s="1495"/>
      <c r="L22" s="1495"/>
      <c r="M22" s="1495"/>
      <c r="N22" s="1495"/>
      <c r="O22" s="1496"/>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3" t="s">
        <v>1475</v>
      </c>
      <c r="B23" s="1494" t="s">
        <v>1397</v>
      </c>
      <c r="C23" s="1495" t="s">
        <v>1397</v>
      </c>
      <c r="D23" s="1495">
        <v>1</v>
      </c>
      <c r="E23" s="1495" t="s">
        <v>1397</v>
      </c>
      <c r="F23" s="1495"/>
      <c r="G23" s="1495"/>
      <c r="H23" s="1495"/>
      <c r="I23" s="1495"/>
      <c r="J23" s="1495"/>
      <c r="K23" s="1495"/>
      <c r="L23" s="1495"/>
      <c r="M23" s="1495"/>
      <c r="N23" s="1495"/>
      <c r="O23" s="1496"/>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3" t="s">
        <v>1476</v>
      </c>
      <c r="B24" s="1494" t="s">
        <v>1397</v>
      </c>
      <c r="C24" s="1495" t="s">
        <v>1397</v>
      </c>
      <c r="D24" s="1495">
        <v>1</v>
      </c>
      <c r="E24" s="1495" t="s">
        <v>1397</v>
      </c>
      <c r="F24" s="1495"/>
      <c r="G24" s="1495"/>
      <c r="H24" s="1495"/>
      <c r="I24" s="1495"/>
      <c r="J24" s="1495"/>
      <c r="K24" s="1495"/>
      <c r="L24" s="1495"/>
      <c r="M24" s="1495"/>
      <c r="N24" s="1495"/>
      <c r="O24" s="1496"/>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3"/>
      <c r="B25" s="1494" t="s">
        <v>1397</v>
      </c>
      <c r="C25" s="1495" t="s">
        <v>1397</v>
      </c>
      <c r="D25" s="1495" t="s">
        <v>1397</v>
      </c>
      <c r="E25" s="1495"/>
      <c r="F25" s="1495"/>
      <c r="G25" s="1495"/>
      <c r="H25" s="1495"/>
      <c r="I25" s="1495"/>
      <c r="J25" s="1495"/>
      <c r="K25" s="1495"/>
      <c r="L25" s="1495"/>
      <c r="M25" s="1495"/>
      <c r="N25" s="1495"/>
      <c r="O25" s="1496"/>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3" t="s">
        <v>1478</v>
      </c>
      <c r="B26" s="1494" t="s">
        <v>1397</v>
      </c>
      <c r="C26" s="1495" t="s">
        <v>1397</v>
      </c>
      <c r="D26" s="1495" t="s">
        <v>1397</v>
      </c>
      <c r="E26" s="1495">
        <v>1</v>
      </c>
      <c r="F26" s="1495"/>
      <c r="G26" s="1495"/>
      <c r="H26" s="1495"/>
      <c r="I26" s="1495"/>
      <c r="J26" s="1495"/>
      <c r="K26" s="1495"/>
      <c r="L26" s="1495"/>
      <c r="M26" s="1495"/>
      <c r="N26" s="1495"/>
      <c r="O26" s="1496"/>
      <c r="P26" s="657">
        <f t="shared" si="0"/>
        <v>1</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3" t="s">
        <v>1479</v>
      </c>
      <c r="B27" s="1494" t="s">
        <v>1397</v>
      </c>
      <c r="C27" s="1495" t="s">
        <v>1397</v>
      </c>
      <c r="D27" s="1495" t="s">
        <v>1397</v>
      </c>
      <c r="E27" s="1495">
        <v>1</v>
      </c>
      <c r="F27" s="1495"/>
      <c r="G27" s="1495"/>
      <c r="H27" s="1495"/>
      <c r="I27" s="1495"/>
      <c r="J27" s="1495"/>
      <c r="K27" s="1495"/>
      <c r="L27" s="1495"/>
      <c r="M27" s="1495"/>
      <c r="N27" s="1495"/>
      <c r="O27" s="1496"/>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3" t="s">
        <v>1480</v>
      </c>
      <c r="B28" s="1494" t="s">
        <v>1397</v>
      </c>
      <c r="C28" s="1495" t="s">
        <v>1397</v>
      </c>
      <c r="D28" s="1495" t="s">
        <v>1397</v>
      </c>
      <c r="E28" s="1495">
        <v>1</v>
      </c>
      <c r="F28" s="1495"/>
      <c r="G28" s="1495"/>
      <c r="H28" s="1495"/>
      <c r="I28" s="1495"/>
      <c r="J28" s="1495"/>
      <c r="K28" s="1495"/>
      <c r="L28" s="1495"/>
      <c r="M28" s="1495"/>
      <c r="N28" s="1495"/>
      <c r="O28" s="1496"/>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3" t="s">
        <v>1481</v>
      </c>
      <c r="B29" s="1494" t="s">
        <v>1397</v>
      </c>
      <c r="C29" s="1495" t="s">
        <v>1397</v>
      </c>
      <c r="D29" s="1495">
        <v>1</v>
      </c>
      <c r="E29" s="1495" t="s">
        <v>1397</v>
      </c>
      <c r="F29" s="1495"/>
      <c r="G29" s="1495"/>
      <c r="H29" s="1495"/>
      <c r="I29" s="1495"/>
      <c r="J29" s="1495"/>
      <c r="K29" s="1495"/>
      <c r="L29" s="1495"/>
      <c r="M29" s="1495"/>
      <c r="N29" s="1495"/>
      <c r="O29" s="1496"/>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3" t="s">
        <v>1482</v>
      </c>
      <c r="B30" s="1494" t="s">
        <v>1397</v>
      </c>
      <c r="C30" s="1495" t="s">
        <v>1397</v>
      </c>
      <c r="D30" s="1495">
        <v>1</v>
      </c>
      <c r="E30" s="1495" t="s">
        <v>1397</v>
      </c>
      <c r="F30" s="1495"/>
      <c r="G30" s="1495"/>
      <c r="H30" s="1495"/>
      <c r="I30" s="1495"/>
      <c r="J30" s="1495"/>
      <c r="K30" s="1495"/>
      <c r="L30" s="1495"/>
      <c r="M30" s="1495"/>
      <c r="N30" s="1495"/>
      <c r="O30" s="1496"/>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3" t="s">
        <v>1483</v>
      </c>
      <c r="B31" s="1494" t="s">
        <v>1397</v>
      </c>
      <c r="C31" s="1495" t="s">
        <v>1397</v>
      </c>
      <c r="D31" s="1495">
        <v>4</v>
      </c>
      <c r="E31" s="1495" t="s">
        <v>1397</v>
      </c>
      <c r="F31" s="1495"/>
      <c r="G31" s="1495"/>
      <c r="H31" s="1495"/>
      <c r="I31" s="1495"/>
      <c r="J31" s="1495"/>
      <c r="K31" s="1495"/>
      <c r="L31" s="1495"/>
      <c r="M31" s="1495"/>
      <c r="N31" s="1495"/>
      <c r="O31" s="1496"/>
      <c r="P31" s="657">
        <f t="shared" si="0"/>
        <v>4</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3" t="s">
        <v>1484</v>
      </c>
      <c r="B32" s="1494" t="s">
        <v>1397</v>
      </c>
      <c r="C32" s="1495" t="s">
        <v>1397</v>
      </c>
      <c r="D32" s="1495">
        <v>1</v>
      </c>
      <c r="E32" s="1495" t="s">
        <v>1397</v>
      </c>
      <c r="F32" s="1495"/>
      <c r="G32" s="1495"/>
      <c r="H32" s="1495"/>
      <c r="I32" s="1495"/>
      <c r="J32" s="1495"/>
      <c r="K32" s="1495"/>
      <c r="L32" s="1495"/>
      <c r="M32" s="1495"/>
      <c r="N32" s="1495"/>
      <c r="O32" s="1496"/>
      <c r="P32" s="657">
        <f t="shared" si="0"/>
        <v>1</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3" t="s">
        <v>1485</v>
      </c>
      <c r="B33" s="1494" t="s">
        <v>1397</v>
      </c>
      <c r="C33" s="1495" t="s">
        <v>1397</v>
      </c>
      <c r="D33" s="1495">
        <v>1</v>
      </c>
      <c r="E33" s="1495" t="s">
        <v>1397</v>
      </c>
      <c r="F33" s="1495"/>
      <c r="G33" s="1495"/>
      <c r="H33" s="1495"/>
      <c r="I33" s="1495"/>
      <c r="J33" s="1495"/>
      <c r="K33" s="1495"/>
      <c r="L33" s="1495"/>
      <c r="M33" s="1495"/>
      <c r="N33" s="1495"/>
      <c r="O33" s="1496"/>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3"/>
      <c r="B34" s="1494"/>
      <c r="C34" s="1495"/>
      <c r="D34" s="1495"/>
      <c r="E34" s="1495"/>
      <c r="F34" s="1495"/>
      <c r="G34" s="1495"/>
      <c r="H34" s="1495"/>
      <c r="I34" s="1495"/>
      <c r="J34" s="1495"/>
      <c r="K34" s="1495"/>
      <c r="L34" s="1495"/>
      <c r="M34" s="1495"/>
      <c r="N34" s="1495"/>
      <c r="O34" s="1496"/>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3" t="s">
        <v>1486</v>
      </c>
      <c r="B35" s="1494"/>
      <c r="C35" s="1495"/>
      <c r="D35" s="1495"/>
      <c r="E35" s="1495"/>
      <c r="F35" s="1495"/>
      <c r="G35" s="1495"/>
      <c r="H35" s="1495"/>
      <c r="I35" s="1495"/>
      <c r="J35" s="1495"/>
      <c r="K35" s="1495"/>
      <c r="L35" s="1495"/>
      <c r="M35" s="1495"/>
      <c r="N35" s="1495"/>
      <c r="O35" s="1496"/>
      <c r="P35" s="657">
        <f t="shared" si="0"/>
        <v>0</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3" t="s">
        <v>1487</v>
      </c>
      <c r="B36" s="1494" t="s">
        <v>1397</v>
      </c>
      <c r="C36" s="1495">
        <v>1</v>
      </c>
      <c r="D36" s="1495" t="s">
        <v>1397</v>
      </c>
      <c r="E36" s="1495" t="s">
        <v>1397</v>
      </c>
      <c r="F36" s="1495"/>
      <c r="G36" s="1495"/>
      <c r="H36" s="1495"/>
      <c r="I36" s="1495"/>
      <c r="J36" s="1495"/>
      <c r="K36" s="1495"/>
      <c r="L36" s="1495"/>
      <c r="M36" s="1495"/>
      <c r="N36" s="1495"/>
      <c r="O36" s="1496"/>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3" t="s">
        <v>1488</v>
      </c>
      <c r="B37" s="1494" t="s">
        <v>1397</v>
      </c>
      <c r="C37" s="1495">
        <v>2</v>
      </c>
      <c r="D37" s="1495" t="s">
        <v>1397</v>
      </c>
      <c r="E37" s="1495" t="s">
        <v>1397</v>
      </c>
      <c r="F37" s="1495"/>
      <c r="G37" s="1495"/>
      <c r="H37" s="1495"/>
      <c r="I37" s="1495"/>
      <c r="J37" s="1495"/>
      <c r="K37" s="1495"/>
      <c r="L37" s="1495"/>
      <c r="M37" s="1495"/>
      <c r="N37" s="1495"/>
      <c r="O37" s="1496"/>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3" t="s">
        <v>1489</v>
      </c>
      <c r="B38" s="1494" t="s">
        <v>1397</v>
      </c>
      <c r="C38" s="1495">
        <v>2</v>
      </c>
      <c r="D38" s="1495" t="s">
        <v>1397</v>
      </c>
      <c r="E38" s="1495" t="s">
        <v>1397</v>
      </c>
      <c r="F38" s="1495"/>
      <c r="G38" s="1495"/>
      <c r="H38" s="1495"/>
      <c r="I38" s="1495"/>
      <c r="J38" s="1495"/>
      <c r="K38" s="1495"/>
      <c r="L38" s="1495"/>
      <c r="M38" s="1495"/>
      <c r="N38" s="1495"/>
      <c r="O38" s="1496"/>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493" t="s">
        <v>1490</v>
      </c>
      <c r="B39" s="1494" t="s">
        <v>1397</v>
      </c>
      <c r="C39" s="1495">
        <v>3</v>
      </c>
      <c r="D39" s="1495" t="s">
        <v>1397</v>
      </c>
      <c r="E39" s="1495" t="s">
        <v>1397</v>
      </c>
      <c r="F39" s="1495"/>
      <c r="G39" s="1495"/>
      <c r="H39" s="1495"/>
      <c r="I39" s="1495"/>
      <c r="J39" s="1495"/>
      <c r="K39" s="1495"/>
      <c r="L39" s="1495"/>
      <c r="M39" s="1495"/>
      <c r="N39" s="1495"/>
      <c r="O39" s="1496"/>
      <c r="P39" s="657">
        <f t="shared" si="0"/>
        <v>3</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493" t="s">
        <v>1491</v>
      </c>
      <c r="B40" s="1494" t="s">
        <v>1397</v>
      </c>
      <c r="C40" s="1495">
        <v>2</v>
      </c>
      <c r="D40" s="1495" t="s">
        <v>1397</v>
      </c>
      <c r="E40" s="1495" t="s">
        <v>1397</v>
      </c>
      <c r="F40" s="1495"/>
      <c r="G40" s="1495"/>
      <c r="H40" s="1495"/>
      <c r="I40" s="1495"/>
      <c r="J40" s="1495"/>
      <c r="K40" s="1495"/>
      <c r="L40" s="1495"/>
      <c r="M40" s="1495"/>
      <c r="N40" s="1495"/>
      <c r="O40" s="1496"/>
      <c r="P40" s="657">
        <f t="shared" si="0"/>
        <v>2</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493" t="s">
        <v>1492</v>
      </c>
      <c r="B41" s="1494" t="s">
        <v>1397</v>
      </c>
      <c r="C41" s="1495">
        <v>2</v>
      </c>
      <c r="D41" s="1495" t="s">
        <v>1397</v>
      </c>
      <c r="E41" s="1495" t="s">
        <v>1397</v>
      </c>
      <c r="F41" s="1495"/>
      <c r="G41" s="1495"/>
      <c r="H41" s="1495"/>
      <c r="I41" s="1495"/>
      <c r="J41" s="1495"/>
      <c r="K41" s="1495"/>
      <c r="L41" s="1495"/>
      <c r="M41" s="1495"/>
      <c r="N41" s="1495"/>
      <c r="O41" s="1496"/>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493" t="s">
        <v>1493</v>
      </c>
      <c r="B42" s="1494" t="s">
        <v>1397</v>
      </c>
      <c r="C42" s="1495">
        <v>1</v>
      </c>
      <c r="D42" s="1495" t="s">
        <v>1397</v>
      </c>
      <c r="E42" s="1495" t="s">
        <v>1397</v>
      </c>
      <c r="F42" s="1495"/>
      <c r="G42" s="1495"/>
      <c r="H42" s="1495"/>
      <c r="I42" s="1495"/>
      <c r="J42" s="1495"/>
      <c r="K42" s="1495"/>
      <c r="L42" s="1495"/>
      <c r="M42" s="1495"/>
      <c r="N42" s="1495"/>
      <c r="O42" s="1496"/>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493" t="s">
        <v>1494</v>
      </c>
      <c r="B43" s="1494" t="s">
        <v>1397</v>
      </c>
      <c r="C43" s="1495">
        <v>2</v>
      </c>
      <c r="D43" s="1495" t="s">
        <v>1397</v>
      </c>
      <c r="E43" s="1495" t="s">
        <v>1397</v>
      </c>
      <c r="F43" s="1495"/>
      <c r="G43" s="1495"/>
      <c r="H43" s="1495"/>
      <c r="I43" s="1495"/>
      <c r="J43" s="1495"/>
      <c r="K43" s="1495"/>
      <c r="L43" s="1495"/>
      <c r="M43" s="1495"/>
      <c r="N43" s="1495"/>
      <c r="O43" s="1496"/>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493" t="s">
        <v>1495</v>
      </c>
      <c r="B44" s="1494" t="s">
        <v>1397</v>
      </c>
      <c r="C44" s="1495">
        <v>5</v>
      </c>
      <c r="D44" s="1495" t="s">
        <v>1397</v>
      </c>
      <c r="E44" s="1495" t="s">
        <v>1397</v>
      </c>
      <c r="F44" s="1495"/>
      <c r="G44" s="1495"/>
      <c r="H44" s="1495"/>
      <c r="I44" s="1495"/>
      <c r="J44" s="1495"/>
      <c r="K44" s="1495"/>
      <c r="L44" s="1495"/>
      <c r="M44" s="1495"/>
      <c r="N44" s="1495"/>
      <c r="O44" s="1496"/>
      <c r="P44" s="657">
        <f t="shared" si="0"/>
        <v>5</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493" t="s">
        <v>1496</v>
      </c>
      <c r="B45" s="1494" t="s">
        <v>1397</v>
      </c>
      <c r="C45" s="1495">
        <v>2</v>
      </c>
      <c r="D45" s="1495" t="s">
        <v>1397</v>
      </c>
      <c r="E45" s="1495" t="s">
        <v>1397</v>
      </c>
      <c r="F45" s="1495"/>
      <c r="G45" s="1495"/>
      <c r="H45" s="1495"/>
      <c r="I45" s="1495"/>
      <c r="J45" s="1495"/>
      <c r="K45" s="1495"/>
      <c r="L45" s="1495"/>
      <c r="M45" s="1495"/>
      <c r="N45" s="1495"/>
      <c r="O45" s="1496"/>
      <c r="P45" s="657">
        <f t="shared" si="0"/>
        <v>2</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493" t="s">
        <v>1497</v>
      </c>
      <c r="B46" s="1494" t="s">
        <v>1397</v>
      </c>
      <c r="C46" s="1495">
        <v>2</v>
      </c>
      <c r="D46" s="1495" t="s">
        <v>1397</v>
      </c>
      <c r="E46" s="1495" t="s">
        <v>1397</v>
      </c>
      <c r="F46" s="1495"/>
      <c r="G46" s="1495"/>
      <c r="H46" s="1495"/>
      <c r="I46" s="1495"/>
      <c r="J46" s="1495"/>
      <c r="K46" s="1495"/>
      <c r="L46" s="1495"/>
      <c r="M46" s="1495"/>
      <c r="N46" s="1495"/>
      <c r="O46" s="1496"/>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493" t="s">
        <v>1498</v>
      </c>
      <c r="B47" s="1494" t="s">
        <v>1397</v>
      </c>
      <c r="C47" s="1495">
        <v>1</v>
      </c>
      <c r="D47" s="1495" t="s">
        <v>1397</v>
      </c>
      <c r="E47" s="1495" t="s">
        <v>1397</v>
      </c>
      <c r="F47" s="1495"/>
      <c r="G47" s="1495"/>
      <c r="H47" s="1495"/>
      <c r="I47" s="1495"/>
      <c r="J47" s="1495"/>
      <c r="K47" s="1495"/>
      <c r="L47" s="1495"/>
      <c r="M47" s="1495"/>
      <c r="N47" s="1495"/>
      <c r="O47" s="1496"/>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493" t="s">
        <v>1499</v>
      </c>
      <c r="B48" s="1494">
        <v>12</v>
      </c>
      <c r="C48" s="1495">
        <v>6</v>
      </c>
      <c r="D48" s="1495" t="s">
        <v>1397</v>
      </c>
      <c r="E48" s="1495" t="s">
        <v>1397</v>
      </c>
      <c r="F48" s="1495"/>
      <c r="G48" s="1495"/>
      <c r="H48" s="1495"/>
      <c r="I48" s="1495"/>
      <c r="J48" s="1495"/>
      <c r="K48" s="1495"/>
      <c r="L48" s="1495"/>
      <c r="M48" s="1495"/>
      <c r="N48" s="1495"/>
      <c r="O48" s="1496"/>
      <c r="P48" s="657">
        <f t="shared" si="0"/>
        <v>18</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497" t="s">
        <v>1500</v>
      </c>
      <c r="B49" s="1498">
        <v>3</v>
      </c>
      <c r="C49" s="1499">
        <v>2</v>
      </c>
      <c r="D49" s="1499" t="s">
        <v>1397</v>
      </c>
      <c r="E49" s="1499" t="s">
        <v>1397</v>
      </c>
      <c r="F49" s="1499"/>
      <c r="G49" s="1499"/>
      <c r="H49" s="1499"/>
      <c r="I49" s="1499"/>
      <c r="J49" s="1499"/>
      <c r="K49" s="1499"/>
      <c r="L49" s="1499"/>
      <c r="M49" s="1499"/>
      <c r="N49" s="1499"/>
      <c r="O49" s="1500"/>
      <c r="P49" s="657">
        <f t="shared" si="0"/>
        <v>5</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15</v>
      </c>
      <c r="C50" s="654">
        <f t="shared" si="2"/>
        <v>33</v>
      </c>
      <c r="D50" s="654">
        <f t="shared" si="2"/>
        <v>17</v>
      </c>
      <c r="E50" s="654">
        <f t="shared" si="2"/>
        <v>10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1842</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vUMQZxipvhm3984gPlf5UeTZ0g1aIVGd04e9DvDrDDNgWTDph3+Iv5q70KD8XgFoRWYxv+Iq8bS8XSQTk5az6A==" saltValue="FK1HcFwvZiO6EzZ7qbrxy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805" priority="2">
      <formula>OR(A14="Girder",A14="Girders",A14="Joist",A14="Joists",A14="Bridging")</formula>
    </cfRule>
    <cfRule type="expression" dxfId="804" priority="3">
      <formula>AND(P14&gt;0,ISBLANK(AF14),OR($R$1="",$R$1="M"))</formula>
    </cfRule>
    <cfRule type="expression" dxfId="803" priority="9">
      <formula>$AH14</formula>
    </cfRule>
  </conditionalFormatting>
  <conditionalFormatting sqref="H2:J4">
    <cfRule type="cellIs" dxfId="802" priority="7" stopIfTrue="1" operator="equal">
      <formula>""</formula>
    </cfRule>
  </conditionalFormatting>
  <conditionalFormatting sqref="B14:O49">
    <cfRule type="expression" dxfId="801" priority="4">
      <formula>IF($R$1="M",AND(B14&gt;R14,R14&gt;0),B14&lt;R14)</formula>
    </cfRule>
    <cfRule type="expression" dxfId="800" priority="5">
      <formula>OR(AND($R$1="M",NOT($S$1),B14=R14),B14="-")</formula>
    </cfRule>
    <cfRule type="expression" dxfId="799" priority="6">
      <formula>IF(NOT(ISBLANK($R$1)),IF($R$1="M",IF(ISTEXT(B14),0,B14)&lt;R14,IF(ISTEXT(B14),0,B14)&gt;R14))</formula>
    </cfRule>
    <cfRule type="expression" dxfId="798" priority="8">
      <formula>OR($AH14,B$63)</formula>
    </cfRule>
  </conditionalFormatting>
  <conditionalFormatting sqref="B13:O13">
    <cfRule type="expression" dxfId="797" priority="1">
      <formula>AND(NOT(ISBLANK(B$13)),ISERROR(MATCH(B$13,$AK:$AK,0)))</formula>
    </cfRule>
    <cfRule type="expression" dxfId="79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93DB0AB-36C5-4E40-889B-3C19DBD4BE77}">
      <formula1>B13=TRIM(B13)</formula1>
    </dataValidation>
    <dataValidation type="custom" allowBlank="1" showInputMessage="1" showErrorMessage="1" errorTitle="Input Error" error="Value can only be a positive integer OR a dash." sqref="B14:O49" xr:uid="{59CD32E4-2518-447B-92E0-E6769B8ED3EE}">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47B56-94C4-4203-8334-EBED3D6174C4}">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11 of 28</v>
      </c>
      <c r="M7" s="658"/>
      <c r="N7" s="374"/>
      <c r="O7" s="374"/>
      <c r="P7" s="474"/>
      <c r="R7" s="1083">
        <v>11</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1486</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1501</v>
      </c>
      <c r="B15" s="1494" t="s">
        <v>1397</v>
      </c>
      <c r="C15" s="1495">
        <v>1</v>
      </c>
      <c r="D15" s="1495" t="s">
        <v>1397</v>
      </c>
      <c r="E15" s="1495" t="s">
        <v>1397</v>
      </c>
      <c r="F15" s="1495"/>
      <c r="G15" s="1495"/>
      <c r="H15" s="1495"/>
      <c r="I15" s="1495"/>
      <c r="J15" s="1495"/>
      <c r="K15" s="1495"/>
      <c r="L15" s="1495"/>
      <c r="M15" s="1495"/>
      <c r="N15" s="1495"/>
      <c r="O15" s="1496"/>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1502</v>
      </c>
      <c r="B16" s="1494">
        <v>1</v>
      </c>
      <c r="C16" s="1495">
        <v>1</v>
      </c>
      <c r="D16" s="1495" t="s">
        <v>1397</v>
      </c>
      <c r="E16" s="1495" t="s">
        <v>1397</v>
      </c>
      <c r="F16" s="1495"/>
      <c r="G16" s="1495"/>
      <c r="H16" s="1495"/>
      <c r="I16" s="1495"/>
      <c r="J16" s="1495"/>
      <c r="K16" s="1495"/>
      <c r="L16" s="1495"/>
      <c r="M16" s="1495"/>
      <c r="N16" s="1495"/>
      <c r="O16" s="1496"/>
      <c r="P16" s="657">
        <f t="shared" si="0"/>
        <v>2</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493" t="s">
        <v>1503</v>
      </c>
      <c r="B17" s="1494">
        <v>17</v>
      </c>
      <c r="C17" s="1495">
        <v>13</v>
      </c>
      <c r="D17" s="1495" t="s">
        <v>1397</v>
      </c>
      <c r="E17" s="1495" t="s">
        <v>1397</v>
      </c>
      <c r="F17" s="1495"/>
      <c r="G17" s="1495"/>
      <c r="H17" s="1495"/>
      <c r="I17" s="1495"/>
      <c r="J17" s="1495"/>
      <c r="K17" s="1495"/>
      <c r="L17" s="1495"/>
      <c r="M17" s="1495"/>
      <c r="N17" s="1495"/>
      <c r="O17" s="1496"/>
      <c r="P17" s="657">
        <f t="shared" si="0"/>
        <v>30</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493" t="s">
        <v>1504</v>
      </c>
      <c r="B18" s="1494">
        <v>1</v>
      </c>
      <c r="C18" s="1495">
        <v>2</v>
      </c>
      <c r="D18" s="1495" t="s">
        <v>1397</v>
      </c>
      <c r="E18" s="1495" t="s">
        <v>1397</v>
      </c>
      <c r="F18" s="1495"/>
      <c r="G18" s="1495"/>
      <c r="H18" s="1495"/>
      <c r="I18" s="1495"/>
      <c r="J18" s="1495"/>
      <c r="K18" s="1495"/>
      <c r="L18" s="1495"/>
      <c r="M18" s="1495"/>
      <c r="N18" s="1495"/>
      <c r="O18" s="1496"/>
      <c r="P18" s="657">
        <f t="shared" si="0"/>
        <v>3</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493" t="s">
        <v>1505</v>
      </c>
      <c r="B19" s="1494">
        <v>1</v>
      </c>
      <c r="C19" s="1495">
        <v>2</v>
      </c>
      <c r="D19" s="1495" t="s">
        <v>1397</v>
      </c>
      <c r="E19" s="1495" t="s">
        <v>1397</v>
      </c>
      <c r="F19" s="1495"/>
      <c r="G19" s="1495"/>
      <c r="H19" s="1495"/>
      <c r="I19" s="1495"/>
      <c r="J19" s="1495"/>
      <c r="K19" s="1495"/>
      <c r="L19" s="1495"/>
      <c r="M19" s="1495"/>
      <c r="N19" s="1495"/>
      <c r="O19" s="1496"/>
      <c r="P19" s="657">
        <f t="shared" si="0"/>
        <v>3</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493" t="s">
        <v>1506</v>
      </c>
      <c r="B20" s="1494">
        <v>2</v>
      </c>
      <c r="C20" s="1495">
        <v>2</v>
      </c>
      <c r="D20" s="1495" t="s">
        <v>1397</v>
      </c>
      <c r="E20" s="1495" t="s">
        <v>1397</v>
      </c>
      <c r="F20" s="1495"/>
      <c r="G20" s="1495"/>
      <c r="H20" s="1495"/>
      <c r="I20" s="1495"/>
      <c r="J20" s="1495"/>
      <c r="K20" s="1495"/>
      <c r="L20" s="1495"/>
      <c r="M20" s="1495"/>
      <c r="N20" s="1495"/>
      <c r="O20" s="1496"/>
      <c r="P20" s="657">
        <f t="shared" si="0"/>
        <v>4</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493" t="s">
        <v>1507</v>
      </c>
      <c r="B21" s="1494">
        <v>3</v>
      </c>
      <c r="C21" s="1495">
        <v>4</v>
      </c>
      <c r="D21" s="1495" t="s">
        <v>1397</v>
      </c>
      <c r="E21" s="1495" t="s">
        <v>1397</v>
      </c>
      <c r="F21" s="1495"/>
      <c r="G21" s="1495"/>
      <c r="H21" s="1495"/>
      <c r="I21" s="1495"/>
      <c r="J21" s="1495"/>
      <c r="K21" s="1495"/>
      <c r="L21" s="1495"/>
      <c r="M21" s="1495"/>
      <c r="N21" s="1495"/>
      <c r="O21" s="1496"/>
      <c r="P21" s="657">
        <f t="shared" si="0"/>
        <v>7</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493" t="s">
        <v>1508</v>
      </c>
      <c r="B22" s="1494">
        <v>1</v>
      </c>
      <c r="C22" s="1495">
        <v>2</v>
      </c>
      <c r="D22" s="1495" t="s">
        <v>1397</v>
      </c>
      <c r="E22" s="1495" t="s">
        <v>1397</v>
      </c>
      <c r="F22" s="1495"/>
      <c r="G22" s="1495"/>
      <c r="H22" s="1495"/>
      <c r="I22" s="1495"/>
      <c r="J22" s="1495"/>
      <c r="K22" s="1495"/>
      <c r="L22" s="1495"/>
      <c r="M22" s="1495"/>
      <c r="N22" s="1495"/>
      <c r="O22" s="1496"/>
      <c r="P22" s="657">
        <f t="shared" si="0"/>
        <v>3</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493" t="s">
        <v>1509</v>
      </c>
      <c r="B23" s="1494">
        <v>3</v>
      </c>
      <c r="C23" s="1495">
        <v>4</v>
      </c>
      <c r="D23" s="1495" t="s">
        <v>1397</v>
      </c>
      <c r="E23" s="1495" t="s">
        <v>1397</v>
      </c>
      <c r="F23" s="1495"/>
      <c r="G23" s="1495"/>
      <c r="H23" s="1495"/>
      <c r="I23" s="1495"/>
      <c r="J23" s="1495"/>
      <c r="K23" s="1495"/>
      <c r="L23" s="1495"/>
      <c r="M23" s="1495"/>
      <c r="N23" s="1495"/>
      <c r="O23" s="1496"/>
      <c r="P23" s="657">
        <f t="shared" si="0"/>
        <v>7</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493" t="s">
        <v>1510</v>
      </c>
      <c r="B24" s="1494" t="s">
        <v>1397</v>
      </c>
      <c r="C24" s="1495">
        <v>1</v>
      </c>
      <c r="D24" s="1495" t="s">
        <v>1397</v>
      </c>
      <c r="E24" s="1495" t="s">
        <v>1397</v>
      </c>
      <c r="F24" s="1495"/>
      <c r="G24" s="1495"/>
      <c r="H24" s="1495"/>
      <c r="I24" s="1495"/>
      <c r="J24" s="1495"/>
      <c r="K24" s="1495"/>
      <c r="L24" s="1495"/>
      <c r="M24" s="1495"/>
      <c r="N24" s="1495"/>
      <c r="O24" s="1496"/>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493" t="s">
        <v>1511</v>
      </c>
      <c r="B25" s="1494">
        <v>21</v>
      </c>
      <c r="C25" s="1495">
        <v>3</v>
      </c>
      <c r="D25" s="1495" t="s">
        <v>1397</v>
      </c>
      <c r="E25" s="1495" t="s">
        <v>1397</v>
      </c>
      <c r="F25" s="1495"/>
      <c r="G25" s="1495"/>
      <c r="H25" s="1495"/>
      <c r="I25" s="1495"/>
      <c r="J25" s="1495"/>
      <c r="K25" s="1495"/>
      <c r="L25" s="1495"/>
      <c r="M25" s="1495"/>
      <c r="N25" s="1495"/>
      <c r="O25" s="1496"/>
      <c r="P25" s="657">
        <f t="shared" si="0"/>
        <v>24</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493" t="s">
        <v>1512</v>
      </c>
      <c r="B26" s="1494">
        <v>1</v>
      </c>
      <c r="C26" s="1495">
        <v>1</v>
      </c>
      <c r="D26" s="1495" t="s">
        <v>1397</v>
      </c>
      <c r="E26" s="1495" t="s">
        <v>1397</v>
      </c>
      <c r="F26" s="1495"/>
      <c r="G26" s="1495"/>
      <c r="H26" s="1495"/>
      <c r="I26" s="1495"/>
      <c r="J26" s="1495"/>
      <c r="K26" s="1495"/>
      <c r="L26" s="1495"/>
      <c r="M26" s="1495"/>
      <c r="N26" s="1495"/>
      <c r="O26" s="1496"/>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493" t="s">
        <v>1513</v>
      </c>
      <c r="B27" s="1494">
        <v>2</v>
      </c>
      <c r="C27" s="1495" t="s">
        <v>1397</v>
      </c>
      <c r="D27" s="1495" t="s">
        <v>1397</v>
      </c>
      <c r="E27" s="1495" t="s">
        <v>1397</v>
      </c>
      <c r="F27" s="1495"/>
      <c r="G27" s="1495"/>
      <c r="H27" s="1495"/>
      <c r="I27" s="1495"/>
      <c r="J27" s="1495"/>
      <c r="K27" s="1495"/>
      <c r="L27" s="1495"/>
      <c r="M27" s="1495"/>
      <c r="N27" s="1495"/>
      <c r="O27" s="1496"/>
      <c r="P27" s="657">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493" t="s">
        <v>1514</v>
      </c>
      <c r="B28" s="1494">
        <v>3</v>
      </c>
      <c r="C28" s="1495" t="s">
        <v>1397</v>
      </c>
      <c r="D28" s="1495" t="s">
        <v>1397</v>
      </c>
      <c r="E28" s="1495" t="s">
        <v>1397</v>
      </c>
      <c r="F28" s="1495"/>
      <c r="G28" s="1495"/>
      <c r="H28" s="1495"/>
      <c r="I28" s="1495"/>
      <c r="J28" s="1495"/>
      <c r="K28" s="1495"/>
      <c r="L28" s="1495"/>
      <c r="M28" s="1495"/>
      <c r="N28" s="1495"/>
      <c r="O28" s="1496"/>
      <c r="P28" s="657">
        <f t="shared" si="0"/>
        <v>3</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493" t="s">
        <v>1515</v>
      </c>
      <c r="B29" s="1494">
        <v>1</v>
      </c>
      <c r="C29" s="1495" t="s">
        <v>1397</v>
      </c>
      <c r="D29" s="1495" t="s">
        <v>1397</v>
      </c>
      <c r="E29" s="1495" t="s">
        <v>1397</v>
      </c>
      <c r="F29" s="1495"/>
      <c r="G29" s="1495"/>
      <c r="H29" s="1495"/>
      <c r="I29" s="1495"/>
      <c r="J29" s="1495"/>
      <c r="K29" s="1495"/>
      <c r="L29" s="1495"/>
      <c r="M29" s="1495"/>
      <c r="N29" s="1495"/>
      <c r="O29" s="1496"/>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493" t="s">
        <v>1516</v>
      </c>
      <c r="B30" s="1494">
        <v>3</v>
      </c>
      <c r="C30" s="1495" t="s">
        <v>1397</v>
      </c>
      <c r="D30" s="1495" t="s">
        <v>1397</v>
      </c>
      <c r="E30" s="1495" t="s">
        <v>1397</v>
      </c>
      <c r="F30" s="1495"/>
      <c r="G30" s="1495"/>
      <c r="H30" s="1495"/>
      <c r="I30" s="1495"/>
      <c r="J30" s="1495"/>
      <c r="K30" s="1495"/>
      <c r="L30" s="1495"/>
      <c r="M30" s="1495"/>
      <c r="N30" s="1495"/>
      <c r="O30" s="1496"/>
      <c r="P30" s="657">
        <f t="shared" si="0"/>
        <v>3</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493" t="s">
        <v>1517</v>
      </c>
      <c r="B31" s="1494">
        <v>1</v>
      </c>
      <c r="C31" s="1495" t="s">
        <v>1397</v>
      </c>
      <c r="D31" s="1495" t="s">
        <v>1397</v>
      </c>
      <c r="E31" s="1495" t="s">
        <v>1397</v>
      </c>
      <c r="F31" s="1495"/>
      <c r="G31" s="1495"/>
      <c r="H31" s="1495"/>
      <c r="I31" s="1495"/>
      <c r="J31" s="1495"/>
      <c r="K31" s="1495"/>
      <c r="L31" s="1495"/>
      <c r="M31" s="1495"/>
      <c r="N31" s="1495"/>
      <c r="O31" s="1496"/>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493" t="s">
        <v>1518</v>
      </c>
      <c r="B32" s="1494">
        <v>1</v>
      </c>
      <c r="C32" s="1495" t="s">
        <v>1397</v>
      </c>
      <c r="D32" s="1495" t="s">
        <v>1397</v>
      </c>
      <c r="E32" s="1495" t="s">
        <v>1397</v>
      </c>
      <c r="F32" s="1495"/>
      <c r="G32" s="1495"/>
      <c r="H32" s="1495"/>
      <c r="I32" s="1495"/>
      <c r="J32" s="1495"/>
      <c r="K32" s="1495"/>
      <c r="L32" s="1495"/>
      <c r="M32" s="1495"/>
      <c r="N32" s="1495"/>
      <c r="O32" s="1496"/>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493" t="s">
        <v>1519</v>
      </c>
      <c r="B33" s="1494">
        <v>1</v>
      </c>
      <c r="C33" s="1495" t="s">
        <v>1397</v>
      </c>
      <c r="D33" s="1495" t="s">
        <v>1397</v>
      </c>
      <c r="E33" s="1495" t="s">
        <v>1397</v>
      </c>
      <c r="F33" s="1495"/>
      <c r="G33" s="1495"/>
      <c r="H33" s="1495"/>
      <c r="I33" s="1495"/>
      <c r="J33" s="1495"/>
      <c r="K33" s="1495"/>
      <c r="L33" s="1495"/>
      <c r="M33" s="1495"/>
      <c r="N33" s="1495"/>
      <c r="O33" s="1496"/>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493" t="s">
        <v>1520</v>
      </c>
      <c r="B34" s="1494">
        <v>1</v>
      </c>
      <c r="C34" s="1495" t="s">
        <v>1397</v>
      </c>
      <c r="D34" s="1495" t="s">
        <v>1397</v>
      </c>
      <c r="E34" s="1495" t="s">
        <v>1397</v>
      </c>
      <c r="F34" s="1495"/>
      <c r="G34" s="1495"/>
      <c r="H34" s="1495"/>
      <c r="I34" s="1495"/>
      <c r="J34" s="1495"/>
      <c r="K34" s="1495"/>
      <c r="L34" s="1495"/>
      <c r="M34" s="1495"/>
      <c r="N34" s="1495"/>
      <c r="O34" s="1496"/>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493" t="s">
        <v>1521</v>
      </c>
      <c r="B35" s="1494">
        <v>1</v>
      </c>
      <c r="C35" s="1495" t="s">
        <v>1397</v>
      </c>
      <c r="D35" s="1495" t="s">
        <v>1397</v>
      </c>
      <c r="E35" s="1495" t="s">
        <v>1397</v>
      </c>
      <c r="F35" s="1495"/>
      <c r="G35" s="1495"/>
      <c r="H35" s="1495"/>
      <c r="I35" s="1495"/>
      <c r="J35" s="1495"/>
      <c r="K35" s="1495"/>
      <c r="L35" s="1495"/>
      <c r="M35" s="1495"/>
      <c r="N35" s="1495"/>
      <c r="O35" s="1496"/>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493" t="s">
        <v>1522</v>
      </c>
      <c r="B36" s="1494">
        <v>1</v>
      </c>
      <c r="C36" s="1495" t="s">
        <v>1397</v>
      </c>
      <c r="D36" s="1495" t="s">
        <v>1397</v>
      </c>
      <c r="E36" s="1495" t="s">
        <v>1397</v>
      </c>
      <c r="F36" s="1495"/>
      <c r="G36" s="1495"/>
      <c r="H36" s="1495"/>
      <c r="I36" s="1495"/>
      <c r="J36" s="1495"/>
      <c r="K36" s="1495"/>
      <c r="L36" s="1495"/>
      <c r="M36" s="1495"/>
      <c r="N36" s="1495"/>
      <c r="O36" s="1496"/>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3" t="s">
        <v>1523</v>
      </c>
      <c r="B37" s="1494">
        <v>1</v>
      </c>
      <c r="C37" s="1495" t="s">
        <v>1397</v>
      </c>
      <c r="D37" s="1495" t="s">
        <v>1397</v>
      </c>
      <c r="E37" s="1495" t="s">
        <v>1397</v>
      </c>
      <c r="F37" s="1495"/>
      <c r="G37" s="1495"/>
      <c r="H37" s="1495"/>
      <c r="I37" s="1495"/>
      <c r="J37" s="1495"/>
      <c r="K37" s="1495"/>
      <c r="L37" s="1495"/>
      <c r="M37" s="1495"/>
      <c r="N37" s="1495"/>
      <c r="O37" s="1496"/>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3" t="s">
        <v>1524</v>
      </c>
      <c r="B38" s="1494">
        <v>2</v>
      </c>
      <c r="C38" s="1495" t="s">
        <v>1397</v>
      </c>
      <c r="D38" s="1495" t="s">
        <v>1397</v>
      </c>
      <c r="E38" s="1495" t="s">
        <v>1397</v>
      </c>
      <c r="F38" s="1495"/>
      <c r="G38" s="1495"/>
      <c r="H38" s="1495"/>
      <c r="I38" s="1495"/>
      <c r="J38" s="1495"/>
      <c r="K38" s="1495"/>
      <c r="L38" s="1495"/>
      <c r="M38" s="1495"/>
      <c r="N38" s="1495"/>
      <c r="O38" s="1496"/>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493" t="s">
        <v>1525</v>
      </c>
      <c r="B39" s="1494" t="s">
        <v>1397</v>
      </c>
      <c r="C39" s="1495">
        <v>1</v>
      </c>
      <c r="D39" s="1495" t="s">
        <v>1397</v>
      </c>
      <c r="E39" s="1495" t="s">
        <v>1397</v>
      </c>
      <c r="F39" s="1495"/>
      <c r="G39" s="1495"/>
      <c r="H39" s="1495"/>
      <c r="I39" s="1495"/>
      <c r="J39" s="1495"/>
      <c r="K39" s="1495"/>
      <c r="L39" s="1495"/>
      <c r="M39" s="1495"/>
      <c r="N39" s="1495"/>
      <c r="O39" s="1496"/>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493" t="s">
        <v>1526</v>
      </c>
      <c r="B40" s="1494" t="s">
        <v>1397</v>
      </c>
      <c r="C40" s="1495">
        <v>1</v>
      </c>
      <c r="D40" s="1495" t="s">
        <v>1397</v>
      </c>
      <c r="E40" s="1495" t="s">
        <v>1397</v>
      </c>
      <c r="F40" s="1495"/>
      <c r="G40" s="1495"/>
      <c r="H40" s="1495"/>
      <c r="I40" s="1495"/>
      <c r="J40" s="1495"/>
      <c r="K40" s="1495"/>
      <c r="L40" s="1495"/>
      <c r="M40" s="1495"/>
      <c r="N40" s="1495"/>
      <c r="O40" s="1496"/>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493" t="s">
        <v>1527</v>
      </c>
      <c r="B41" s="1494" t="s">
        <v>1397</v>
      </c>
      <c r="C41" s="1495">
        <v>1</v>
      </c>
      <c r="D41" s="1495" t="s">
        <v>1397</v>
      </c>
      <c r="E41" s="1495" t="s">
        <v>1397</v>
      </c>
      <c r="F41" s="1495"/>
      <c r="G41" s="1495"/>
      <c r="H41" s="1495"/>
      <c r="I41" s="1495"/>
      <c r="J41" s="1495"/>
      <c r="K41" s="1495"/>
      <c r="L41" s="1495"/>
      <c r="M41" s="1495"/>
      <c r="N41" s="1495"/>
      <c r="O41" s="1496"/>
      <c r="P41" s="657">
        <f t="shared" si="0"/>
        <v>1</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493" t="s">
        <v>1528</v>
      </c>
      <c r="B42" s="1494" t="s">
        <v>1397</v>
      </c>
      <c r="C42" s="1495">
        <v>1</v>
      </c>
      <c r="D42" s="1495" t="s">
        <v>1397</v>
      </c>
      <c r="E42" s="1495" t="s">
        <v>1397</v>
      </c>
      <c r="F42" s="1495"/>
      <c r="G42" s="1495"/>
      <c r="H42" s="1495"/>
      <c r="I42" s="1495"/>
      <c r="J42" s="1495"/>
      <c r="K42" s="1495"/>
      <c r="L42" s="1495"/>
      <c r="M42" s="1495"/>
      <c r="N42" s="1495"/>
      <c r="O42" s="1496"/>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493" t="s">
        <v>1529</v>
      </c>
      <c r="B43" s="1494" t="s">
        <v>1397</v>
      </c>
      <c r="C43" s="1495">
        <v>1</v>
      </c>
      <c r="D43" s="1495" t="s">
        <v>1397</v>
      </c>
      <c r="E43" s="1495" t="s">
        <v>1397</v>
      </c>
      <c r="F43" s="1495"/>
      <c r="G43" s="1495"/>
      <c r="H43" s="1495"/>
      <c r="I43" s="1495"/>
      <c r="J43" s="1495"/>
      <c r="K43" s="1495"/>
      <c r="L43" s="1495"/>
      <c r="M43" s="1495"/>
      <c r="N43" s="1495"/>
      <c r="O43" s="1496"/>
      <c r="P43" s="657">
        <f t="shared" si="0"/>
        <v>1</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493" t="s">
        <v>1530</v>
      </c>
      <c r="B44" s="1494" t="s">
        <v>1397</v>
      </c>
      <c r="C44" s="1495">
        <v>1</v>
      </c>
      <c r="D44" s="1495" t="s">
        <v>1397</v>
      </c>
      <c r="E44" s="1495" t="s">
        <v>1397</v>
      </c>
      <c r="F44" s="1495"/>
      <c r="G44" s="1495"/>
      <c r="H44" s="1495"/>
      <c r="I44" s="1495"/>
      <c r="J44" s="1495"/>
      <c r="K44" s="1495"/>
      <c r="L44" s="1495"/>
      <c r="M44" s="1495"/>
      <c r="N44" s="1495"/>
      <c r="O44" s="1496"/>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493" t="s">
        <v>1531</v>
      </c>
      <c r="B45" s="1494" t="s">
        <v>1397</v>
      </c>
      <c r="C45" s="1495">
        <v>3</v>
      </c>
      <c r="D45" s="1495" t="s">
        <v>1397</v>
      </c>
      <c r="E45" s="1495" t="s">
        <v>1397</v>
      </c>
      <c r="F45" s="1495"/>
      <c r="G45" s="1495"/>
      <c r="H45" s="1495"/>
      <c r="I45" s="1495"/>
      <c r="J45" s="1495"/>
      <c r="K45" s="1495"/>
      <c r="L45" s="1495"/>
      <c r="M45" s="1495"/>
      <c r="N45" s="1495"/>
      <c r="O45" s="1496"/>
      <c r="P45" s="657">
        <f t="shared" si="0"/>
        <v>3</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493" t="s">
        <v>1532</v>
      </c>
      <c r="B46" s="1494">
        <v>108</v>
      </c>
      <c r="C46" s="1495">
        <v>51</v>
      </c>
      <c r="D46" s="1495" t="s">
        <v>1397</v>
      </c>
      <c r="E46" s="1495" t="s">
        <v>1397</v>
      </c>
      <c r="F46" s="1495"/>
      <c r="G46" s="1495"/>
      <c r="H46" s="1495"/>
      <c r="I46" s="1495"/>
      <c r="J46" s="1495"/>
      <c r="K46" s="1495"/>
      <c r="L46" s="1495"/>
      <c r="M46" s="1495"/>
      <c r="N46" s="1495"/>
      <c r="O46" s="1496"/>
      <c r="P46" s="657">
        <f t="shared" si="0"/>
        <v>159</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493" t="s">
        <v>1533</v>
      </c>
      <c r="B47" s="1494">
        <v>1</v>
      </c>
      <c r="C47" s="1495">
        <v>2</v>
      </c>
      <c r="D47" s="1495" t="s">
        <v>1397</v>
      </c>
      <c r="E47" s="1495" t="s">
        <v>1397</v>
      </c>
      <c r="F47" s="1495"/>
      <c r="G47" s="1495"/>
      <c r="H47" s="1495"/>
      <c r="I47" s="1495"/>
      <c r="J47" s="1495"/>
      <c r="K47" s="1495"/>
      <c r="L47" s="1495"/>
      <c r="M47" s="1495"/>
      <c r="N47" s="1495"/>
      <c r="O47" s="1496"/>
      <c r="P47" s="657">
        <f t="shared" si="0"/>
        <v>3</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493" t="s">
        <v>1534</v>
      </c>
      <c r="B48" s="1494">
        <v>18</v>
      </c>
      <c r="C48" s="1495">
        <v>12</v>
      </c>
      <c r="D48" s="1495" t="s">
        <v>1397</v>
      </c>
      <c r="E48" s="1495" t="s">
        <v>1397</v>
      </c>
      <c r="F48" s="1495"/>
      <c r="G48" s="1495"/>
      <c r="H48" s="1495"/>
      <c r="I48" s="1495"/>
      <c r="J48" s="1495"/>
      <c r="K48" s="1495"/>
      <c r="L48" s="1495"/>
      <c r="M48" s="1495"/>
      <c r="N48" s="1495"/>
      <c r="O48" s="1496"/>
      <c r="P48" s="657">
        <f t="shared" si="0"/>
        <v>30</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497" t="s">
        <v>1535</v>
      </c>
      <c r="B49" s="1498">
        <v>8</v>
      </c>
      <c r="C49" s="1499">
        <v>12</v>
      </c>
      <c r="D49" s="1499" t="s">
        <v>1397</v>
      </c>
      <c r="E49" s="1499" t="s">
        <v>1397</v>
      </c>
      <c r="F49" s="1499"/>
      <c r="G49" s="1499"/>
      <c r="H49" s="1499"/>
      <c r="I49" s="1499"/>
      <c r="J49" s="1499"/>
      <c r="K49" s="1499"/>
      <c r="L49" s="1499"/>
      <c r="M49" s="1499"/>
      <c r="N49" s="1499"/>
      <c r="O49" s="1500"/>
      <c r="P49" s="657">
        <f t="shared" si="0"/>
        <v>20</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204</v>
      </c>
      <c r="C50" s="654">
        <f t="shared" si="2"/>
        <v>122</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1843</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w+2sya1C4dUbd9poSEKyb004PZVjHVIb2bObnxjjFf2D5wTt4NhHTDYesTvCbSIePSun9x8b/qupSDhpj0CVZg==" saltValue="WaCmekJg3X0EPcLmmd7uW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95" priority="2">
      <formula>OR(A14="Girder",A14="Girders",A14="Joist",A14="Joists",A14="Bridging")</formula>
    </cfRule>
    <cfRule type="expression" dxfId="794" priority="3">
      <formula>AND(P14&gt;0,ISBLANK(AF14),OR($R$1="",$R$1="M"))</formula>
    </cfRule>
    <cfRule type="expression" dxfId="793" priority="9">
      <formula>$AH14</formula>
    </cfRule>
  </conditionalFormatting>
  <conditionalFormatting sqref="H2:J4">
    <cfRule type="cellIs" dxfId="792" priority="7" stopIfTrue="1" operator="equal">
      <formula>""</formula>
    </cfRule>
  </conditionalFormatting>
  <conditionalFormatting sqref="B14:O49">
    <cfRule type="expression" dxfId="791" priority="4">
      <formula>IF($R$1="M",AND(B14&gt;R14,R14&gt;0),B14&lt;R14)</formula>
    </cfRule>
    <cfRule type="expression" dxfId="790" priority="5">
      <formula>OR(AND($R$1="M",NOT($S$1),B14=R14),B14="-")</formula>
    </cfRule>
    <cfRule type="expression" dxfId="789" priority="6">
      <formula>IF(NOT(ISBLANK($R$1)),IF($R$1="M",IF(ISTEXT(B14),0,B14)&lt;R14,IF(ISTEXT(B14),0,B14)&gt;R14))</formula>
    </cfRule>
    <cfRule type="expression" dxfId="788" priority="8">
      <formula>OR($AH14,B$63)</formula>
    </cfRule>
  </conditionalFormatting>
  <conditionalFormatting sqref="B13:O13">
    <cfRule type="expression" dxfId="787" priority="1">
      <formula>AND(NOT(ISBLANK(B$13)),ISERROR(MATCH(B$13,$AK:$AK,0)))</formula>
    </cfRule>
    <cfRule type="expression" dxfId="78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8973100E-C9AB-4055-B26A-6B2BF83829C0}">
      <formula1>B13=TRIM(B13)</formula1>
    </dataValidation>
    <dataValidation type="custom" allowBlank="1" showInputMessage="1" showErrorMessage="1" errorTitle="Input Error" error="Value can only be a positive integer OR a dash." sqref="B14:O49" xr:uid="{2D91F76D-9FE0-4B5F-B092-BB81FC6E08C5}">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56162-7A6E-4CFA-9B10-28D1310E0157}">
  <sheetPr codeName="Sheet25">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12 of 28</v>
      </c>
      <c r="M7" s="658"/>
      <c r="N7" s="374"/>
      <c r="O7" s="374"/>
      <c r="P7" s="474"/>
      <c r="R7" s="1083">
        <v>12</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1486</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1536</v>
      </c>
      <c r="B15" s="1494">
        <v>10</v>
      </c>
      <c r="C15" s="1495">
        <v>6</v>
      </c>
      <c r="D15" s="1495" t="s">
        <v>1397</v>
      </c>
      <c r="E15" s="1495" t="s">
        <v>1397</v>
      </c>
      <c r="F15" s="1495"/>
      <c r="G15" s="1495"/>
      <c r="H15" s="1495"/>
      <c r="I15" s="1495"/>
      <c r="J15" s="1495"/>
      <c r="K15" s="1495"/>
      <c r="L15" s="1495"/>
      <c r="M15" s="1495"/>
      <c r="N15" s="1495"/>
      <c r="O15" s="1496"/>
      <c r="P15" s="657">
        <f t="shared" si="0"/>
        <v>16</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1537</v>
      </c>
      <c r="B16" s="1494">
        <v>12</v>
      </c>
      <c r="C16" s="1495">
        <v>4</v>
      </c>
      <c r="D16" s="1495" t="s">
        <v>1397</v>
      </c>
      <c r="E16" s="1495" t="s">
        <v>1397</v>
      </c>
      <c r="F16" s="1495"/>
      <c r="G16" s="1495"/>
      <c r="H16" s="1495"/>
      <c r="I16" s="1495"/>
      <c r="J16" s="1495"/>
      <c r="K16" s="1495"/>
      <c r="L16" s="1495"/>
      <c r="M16" s="1495"/>
      <c r="N16" s="1495"/>
      <c r="O16" s="1496"/>
      <c r="P16" s="657">
        <f t="shared" si="0"/>
        <v>16</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493" t="s">
        <v>1538</v>
      </c>
      <c r="B17" s="1494">
        <v>2</v>
      </c>
      <c r="C17" s="1495" t="s">
        <v>1397</v>
      </c>
      <c r="D17" s="1495" t="s">
        <v>1397</v>
      </c>
      <c r="E17" s="1495" t="s">
        <v>1397</v>
      </c>
      <c r="F17" s="1495"/>
      <c r="G17" s="1495"/>
      <c r="H17" s="1495"/>
      <c r="I17" s="1495"/>
      <c r="J17" s="1495"/>
      <c r="K17" s="1495"/>
      <c r="L17" s="1495"/>
      <c r="M17" s="1495"/>
      <c r="N17" s="1495"/>
      <c r="O17" s="1496"/>
      <c r="P17" s="657">
        <f t="shared" si="0"/>
        <v>2</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493" t="s">
        <v>1539</v>
      </c>
      <c r="B18" s="1494">
        <v>4</v>
      </c>
      <c r="C18" s="1495" t="s">
        <v>1397</v>
      </c>
      <c r="D18" s="1495" t="s">
        <v>1397</v>
      </c>
      <c r="E18" s="1495" t="s">
        <v>1397</v>
      </c>
      <c r="F18" s="1495"/>
      <c r="G18" s="1495"/>
      <c r="H18" s="1495"/>
      <c r="I18" s="1495"/>
      <c r="J18" s="1495"/>
      <c r="K18" s="1495"/>
      <c r="L18" s="1495"/>
      <c r="M18" s="1495"/>
      <c r="N18" s="1495"/>
      <c r="O18" s="1496"/>
      <c r="P18" s="657">
        <f t="shared" si="0"/>
        <v>4</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493" t="s">
        <v>1540</v>
      </c>
      <c r="B19" s="1494">
        <v>2</v>
      </c>
      <c r="C19" s="1495" t="s">
        <v>1397</v>
      </c>
      <c r="D19" s="1495" t="s">
        <v>1397</v>
      </c>
      <c r="E19" s="1495" t="s">
        <v>1397</v>
      </c>
      <c r="F19" s="1495"/>
      <c r="G19" s="1495"/>
      <c r="H19" s="1495"/>
      <c r="I19" s="1495"/>
      <c r="J19" s="1495"/>
      <c r="K19" s="1495"/>
      <c r="L19" s="1495"/>
      <c r="M19" s="1495"/>
      <c r="N19" s="1495"/>
      <c r="O19" s="1496"/>
      <c r="P19" s="657">
        <f t="shared" si="0"/>
        <v>2</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493" t="s">
        <v>1541</v>
      </c>
      <c r="B20" s="1494">
        <v>2</v>
      </c>
      <c r="C20" s="1495" t="s">
        <v>1397</v>
      </c>
      <c r="D20" s="1495" t="s">
        <v>1397</v>
      </c>
      <c r="E20" s="1495" t="s">
        <v>1397</v>
      </c>
      <c r="F20" s="1495"/>
      <c r="G20" s="1495"/>
      <c r="H20" s="1495"/>
      <c r="I20" s="1495"/>
      <c r="J20" s="1495"/>
      <c r="K20" s="1495"/>
      <c r="L20" s="1495"/>
      <c r="M20" s="1495"/>
      <c r="N20" s="1495"/>
      <c r="O20" s="1496"/>
      <c r="P20" s="657">
        <f t="shared" si="0"/>
        <v>2</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493" t="s">
        <v>1542</v>
      </c>
      <c r="B21" s="1494" t="s">
        <v>1397</v>
      </c>
      <c r="C21" s="1495">
        <v>1</v>
      </c>
      <c r="D21" s="1495" t="s">
        <v>1397</v>
      </c>
      <c r="E21" s="1495" t="s">
        <v>1397</v>
      </c>
      <c r="F21" s="1495"/>
      <c r="G21" s="1495"/>
      <c r="H21" s="1495"/>
      <c r="I21" s="1495"/>
      <c r="J21" s="1495"/>
      <c r="K21" s="1495"/>
      <c r="L21" s="1495"/>
      <c r="M21" s="1495"/>
      <c r="N21" s="1495"/>
      <c r="O21" s="1496"/>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493" t="s">
        <v>1543</v>
      </c>
      <c r="B22" s="1494" t="s">
        <v>1397</v>
      </c>
      <c r="C22" s="1495">
        <v>1</v>
      </c>
      <c r="D22" s="1495" t="s">
        <v>1397</v>
      </c>
      <c r="E22" s="1495" t="s">
        <v>1397</v>
      </c>
      <c r="F22" s="1495"/>
      <c r="G22" s="1495"/>
      <c r="H22" s="1495"/>
      <c r="I22" s="1495"/>
      <c r="J22" s="1495"/>
      <c r="K22" s="1495"/>
      <c r="L22" s="1495"/>
      <c r="M22" s="1495"/>
      <c r="N22" s="1495"/>
      <c r="O22" s="1496"/>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493" t="s">
        <v>1544</v>
      </c>
      <c r="B23" s="1494" t="s">
        <v>1397</v>
      </c>
      <c r="C23" s="1495">
        <v>1</v>
      </c>
      <c r="D23" s="1495" t="s">
        <v>1397</v>
      </c>
      <c r="E23" s="1495" t="s">
        <v>1397</v>
      </c>
      <c r="F23" s="1495"/>
      <c r="G23" s="1495"/>
      <c r="H23" s="1495"/>
      <c r="I23" s="1495"/>
      <c r="J23" s="1495"/>
      <c r="K23" s="1495"/>
      <c r="L23" s="1495"/>
      <c r="M23" s="1495"/>
      <c r="N23" s="1495"/>
      <c r="O23" s="1496"/>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493" t="s">
        <v>1545</v>
      </c>
      <c r="B24" s="1494" t="s">
        <v>1397</v>
      </c>
      <c r="C24" s="1495">
        <v>1</v>
      </c>
      <c r="D24" s="1495" t="s">
        <v>1397</v>
      </c>
      <c r="E24" s="1495" t="s">
        <v>1397</v>
      </c>
      <c r="F24" s="1495"/>
      <c r="G24" s="1495"/>
      <c r="H24" s="1495"/>
      <c r="I24" s="1495"/>
      <c r="J24" s="1495"/>
      <c r="K24" s="1495"/>
      <c r="L24" s="1495"/>
      <c r="M24" s="1495"/>
      <c r="N24" s="1495"/>
      <c r="O24" s="1496"/>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493" t="s">
        <v>1546</v>
      </c>
      <c r="B25" s="1494" t="s">
        <v>1397</v>
      </c>
      <c r="C25" s="1495">
        <v>1</v>
      </c>
      <c r="D25" s="1495" t="s">
        <v>1397</v>
      </c>
      <c r="E25" s="1495" t="s">
        <v>1397</v>
      </c>
      <c r="F25" s="1495"/>
      <c r="G25" s="1495"/>
      <c r="H25" s="1495"/>
      <c r="I25" s="1495"/>
      <c r="J25" s="1495"/>
      <c r="K25" s="1495"/>
      <c r="L25" s="1495"/>
      <c r="M25" s="1495"/>
      <c r="N25" s="1495"/>
      <c r="O25" s="1496"/>
      <c r="P25" s="657">
        <f t="shared" si="0"/>
        <v>1</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493" t="s">
        <v>1547</v>
      </c>
      <c r="B26" s="1494" t="s">
        <v>1397</v>
      </c>
      <c r="C26" s="1495">
        <v>1</v>
      </c>
      <c r="D26" s="1495" t="s">
        <v>1397</v>
      </c>
      <c r="E26" s="1495" t="s">
        <v>1397</v>
      </c>
      <c r="F26" s="1495"/>
      <c r="G26" s="1495"/>
      <c r="H26" s="1495"/>
      <c r="I26" s="1495"/>
      <c r="J26" s="1495"/>
      <c r="K26" s="1495"/>
      <c r="L26" s="1495"/>
      <c r="M26" s="1495"/>
      <c r="N26" s="1495"/>
      <c r="O26" s="1496"/>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493" t="s">
        <v>1548</v>
      </c>
      <c r="B27" s="1494" t="s">
        <v>1397</v>
      </c>
      <c r="C27" s="1495">
        <v>3</v>
      </c>
      <c r="D27" s="1495" t="s">
        <v>1397</v>
      </c>
      <c r="E27" s="1495" t="s">
        <v>1397</v>
      </c>
      <c r="F27" s="1495"/>
      <c r="G27" s="1495"/>
      <c r="H27" s="1495"/>
      <c r="I27" s="1495"/>
      <c r="J27" s="1495"/>
      <c r="K27" s="1495"/>
      <c r="L27" s="1495"/>
      <c r="M27" s="1495"/>
      <c r="N27" s="1495"/>
      <c r="O27" s="1496"/>
      <c r="P27" s="657">
        <f t="shared" si="0"/>
        <v>3</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493" t="s">
        <v>1549</v>
      </c>
      <c r="B28" s="1494">
        <v>1</v>
      </c>
      <c r="C28" s="1495">
        <v>1</v>
      </c>
      <c r="D28" s="1495" t="s">
        <v>1397</v>
      </c>
      <c r="E28" s="1495" t="s">
        <v>1397</v>
      </c>
      <c r="F28" s="1495"/>
      <c r="G28" s="1495"/>
      <c r="H28" s="1495"/>
      <c r="I28" s="1495"/>
      <c r="J28" s="1495"/>
      <c r="K28" s="1495"/>
      <c r="L28" s="1495"/>
      <c r="M28" s="1495"/>
      <c r="N28" s="1495"/>
      <c r="O28" s="1496"/>
      <c r="P28" s="657">
        <f t="shared" si="0"/>
        <v>2</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493" t="s">
        <v>1550</v>
      </c>
      <c r="B29" s="1494" t="s">
        <v>1397</v>
      </c>
      <c r="C29" s="1495">
        <v>1</v>
      </c>
      <c r="D29" s="1495" t="s">
        <v>1397</v>
      </c>
      <c r="E29" s="1495" t="s">
        <v>1397</v>
      </c>
      <c r="F29" s="1495"/>
      <c r="G29" s="1495"/>
      <c r="H29" s="1495"/>
      <c r="I29" s="1495"/>
      <c r="J29" s="1495"/>
      <c r="K29" s="1495"/>
      <c r="L29" s="1495"/>
      <c r="M29" s="1495"/>
      <c r="N29" s="1495"/>
      <c r="O29" s="1496"/>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493" t="s">
        <v>1551</v>
      </c>
      <c r="B30" s="1494" t="s">
        <v>1397</v>
      </c>
      <c r="C30" s="1495">
        <v>1</v>
      </c>
      <c r="D30" s="1495" t="s">
        <v>1397</v>
      </c>
      <c r="E30" s="1495" t="s">
        <v>1397</v>
      </c>
      <c r="F30" s="1495"/>
      <c r="G30" s="1495"/>
      <c r="H30" s="1495"/>
      <c r="I30" s="1495"/>
      <c r="J30" s="1495"/>
      <c r="K30" s="1495"/>
      <c r="L30" s="1495"/>
      <c r="M30" s="1495"/>
      <c r="N30" s="1495"/>
      <c r="O30" s="1496"/>
      <c r="P30" s="657">
        <f t="shared" si="0"/>
        <v>1</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493" t="s">
        <v>1552</v>
      </c>
      <c r="B31" s="1494" t="s">
        <v>1397</v>
      </c>
      <c r="C31" s="1495">
        <v>1</v>
      </c>
      <c r="D31" s="1495" t="s">
        <v>1397</v>
      </c>
      <c r="E31" s="1495" t="s">
        <v>1397</v>
      </c>
      <c r="F31" s="1495"/>
      <c r="G31" s="1495"/>
      <c r="H31" s="1495"/>
      <c r="I31" s="1495"/>
      <c r="J31" s="1495"/>
      <c r="K31" s="1495"/>
      <c r="L31" s="1495"/>
      <c r="M31" s="1495"/>
      <c r="N31" s="1495"/>
      <c r="O31" s="1496"/>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493" t="s">
        <v>1553</v>
      </c>
      <c r="B32" s="1494" t="s">
        <v>1397</v>
      </c>
      <c r="C32" s="1495">
        <v>1</v>
      </c>
      <c r="D32" s="1495" t="s">
        <v>1397</v>
      </c>
      <c r="E32" s="1495" t="s">
        <v>1397</v>
      </c>
      <c r="F32" s="1495"/>
      <c r="G32" s="1495"/>
      <c r="H32" s="1495"/>
      <c r="I32" s="1495"/>
      <c r="J32" s="1495"/>
      <c r="K32" s="1495"/>
      <c r="L32" s="1495"/>
      <c r="M32" s="1495"/>
      <c r="N32" s="1495"/>
      <c r="O32" s="1496"/>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493" t="s">
        <v>1554</v>
      </c>
      <c r="B33" s="1494" t="s">
        <v>1397</v>
      </c>
      <c r="C33" s="1495">
        <v>1</v>
      </c>
      <c r="D33" s="1495" t="s">
        <v>1397</v>
      </c>
      <c r="E33" s="1495" t="s">
        <v>1397</v>
      </c>
      <c r="F33" s="1495"/>
      <c r="G33" s="1495"/>
      <c r="H33" s="1495"/>
      <c r="I33" s="1495"/>
      <c r="J33" s="1495"/>
      <c r="K33" s="1495"/>
      <c r="L33" s="1495"/>
      <c r="M33" s="1495"/>
      <c r="N33" s="1495"/>
      <c r="O33" s="1496"/>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493" t="s">
        <v>1555</v>
      </c>
      <c r="B34" s="1494" t="s">
        <v>1397</v>
      </c>
      <c r="C34" s="1495">
        <v>1</v>
      </c>
      <c r="D34" s="1495" t="s">
        <v>1397</v>
      </c>
      <c r="E34" s="1495" t="s">
        <v>1397</v>
      </c>
      <c r="F34" s="1495"/>
      <c r="G34" s="1495"/>
      <c r="H34" s="1495"/>
      <c r="I34" s="1495"/>
      <c r="J34" s="1495"/>
      <c r="K34" s="1495"/>
      <c r="L34" s="1495"/>
      <c r="M34" s="1495"/>
      <c r="N34" s="1495"/>
      <c r="O34" s="1496"/>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493" t="s">
        <v>1556</v>
      </c>
      <c r="B35" s="1494" t="s">
        <v>1397</v>
      </c>
      <c r="C35" s="1495">
        <v>1</v>
      </c>
      <c r="D35" s="1495" t="s">
        <v>1397</v>
      </c>
      <c r="E35" s="1495" t="s">
        <v>1397</v>
      </c>
      <c r="F35" s="1495"/>
      <c r="G35" s="1495"/>
      <c r="H35" s="1495"/>
      <c r="I35" s="1495"/>
      <c r="J35" s="1495"/>
      <c r="K35" s="1495"/>
      <c r="L35" s="1495"/>
      <c r="M35" s="1495"/>
      <c r="N35" s="1495"/>
      <c r="O35" s="1496"/>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493" t="s">
        <v>1557</v>
      </c>
      <c r="B36" s="1494" t="s">
        <v>1397</v>
      </c>
      <c r="C36" s="1495">
        <v>3</v>
      </c>
      <c r="D36" s="1495" t="s">
        <v>1397</v>
      </c>
      <c r="E36" s="1495" t="s">
        <v>1397</v>
      </c>
      <c r="F36" s="1495"/>
      <c r="G36" s="1495"/>
      <c r="H36" s="1495"/>
      <c r="I36" s="1495"/>
      <c r="J36" s="1495"/>
      <c r="K36" s="1495"/>
      <c r="L36" s="1495"/>
      <c r="M36" s="1495"/>
      <c r="N36" s="1495"/>
      <c r="O36" s="1496"/>
      <c r="P36" s="657">
        <f t="shared" si="0"/>
        <v>3</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3" t="s">
        <v>1558</v>
      </c>
      <c r="B37" s="1494" t="s">
        <v>1397</v>
      </c>
      <c r="C37" s="1495">
        <v>2</v>
      </c>
      <c r="D37" s="1495" t="s">
        <v>1397</v>
      </c>
      <c r="E37" s="1495" t="s">
        <v>1397</v>
      </c>
      <c r="F37" s="1495"/>
      <c r="G37" s="1495"/>
      <c r="H37" s="1495"/>
      <c r="I37" s="1495"/>
      <c r="J37" s="1495"/>
      <c r="K37" s="1495"/>
      <c r="L37" s="1495"/>
      <c r="M37" s="1495"/>
      <c r="N37" s="1495"/>
      <c r="O37" s="1496"/>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3" t="s">
        <v>1559</v>
      </c>
      <c r="B38" s="1494" t="s">
        <v>1397</v>
      </c>
      <c r="C38" s="1495">
        <v>1</v>
      </c>
      <c r="D38" s="1495" t="s">
        <v>1397</v>
      </c>
      <c r="E38" s="1495" t="s">
        <v>1397</v>
      </c>
      <c r="F38" s="1495"/>
      <c r="G38" s="1495"/>
      <c r="H38" s="1495"/>
      <c r="I38" s="1495"/>
      <c r="J38" s="1495"/>
      <c r="K38" s="1495"/>
      <c r="L38" s="1495"/>
      <c r="M38" s="1495"/>
      <c r="N38" s="1495"/>
      <c r="O38" s="1496"/>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493" t="s">
        <v>1560</v>
      </c>
      <c r="B39" s="1494" t="s">
        <v>1397</v>
      </c>
      <c r="C39" s="1495">
        <v>1</v>
      </c>
      <c r="D39" s="1495" t="s">
        <v>1397</v>
      </c>
      <c r="E39" s="1495" t="s">
        <v>1397</v>
      </c>
      <c r="F39" s="1495"/>
      <c r="G39" s="1495"/>
      <c r="H39" s="1495"/>
      <c r="I39" s="1495"/>
      <c r="J39" s="1495"/>
      <c r="K39" s="1495"/>
      <c r="L39" s="1495"/>
      <c r="M39" s="1495"/>
      <c r="N39" s="1495"/>
      <c r="O39" s="1496"/>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493" t="s">
        <v>1561</v>
      </c>
      <c r="B40" s="1494" t="s">
        <v>1397</v>
      </c>
      <c r="C40" s="1495">
        <v>1</v>
      </c>
      <c r="D40" s="1495" t="s">
        <v>1397</v>
      </c>
      <c r="E40" s="1495" t="s">
        <v>1397</v>
      </c>
      <c r="F40" s="1495"/>
      <c r="G40" s="1495"/>
      <c r="H40" s="1495"/>
      <c r="I40" s="1495"/>
      <c r="J40" s="1495"/>
      <c r="K40" s="1495"/>
      <c r="L40" s="1495"/>
      <c r="M40" s="1495"/>
      <c r="N40" s="1495"/>
      <c r="O40" s="1496"/>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493" t="s">
        <v>1562</v>
      </c>
      <c r="B41" s="1494">
        <v>6</v>
      </c>
      <c r="C41" s="1495">
        <v>1</v>
      </c>
      <c r="D41" s="1495" t="s">
        <v>1397</v>
      </c>
      <c r="E41" s="1495" t="s">
        <v>1397</v>
      </c>
      <c r="F41" s="1495"/>
      <c r="G41" s="1495"/>
      <c r="H41" s="1495"/>
      <c r="I41" s="1495"/>
      <c r="J41" s="1495"/>
      <c r="K41" s="1495"/>
      <c r="L41" s="1495"/>
      <c r="M41" s="1495"/>
      <c r="N41" s="1495"/>
      <c r="O41" s="1496"/>
      <c r="P41" s="657">
        <f t="shared" si="0"/>
        <v>7</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493" t="s">
        <v>1563</v>
      </c>
      <c r="B42" s="1494">
        <v>54</v>
      </c>
      <c r="C42" s="1495">
        <v>17</v>
      </c>
      <c r="D42" s="1495" t="s">
        <v>1397</v>
      </c>
      <c r="E42" s="1495" t="s">
        <v>1397</v>
      </c>
      <c r="F42" s="1495"/>
      <c r="G42" s="1495"/>
      <c r="H42" s="1495"/>
      <c r="I42" s="1495"/>
      <c r="J42" s="1495"/>
      <c r="K42" s="1495"/>
      <c r="L42" s="1495"/>
      <c r="M42" s="1495"/>
      <c r="N42" s="1495"/>
      <c r="O42" s="1496"/>
      <c r="P42" s="657">
        <f t="shared" si="0"/>
        <v>71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493" t="s">
        <v>1564</v>
      </c>
      <c r="B43" s="1494">
        <v>9</v>
      </c>
      <c r="C43" s="1495">
        <v>4</v>
      </c>
      <c r="D43" s="1495" t="s">
        <v>1397</v>
      </c>
      <c r="E43" s="1495" t="s">
        <v>1397</v>
      </c>
      <c r="F43" s="1495"/>
      <c r="G43" s="1495"/>
      <c r="H43" s="1495"/>
      <c r="I43" s="1495"/>
      <c r="J43" s="1495"/>
      <c r="K43" s="1495"/>
      <c r="L43" s="1495"/>
      <c r="M43" s="1495"/>
      <c r="N43" s="1495"/>
      <c r="O43" s="1496"/>
      <c r="P43" s="657">
        <f t="shared" si="0"/>
        <v>13</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493" t="s">
        <v>1565</v>
      </c>
      <c r="B44" s="1494">
        <v>5</v>
      </c>
      <c r="C44" s="1495">
        <v>2</v>
      </c>
      <c r="D44" s="1495" t="s">
        <v>1397</v>
      </c>
      <c r="E44" s="1495" t="s">
        <v>1397</v>
      </c>
      <c r="F44" s="1495"/>
      <c r="G44" s="1495"/>
      <c r="H44" s="1495"/>
      <c r="I44" s="1495"/>
      <c r="J44" s="1495"/>
      <c r="K44" s="1495"/>
      <c r="L44" s="1495"/>
      <c r="M44" s="1495"/>
      <c r="N44" s="1495"/>
      <c r="O44" s="1496"/>
      <c r="P44" s="657">
        <f t="shared" si="0"/>
        <v>7</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493" t="s">
        <v>1566</v>
      </c>
      <c r="B45" s="1494">
        <v>4</v>
      </c>
      <c r="C45" s="1495">
        <v>4</v>
      </c>
      <c r="D45" s="1495" t="s">
        <v>1397</v>
      </c>
      <c r="E45" s="1495" t="s">
        <v>1397</v>
      </c>
      <c r="F45" s="1495"/>
      <c r="G45" s="1495"/>
      <c r="H45" s="1495"/>
      <c r="I45" s="1495"/>
      <c r="J45" s="1495"/>
      <c r="K45" s="1495"/>
      <c r="L45" s="1495"/>
      <c r="M45" s="1495"/>
      <c r="N45" s="1495"/>
      <c r="O45" s="1496"/>
      <c r="P45" s="657">
        <f t="shared" si="0"/>
        <v>8</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493" t="s">
        <v>1567</v>
      </c>
      <c r="B46" s="1494">
        <v>1</v>
      </c>
      <c r="C46" s="1495">
        <v>1</v>
      </c>
      <c r="D46" s="1495" t="s">
        <v>1397</v>
      </c>
      <c r="E46" s="1495" t="s">
        <v>1397</v>
      </c>
      <c r="F46" s="1495"/>
      <c r="G46" s="1495"/>
      <c r="H46" s="1495"/>
      <c r="I46" s="1495"/>
      <c r="J46" s="1495"/>
      <c r="K46" s="1495"/>
      <c r="L46" s="1495"/>
      <c r="M46" s="1495"/>
      <c r="N46" s="1495"/>
      <c r="O46" s="1496"/>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493" t="s">
        <v>1568</v>
      </c>
      <c r="B47" s="1494">
        <v>1</v>
      </c>
      <c r="C47" s="1495" t="s">
        <v>1397</v>
      </c>
      <c r="D47" s="1495" t="s">
        <v>1397</v>
      </c>
      <c r="E47" s="1495" t="s">
        <v>1397</v>
      </c>
      <c r="F47" s="1495"/>
      <c r="G47" s="1495"/>
      <c r="H47" s="1495"/>
      <c r="I47" s="1495"/>
      <c r="J47" s="1495"/>
      <c r="K47" s="1495"/>
      <c r="L47" s="1495"/>
      <c r="M47" s="1495"/>
      <c r="N47" s="1495"/>
      <c r="O47" s="1496"/>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493" t="s">
        <v>1569</v>
      </c>
      <c r="B48" s="1494">
        <v>2</v>
      </c>
      <c r="C48" s="1495" t="s">
        <v>1397</v>
      </c>
      <c r="D48" s="1495" t="s">
        <v>1397</v>
      </c>
      <c r="E48" s="1495" t="s">
        <v>1397</v>
      </c>
      <c r="F48" s="1495"/>
      <c r="G48" s="1495"/>
      <c r="H48" s="1495"/>
      <c r="I48" s="1495"/>
      <c r="J48" s="1495"/>
      <c r="K48" s="1495"/>
      <c r="L48" s="1495"/>
      <c r="M48" s="1495"/>
      <c r="N48" s="1495"/>
      <c r="O48" s="1496"/>
      <c r="P48" s="657">
        <f t="shared" si="0"/>
        <v>2</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497" t="s">
        <v>1570</v>
      </c>
      <c r="B49" s="1498">
        <v>1</v>
      </c>
      <c r="C49" s="1499" t="s">
        <v>1397</v>
      </c>
      <c r="D49" s="1499" t="s">
        <v>1397</v>
      </c>
      <c r="E49" s="1499" t="s">
        <v>1397</v>
      </c>
      <c r="F49" s="1499"/>
      <c r="G49" s="1499"/>
      <c r="H49" s="1499"/>
      <c r="I49" s="1499"/>
      <c r="J49" s="1499"/>
      <c r="K49" s="1499"/>
      <c r="L49" s="1499"/>
      <c r="M49" s="1499"/>
      <c r="N49" s="1499"/>
      <c r="O49" s="1500"/>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116</v>
      </c>
      <c r="C50" s="654">
        <f t="shared" si="2"/>
        <v>64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1844</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ahUjGQ8bx+0sbCiaY02OHNYgN+qwKWvKf1h4Ml+zVBGgHTYVlTpQWnXALDoom/SZy2JhPHjULBguXUoWjjOAIQ==" saltValue="OAWuxDcjSC9DYqsf7qLv9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85" priority="2">
      <formula>OR(A14="Girder",A14="Girders",A14="Joist",A14="Joists",A14="Bridging")</formula>
    </cfRule>
    <cfRule type="expression" dxfId="784" priority="3">
      <formula>AND(P14&gt;0,ISBLANK(AF14),OR($R$1="",$R$1="M"))</formula>
    </cfRule>
    <cfRule type="expression" dxfId="783" priority="9">
      <formula>$AH14</formula>
    </cfRule>
  </conditionalFormatting>
  <conditionalFormatting sqref="H2:J4">
    <cfRule type="cellIs" dxfId="782" priority="7" stopIfTrue="1" operator="equal">
      <formula>""</formula>
    </cfRule>
  </conditionalFormatting>
  <conditionalFormatting sqref="B14:O49">
    <cfRule type="expression" dxfId="781" priority="4">
      <formula>IF($R$1="M",AND(B14&gt;R14,R14&gt;0),B14&lt;R14)</formula>
    </cfRule>
    <cfRule type="expression" dxfId="780" priority="5">
      <formula>OR(AND($R$1="M",NOT($S$1),B14=R14),B14="-")</formula>
    </cfRule>
    <cfRule type="expression" dxfId="779" priority="6">
      <formula>IF(NOT(ISBLANK($R$1)),IF($R$1="M",IF(ISTEXT(B14),0,B14)&lt;R14,IF(ISTEXT(B14),0,B14)&gt;R14))</formula>
    </cfRule>
    <cfRule type="expression" dxfId="778" priority="8">
      <formula>OR($AH14,B$63)</formula>
    </cfRule>
  </conditionalFormatting>
  <conditionalFormatting sqref="B13:O13">
    <cfRule type="expression" dxfId="777" priority="1">
      <formula>AND(NOT(ISBLANK(B$13)),ISERROR(MATCH(B$13,$AK:$AK,0)))</formula>
    </cfRule>
    <cfRule type="expression" dxfId="7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E4CBC73A-9CB9-4C53-B2F5-C91CC0A73545}">
      <formula1>B13=TRIM(B13)</formula1>
    </dataValidation>
    <dataValidation type="custom" allowBlank="1" showInputMessage="1" showErrorMessage="1" errorTitle="Input Error" error="Value can only be a positive integer OR a dash." sqref="B14:O49" xr:uid="{D2CA9655-359A-42C1-A010-EDE182F9F8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FEBAA-E786-459C-8C75-E6FAD48195A9}">
  <sheetPr codeName="Sheet26">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13 of 28</v>
      </c>
      <c r="M7" s="658"/>
      <c r="N7" s="374"/>
      <c r="O7" s="374"/>
      <c r="P7" s="474"/>
      <c r="R7" s="1083">
        <v>13</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1486</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1571</v>
      </c>
      <c r="B15" s="1494">
        <v>1</v>
      </c>
      <c r="C15" s="1495" t="s">
        <v>1397</v>
      </c>
      <c r="D15" s="1495" t="s">
        <v>1397</v>
      </c>
      <c r="E15" s="1495" t="s">
        <v>1397</v>
      </c>
      <c r="F15" s="1495"/>
      <c r="G15" s="1495"/>
      <c r="H15" s="1495"/>
      <c r="I15" s="1495"/>
      <c r="J15" s="1495"/>
      <c r="K15" s="1495"/>
      <c r="L15" s="1495"/>
      <c r="M15" s="1495"/>
      <c r="N15" s="1495"/>
      <c r="O15" s="1496"/>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1572</v>
      </c>
      <c r="B16" s="1494">
        <v>3</v>
      </c>
      <c r="C16" s="1495" t="s">
        <v>1397</v>
      </c>
      <c r="D16" s="1495" t="s">
        <v>1397</v>
      </c>
      <c r="E16" s="1495" t="s">
        <v>1397</v>
      </c>
      <c r="F16" s="1495"/>
      <c r="G16" s="1495"/>
      <c r="H16" s="1495"/>
      <c r="I16" s="1495"/>
      <c r="J16" s="1495"/>
      <c r="K16" s="1495"/>
      <c r="L16" s="1495"/>
      <c r="M16" s="1495"/>
      <c r="N16" s="1495"/>
      <c r="O16" s="1496"/>
      <c r="P16" s="657">
        <f t="shared" si="0"/>
        <v>3</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493" t="s">
        <v>1573</v>
      </c>
      <c r="B17" s="1494" t="s">
        <v>1397</v>
      </c>
      <c r="C17" s="1495">
        <v>1</v>
      </c>
      <c r="D17" s="1495" t="s">
        <v>1397</v>
      </c>
      <c r="E17" s="1495" t="s">
        <v>1397</v>
      </c>
      <c r="F17" s="1495"/>
      <c r="G17" s="1495"/>
      <c r="H17" s="1495"/>
      <c r="I17" s="1495"/>
      <c r="J17" s="1495"/>
      <c r="K17" s="1495"/>
      <c r="L17" s="1495"/>
      <c r="M17" s="1495"/>
      <c r="N17" s="1495"/>
      <c r="O17" s="1496"/>
      <c r="P17" s="657">
        <f t="shared" si="0"/>
        <v>1</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493" t="s">
        <v>1574</v>
      </c>
      <c r="B18" s="1494" t="s">
        <v>1397</v>
      </c>
      <c r="C18" s="1495">
        <v>1</v>
      </c>
      <c r="D18" s="1495" t="s">
        <v>1397</v>
      </c>
      <c r="E18" s="1495" t="s">
        <v>1397</v>
      </c>
      <c r="F18" s="1495"/>
      <c r="G18" s="1495"/>
      <c r="H18" s="1495"/>
      <c r="I18" s="1495"/>
      <c r="J18" s="1495"/>
      <c r="K18" s="1495"/>
      <c r="L18" s="1495"/>
      <c r="M18" s="1495"/>
      <c r="N18" s="1495"/>
      <c r="O18" s="1496"/>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493" t="s">
        <v>1575</v>
      </c>
      <c r="B19" s="1494" t="s">
        <v>1397</v>
      </c>
      <c r="C19" s="1495">
        <v>1</v>
      </c>
      <c r="D19" s="1495" t="s">
        <v>1397</v>
      </c>
      <c r="E19" s="1495" t="s">
        <v>1397</v>
      </c>
      <c r="F19" s="1495"/>
      <c r="G19" s="1495"/>
      <c r="H19" s="1495"/>
      <c r="I19" s="1495"/>
      <c r="J19" s="1495"/>
      <c r="K19" s="1495"/>
      <c r="L19" s="1495"/>
      <c r="M19" s="1495"/>
      <c r="N19" s="1495"/>
      <c r="O19" s="1496"/>
      <c r="P19" s="657">
        <f t="shared" si="0"/>
        <v>1</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493" t="s">
        <v>1576</v>
      </c>
      <c r="B20" s="1494" t="s">
        <v>1397</v>
      </c>
      <c r="C20" s="1495" t="s">
        <v>1397</v>
      </c>
      <c r="D20" s="1495">
        <v>51</v>
      </c>
      <c r="E20" s="1495">
        <v>48</v>
      </c>
      <c r="F20" s="1495"/>
      <c r="G20" s="1495"/>
      <c r="H20" s="1495"/>
      <c r="I20" s="1495"/>
      <c r="J20" s="1495"/>
      <c r="K20" s="1495"/>
      <c r="L20" s="1495"/>
      <c r="M20" s="1495"/>
      <c r="N20" s="1495"/>
      <c r="O20" s="1496"/>
      <c r="P20" s="657">
        <f t="shared" si="0"/>
        <v>99</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493" t="s">
        <v>1577</v>
      </c>
      <c r="B21" s="1494" t="s">
        <v>1397</v>
      </c>
      <c r="C21" s="1495" t="s">
        <v>1397</v>
      </c>
      <c r="D21" s="1495">
        <v>6</v>
      </c>
      <c r="E21" s="1495">
        <v>4</v>
      </c>
      <c r="F21" s="1495"/>
      <c r="G21" s="1495"/>
      <c r="H21" s="1495"/>
      <c r="I21" s="1495"/>
      <c r="J21" s="1495"/>
      <c r="K21" s="1495"/>
      <c r="L21" s="1495"/>
      <c r="M21" s="1495"/>
      <c r="N21" s="1495"/>
      <c r="O21" s="1496"/>
      <c r="P21" s="657">
        <f t="shared" si="0"/>
        <v>10</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493" t="s">
        <v>1578</v>
      </c>
      <c r="B22" s="1494" t="s">
        <v>1397</v>
      </c>
      <c r="C22" s="1495" t="s">
        <v>1397</v>
      </c>
      <c r="D22" s="1495">
        <v>2</v>
      </c>
      <c r="E22" s="1495">
        <v>2</v>
      </c>
      <c r="F22" s="1495"/>
      <c r="G22" s="1495"/>
      <c r="H22" s="1495"/>
      <c r="I22" s="1495"/>
      <c r="J22" s="1495"/>
      <c r="K22" s="1495"/>
      <c r="L22" s="1495"/>
      <c r="M22" s="1495"/>
      <c r="N22" s="1495"/>
      <c r="O22" s="1496"/>
      <c r="P22" s="657">
        <f t="shared" si="0"/>
        <v>4</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493" t="s">
        <v>1579</v>
      </c>
      <c r="B23" s="1494" t="s">
        <v>1397</v>
      </c>
      <c r="C23" s="1495" t="s">
        <v>1397</v>
      </c>
      <c r="D23" s="1495" t="s">
        <v>1397</v>
      </c>
      <c r="E23" s="1495">
        <v>2</v>
      </c>
      <c r="F23" s="1495"/>
      <c r="G23" s="1495"/>
      <c r="H23" s="1495"/>
      <c r="I23" s="1495"/>
      <c r="J23" s="1495"/>
      <c r="K23" s="1495"/>
      <c r="L23" s="1495"/>
      <c r="M23" s="1495"/>
      <c r="N23" s="1495"/>
      <c r="O23" s="1496"/>
      <c r="P23" s="657">
        <f t="shared" si="0"/>
        <v>2</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493" t="s">
        <v>1580</v>
      </c>
      <c r="B24" s="1494" t="s">
        <v>1397</v>
      </c>
      <c r="C24" s="1495" t="s">
        <v>1397</v>
      </c>
      <c r="D24" s="1495">
        <v>7</v>
      </c>
      <c r="E24" s="1495">
        <v>7</v>
      </c>
      <c r="F24" s="1495"/>
      <c r="G24" s="1495"/>
      <c r="H24" s="1495"/>
      <c r="I24" s="1495"/>
      <c r="J24" s="1495"/>
      <c r="K24" s="1495"/>
      <c r="L24" s="1495"/>
      <c r="M24" s="1495"/>
      <c r="N24" s="1495"/>
      <c r="O24" s="1496"/>
      <c r="P24" s="657">
        <f t="shared" si="0"/>
        <v>14</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493" t="s">
        <v>1581</v>
      </c>
      <c r="B25" s="1494" t="s">
        <v>1397</v>
      </c>
      <c r="C25" s="1495" t="s">
        <v>1397</v>
      </c>
      <c r="D25" s="1495">
        <v>3</v>
      </c>
      <c r="E25" s="1495">
        <v>6</v>
      </c>
      <c r="F25" s="1495"/>
      <c r="G25" s="1495"/>
      <c r="H25" s="1495"/>
      <c r="I25" s="1495"/>
      <c r="J25" s="1495"/>
      <c r="K25" s="1495"/>
      <c r="L25" s="1495"/>
      <c r="M25" s="1495"/>
      <c r="N25" s="1495"/>
      <c r="O25" s="1496"/>
      <c r="P25" s="657">
        <f t="shared" si="0"/>
        <v>9</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493" t="s">
        <v>1582</v>
      </c>
      <c r="B26" s="1494" t="s">
        <v>1397</v>
      </c>
      <c r="C26" s="1495" t="s">
        <v>1397</v>
      </c>
      <c r="D26" s="1495">
        <v>1</v>
      </c>
      <c r="E26" s="1495" t="s">
        <v>1397</v>
      </c>
      <c r="F26" s="1495"/>
      <c r="G26" s="1495"/>
      <c r="H26" s="1495"/>
      <c r="I26" s="1495"/>
      <c r="J26" s="1495"/>
      <c r="K26" s="1495"/>
      <c r="L26" s="1495"/>
      <c r="M26" s="1495"/>
      <c r="N26" s="1495"/>
      <c r="O26" s="1496"/>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493" t="s">
        <v>1583</v>
      </c>
      <c r="B27" s="1494" t="s">
        <v>1397</v>
      </c>
      <c r="C27" s="1495" t="s">
        <v>1397</v>
      </c>
      <c r="D27" s="1495">
        <v>147</v>
      </c>
      <c r="E27" s="1495">
        <v>129</v>
      </c>
      <c r="F27" s="1495"/>
      <c r="G27" s="1495"/>
      <c r="H27" s="1495"/>
      <c r="I27" s="1495"/>
      <c r="J27" s="1495"/>
      <c r="K27" s="1495"/>
      <c r="L27" s="1495"/>
      <c r="M27" s="1495"/>
      <c r="N27" s="1495"/>
      <c r="O27" s="1496"/>
      <c r="P27" s="657">
        <f t="shared" si="0"/>
        <v>276</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493" t="s">
        <v>1584</v>
      </c>
      <c r="B28" s="1494" t="s">
        <v>1397</v>
      </c>
      <c r="C28" s="1495" t="s">
        <v>1397</v>
      </c>
      <c r="D28" s="1495">
        <v>18</v>
      </c>
      <c r="E28" s="1495">
        <v>9</v>
      </c>
      <c r="F28" s="1495"/>
      <c r="G28" s="1495"/>
      <c r="H28" s="1495"/>
      <c r="I28" s="1495"/>
      <c r="J28" s="1495"/>
      <c r="K28" s="1495"/>
      <c r="L28" s="1495"/>
      <c r="M28" s="1495"/>
      <c r="N28" s="1495"/>
      <c r="O28" s="1496"/>
      <c r="P28" s="657">
        <f t="shared" si="0"/>
        <v>27</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493" t="s">
        <v>1585</v>
      </c>
      <c r="B29" s="1494" t="s">
        <v>1397</v>
      </c>
      <c r="C29" s="1495" t="s">
        <v>1397</v>
      </c>
      <c r="D29" s="1495">
        <v>6</v>
      </c>
      <c r="E29" s="1495">
        <v>4</v>
      </c>
      <c r="F29" s="1495"/>
      <c r="G29" s="1495"/>
      <c r="H29" s="1495"/>
      <c r="I29" s="1495"/>
      <c r="J29" s="1495"/>
      <c r="K29" s="1495"/>
      <c r="L29" s="1495"/>
      <c r="M29" s="1495"/>
      <c r="N29" s="1495"/>
      <c r="O29" s="1496"/>
      <c r="P29" s="657">
        <f t="shared" si="0"/>
        <v>10</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493" t="s">
        <v>1586</v>
      </c>
      <c r="B30" s="1494" t="s">
        <v>1397</v>
      </c>
      <c r="C30" s="1495" t="s">
        <v>1397</v>
      </c>
      <c r="D30" s="1495" t="s">
        <v>1397</v>
      </c>
      <c r="E30" s="1495">
        <v>6</v>
      </c>
      <c r="F30" s="1495"/>
      <c r="G30" s="1495"/>
      <c r="H30" s="1495"/>
      <c r="I30" s="1495"/>
      <c r="J30" s="1495"/>
      <c r="K30" s="1495"/>
      <c r="L30" s="1495"/>
      <c r="M30" s="1495"/>
      <c r="N30" s="1495"/>
      <c r="O30" s="1496"/>
      <c r="P30" s="657">
        <f t="shared" si="0"/>
        <v>6</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493" t="s">
        <v>1587</v>
      </c>
      <c r="B31" s="1494" t="s">
        <v>1397</v>
      </c>
      <c r="C31" s="1495" t="s">
        <v>1397</v>
      </c>
      <c r="D31" s="1495">
        <v>21</v>
      </c>
      <c r="E31" s="1495">
        <v>20</v>
      </c>
      <c r="F31" s="1495"/>
      <c r="G31" s="1495"/>
      <c r="H31" s="1495"/>
      <c r="I31" s="1495"/>
      <c r="J31" s="1495"/>
      <c r="K31" s="1495"/>
      <c r="L31" s="1495"/>
      <c r="M31" s="1495"/>
      <c r="N31" s="1495"/>
      <c r="O31" s="1496"/>
      <c r="P31" s="657">
        <f t="shared" si="0"/>
        <v>41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493" t="s">
        <v>1588</v>
      </c>
      <c r="B32" s="1494" t="s">
        <v>1397</v>
      </c>
      <c r="C32" s="1495" t="s">
        <v>1397</v>
      </c>
      <c r="D32" s="1495">
        <v>11</v>
      </c>
      <c r="E32" s="1495">
        <v>18</v>
      </c>
      <c r="F32" s="1495"/>
      <c r="G32" s="1495"/>
      <c r="H32" s="1495"/>
      <c r="I32" s="1495"/>
      <c r="J32" s="1495"/>
      <c r="K32" s="1495"/>
      <c r="L32" s="1495"/>
      <c r="M32" s="1495"/>
      <c r="N32" s="1495"/>
      <c r="O32" s="1496"/>
      <c r="P32" s="657">
        <f t="shared" si="0"/>
        <v>29</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493" t="s">
        <v>1589</v>
      </c>
      <c r="B33" s="1494" t="s">
        <v>1397</v>
      </c>
      <c r="C33" s="1495" t="s">
        <v>1397</v>
      </c>
      <c r="D33" s="1495">
        <v>3</v>
      </c>
      <c r="E33" s="1495" t="s">
        <v>1397</v>
      </c>
      <c r="F33" s="1495"/>
      <c r="G33" s="1495"/>
      <c r="H33" s="1495"/>
      <c r="I33" s="1495"/>
      <c r="J33" s="1495"/>
      <c r="K33" s="1495"/>
      <c r="L33" s="1495"/>
      <c r="M33" s="1495"/>
      <c r="N33" s="1495"/>
      <c r="O33" s="1496"/>
      <c r="P33" s="657">
        <f t="shared" si="0"/>
        <v>3</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493" t="s">
        <v>1590</v>
      </c>
      <c r="B34" s="1494" t="s">
        <v>1397</v>
      </c>
      <c r="C34" s="1495" t="s">
        <v>1397</v>
      </c>
      <c r="D34" s="1495" t="s">
        <v>1397</v>
      </c>
      <c r="E34" s="1495">
        <v>2</v>
      </c>
      <c r="F34" s="1495"/>
      <c r="G34" s="1495"/>
      <c r="H34" s="1495"/>
      <c r="I34" s="1495"/>
      <c r="J34" s="1495"/>
      <c r="K34" s="1495"/>
      <c r="L34" s="1495"/>
      <c r="M34" s="1495"/>
      <c r="N34" s="1495"/>
      <c r="O34" s="1496"/>
      <c r="P34" s="657">
        <f t="shared" si="0"/>
        <v>2</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493" t="s">
        <v>1591</v>
      </c>
      <c r="B35" s="1494" t="s">
        <v>1397</v>
      </c>
      <c r="C35" s="1495" t="s">
        <v>1397</v>
      </c>
      <c r="D35" s="1495" t="s">
        <v>1397</v>
      </c>
      <c r="E35" s="1495">
        <v>12</v>
      </c>
      <c r="F35" s="1495"/>
      <c r="G35" s="1495"/>
      <c r="H35" s="1495"/>
      <c r="I35" s="1495"/>
      <c r="J35" s="1495"/>
      <c r="K35" s="1495"/>
      <c r="L35" s="1495"/>
      <c r="M35" s="1495"/>
      <c r="N35" s="1495"/>
      <c r="O35" s="1496"/>
      <c r="P35" s="657">
        <f t="shared" si="0"/>
        <v>12</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493" t="s">
        <v>1592</v>
      </c>
      <c r="B36" s="1494" t="s">
        <v>1397</v>
      </c>
      <c r="C36" s="1495" t="s">
        <v>1397</v>
      </c>
      <c r="D36" s="1495">
        <v>4</v>
      </c>
      <c r="E36" s="1495">
        <v>4</v>
      </c>
      <c r="F36" s="1495"/>
      <c r="G36" s="1495"/>
      <c r="H36" s="1495"/>
      <c r="I36" s="1495"/>
      <c r="J36" s="1495"/>
      <c r="K36" s="1495"/>
      <c r="L36" s="1495"/>
      <c r="M36" s="1495"/>
      <c r="N36" s="1495"/>
      <c r="O36" s="1496"/>
      <c r="P36" s="657">
        <f t="shared" si="0"/>
        <v>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3" t="s">
        <v>1593</v>
      </c>
      <c r="B37" s="1494" t="s">
        <v>1397</v>
      </c>
      <c r="C37" s="1495" t="s">
        <v>1397</v>
      </c>
      <c r="D37" s="1495" t="s">
        <v>1397</v>
      </c>
      <c r="E37" s="1495">
        <v>1</v>
      </c>
      <c r="F37" s="1495"/>
      <c r="G37" s="1495"/>
      <c r="H37" s="1495"/>
      <c r="I37" s="1495"/>
      <c r="J37" s="1495"/>
      <c r="K37" s="1495"/>
      <c r="L37" s="1495"/>
      <c r="M37" s="1495"/>
      <c r="N37" s="1495"/>
      <c r="O37" s="1496"/>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3" t="s">
        <v>1594</v>
      </c>
      <c r="B38" s="1494" t="s">
        <v>1397</v>
      </c>
      <c r="C38" s="1495" t="s">
        <v>1397</v>
      </c>
      <c r="D38" s="1495" t="s">
        <v>1397</v>
      </c>
      <c r="E38" s="1495">
        <v>1</v>
      </c>
      <c r="F38" s="1495"/>
      <c r="G38" s="1495"/>
      <c r="H38" s="1495"/>
      <c r="I38" s="1495"/>
      <c r="J38" s="1495"/>
      <c r="K38" s="1495"/>
      <c r="L38" s="1495"/>
      <c r="M38" s="1495"/>
      <c r="N38" s="1495"/>
      <c r="O38" s="1496"/>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493" t="s">
        <v>1595</v>
      </c>
      <c r="B39" s="1494" t="s">
        <v>1397</v>
      </c>
      <c r="C39" s="1495" t="s">
        <v>1397</v>
      </c>
      <c r="D39" s="1495" t="s">
        <v>1397</v>
      </c>
      <c r="E39" s="1495">
        <v>1</v>
      </c>
      <c r="F39" s="1495"/>
      <c r="G39" s="1495"/>
      <c r="H39" s="1495"/>
      <c r="I39" s="1495"/>
      <c r="J39" s="1495"/>
      <c r="K39" s="1495"/>
      <c r="L39" s="1495"/>
      <c r="M39" s="1495"/>
      <c r="N39" s="1495"/>
      <c r="O39" s="1496"/>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493" t="s">
        <v>1596</v>
      </c>
      <c r="B40" s="1494" t="s">
        <v>1397</v>
      </c>
      <c r="C40" s="1495" t="s">
        <v>1397</v>
      </c>
      <c r="D40" s="1495" t="s">
        <v>1397</v>
      </c>
      <c r="E40" s="1495">
        <v>8</v>
      </c>
      <c r="F40" s="1495"/>
      <c r="G40" s="1495"/>
      <c r="H40" s="1495"/>
      <c r="I40" s="1495"/>
      <c r="J40" s="1495"/>
      <c r="K40" s="1495"/>
      <c r="L40" s="1495"/>
      <c r="M40" s="1495"/>
      <c r="N40" s="1495"/>
      <c r="O40" s="1496"/>
      <c r="P40" s="657">
        <f t="shared" si="0"/>
        <v>8</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493" t="s">
        <v>1597</v>
      </c>
      <c r="B41" s="1494" t="s">
        <v>1397</v>
      </c>
      <c r="C41" s="1495" t="s">
        <v>1397</v>
      </c>
      <c r="D41" s="1495" t="s">
        <v>1397</v>
      </c>
      <c r="E41" s="1495">
        <v>2</v>
      </c>
      <c r="F41" s="1495"/>
      <c r="G41" s="1495"/>
      <c r="H41" s="1495"/>
      <c r="I41" s="1495"/>
      <c r="J41" s="1495"/>
      <c r="K41" s="1495"/>
      <c r="L41" s="1495"/>
      <c r="M41" s="1495"/>
      <c r="N41" s="1495"/>
      <c r="O41" s="1496"/>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493" t="s">
        <v>1598</v>
      </c>
      <c r="B42" s="1494" t="s">
        <v>1397</v>
      </c>
      <c r="C42" s="1495" t="s">
        <v>1397</v>
      </c>
      <c r="D42" s="1495" t="s">
        <v>1397</v>
      </c>
      <c r="E42" s="1495">
        <v>2</v>
      </c>
      <c r="F42" s="1495"/>
      <c r="G42" s="1495"/>
      <c r="H42" s="1495"/>
      <c r="I42" s="1495"/>
      <c r="J42" s="1495"/>
      <c r="K42" s="1495"/>
      <c r="L42" s="1495"/>
      <c r="M42" s="1495"/>
      <c r="N42" s="1495"/>
      <c r="O42" s="1496"/>
      <c r="P42" s="657">
        <f t="shared" si="0"/>
        <v>2</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493" t="s">
        <v>1599</v>
      </c>
      <c r="B43" s="1494" t="s">
        <v>1397</v>
      </c>
      <c r="C43" s="1495" t="s">
        <v>1397</v>
      </c>
      <c r="D43" s="1495" t="s">
        <v>1397</v>
      </c>
      <c r="E43" s="1495">
        <v>2</v>
      </c>
      <c r="F43" s="1495"/>
      <c r="G43" s="1495"/>
      <c r="H43" s="1495"/>
      <c r="I43" s="1495"/>
      <c r="J43" s="1495"/>
      <c r="K43" s="1495"/>
      <c r="L43" s="1495"/>
      <c r="M43" s="1495"/>
      <c r="N43" s="1495"/>
      <c r="O43" s="1496"/>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493" t="s">
        <v>1600</v>
      </c>
      <c r="B44" s="1494" t="s">
        <v>1397</v>
      </c>
      <c r="C44" s="1495" t="s">
        <v>1397</v>
      </c>
      <c r="D44" s="1495" t="s">
        <v>1397</v>
      </c>
      <c r="E44" s="1495">
        <v>1</v>
      </c>
      <c r="F44" s="1495"/>
      <c r="G44" s="1495"/>
      <c r="H44" s="1495"/>
      <c r="I44" s="1495"/>
      <c r="J44" s="1495"/>
      <c r="K44" s="1495"/>
      <c r="L44" s="1495"/>
      <c r="M44" s="1495"/>
      <c r="N44" s="1495"/>
      <c r="O44" s="1496"/>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493" t="s">
        <v>1601</v>
      </c>
      <c r="B45" s="1494" t="s">
        <v>1397</v>
      </c>
      <c r="C45" s="1495" t="s">
        <v>1397</v>
      </c>
      <c r="D45" s="1495" t="s">
        <v>1397</v>
      </c>
      <c r="E45" s="1495">
        <v>9</v>
      </c>
      <c r="F45" s="1495"/>
      <c r="G45" s="1495"/>
      <c r="H45" s="1495"/>
      <c r="I45" s="1495"/>
      <c r="J45" s="1495"/>
      <c r="K45" s="1495"/>
      <c r="L45" s="1495"/>
      <c r="M45" s="1495"/>
      <c r="N45" s="1495"/>
      <c r="O45" s="1496"/>
      <c r="P45" s="657">
        <f t="shared" si="0"/>
        <v>9</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493" t="s">
        <v>1602</v>
      </c>
      <c r="B46" s="1494" t="s">
        <v>1397</v>
      </c>
      <c r="C46" s="1495" t="s">
        <v>1397</v>
      </c>
      <c r="D46" s="1495" t="s">
        <v>1397</v>
      </c>
      <c r="E46" s="1495">
        <v>2</v>
      </c>
      <c r="F46" s="1495"/>
      <c r="G46" s="1495"/>
      <c r="H46" s="1495"/>
      <c r="I46" s="1495"/>
      <c r="J46" s="1495"/>
      <c r="K46" s="1495"/>
      <c r="L46" s="1495"/>
      <c r="M46" s="1495"/>
      <c r="N46" s="1495"/>
      <c r="O46" s="1496"/>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493" t="s">
        <v>1603</v>
      </c>
      <c r="B47" s="1494" t="s">
        <v>1397</v>
      </c>
      <c r="C47" s="1495" t="s">
        <v>1397</v>
      </c>
      <c r="D47" s="1495" t="s">
        <v>1397</v>
      </c>
      <c r="E47" s="1495">
        <v>2</v>
      </c>
      <c r="F47" s="1495"/>
      <c r="G47" s="1495"/>
      <c r="H47" s="1495"/>
      <c r="I47" s="1495"/>
      <c r="J47" s="1495"/>
      <c r="K47" s="1495"/>
      <c r="L47" s="1495"/>
      <c r="M47" s="1495"/>
      <c r="N47" s="1495"/>
      <c r="O47" s="1496"/>
      <c r="P47" s="657">
        <f t="shared" si="0"/>
        <v>2</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493" t="s">
        <v>1604</v>
      </c>
      <c r="B48" s="1494" t="s">
        <v>1397</v>
      </c>
      <c r="C48" s="1495" t="s">
        <v>1397</v>
      </c>
      <c r="D48" s="1495" t="s">
        <v>1397</v>
      </c>
      <c r="E48" s="1495">
        <v>1</v>
      </c>
      <c r="F48" s="1495"/>
      <c r="G48" s="1495"/>
      <c r="H48" s="1495"/>
      <c r="I48" s="1495"/>
      <c r="J48" s="1495"/>
      <c r="K48" s="1495"/>
      <c r="L48" s="1495"/>
      <c r="M48" s="1495"/>
      <c r="N48" s="1495"/>
      <c r="O48" s="1496"/>
      <c r="P48" s="657">
        <f t="shared" si="0"/>
        <v>1</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497" t="s">
        <v>1605</v>
      </c>
      <c r="B49" s="1498" t="s">
        <v>1397</v>
      </c>
      <c r="C49" s="1499" t="s">
        <v>1397</v>
      </c>
      <c r="D49" s="1499" t="s">
        <v>1397</v>
      </c>
      <c r="E49" s="1499">
        <v>1</v>
      </c>
      <c r="F49" s="1499"/>
      <c r="G49" s="1499"/>
      <c r="H49" s="1499"/>
      <c r="I49" s="1499"/>
      <c r="J49" s="1499"/>
      <c r="K49" s="1499"/>
      <c r="L49" s="1499"/>
      <c r="M49" s="1499"/>
      <c r="N49" s="1499"/>
      <c r="O49" s="1500"/>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4</v>
      </c>
      <c r="C50" s="654">
        <f t="shared" si="2"/>
        <v>3</v>
      </c>
      <c r="D50" s="654">
        <f t="shared" si="2"/>
        <v>280</v>
      </c>
      <c r="E50" s="654">
        <f t="shared" si="2"/>
        <v>306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1845</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qlffFCKw4cF5UBW1AX8KSsbVN6tyVZ4uicP9hsJZafTohVgd7PZX+q7GckZSPfHeYywDsw5/U8razqXVvgfZwg==" saltValue="NrsbxK09d5+d8fSA7BIF5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75" priority="2">
      <formula>OR(A14="Girder",A14="Girders",A14="Joist",A14="Joists",A14="Bridging")</formula>
    </cfRule>
    <cfRule type="expression" dxfId="774" priority="3">
      <formula>AND(P14&gt;0,ISBLANK(AF14),OR($R$1="",$R$1="M"))</formula>
    </cfRule>
    <cfRule type="expression" dxfId="773" priority="9">
      <formula>$AH14</formula>
    </cfRule>
  </conditionalFormatting>
  <conditionalFormatting sqref="H2:J4">
    <cfRule type="cellIs" dxfId="772" priority="7" stopIfTrue="1" operator="equal">
      <formula>""</formula>
    </cfRule>
  </conditionalFormatting>
  <conditionalFormatting sqref="B14:O49">
    <cfRule type="expression" dxfId="771" priority="4">
      <formula>IF($R$1="M",AND(B14&gt;R14,R14&gt;0),B14&lt;R14)</formula>
    </cfRule>
    <cfRule type="expression" dxfId="770" priority="5">
      <formula>OR(AND($R$1="M",NOT($S$1),B14=R14),B14="-")</formula>
    </cfRule>
    <cfRule type="expression" dxfId="769" priority="6">
      <formula>IF(NOT(ISBLANK($R$1)),IF($R$1="M",IF(ISTEXT(B14),0,B14)&lt;R14,IF(ISTEXT(B14),0,B14)&gt;R14))</formula>
    </cfRule>
    <cfRule type="expression" dxfId="768" priority="8">
      <formula>OR($AH14,B$63)</formula>
    </cfRule>
  </conditionalFormatting>
  <conditionalFormatting sqref="B13:O13">
    <cfRule type="expression" dxfId="767" priority="1">
      <formula>AND(NOT(ISBLANK(B$13)),ISERROR(MATCH(B$13,$AK:$AK,0)))</formula>
    </cfRule>
    <cfRule type="expression" dxfId="7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5C73BE8D-9199-425D-8720-CF5392A79CFA}">
      <formula1>B13=TRIM(B13)</formula1>
    </dataValidation>
    <dataValidation type="custom" allowBlank="1" showInputMessage="1" showErrorMessage="1" errorTitle="Input Error" error="Value can only be a positive integer OR a dash." sqref="B14:O49" xr:uid="{15EA2BBA-DFD4-47B3-B01C-0C8615183D9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8F813-BB0D-46E9-856A-FA86800D3F92}">
  <sheetPr codeName="Sheet27">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02" t="str">
        <f>IF(ISBLANK(R1),"",VLOOKUP(R1,'Job Info.'!X:AA,4,FALSE))</f>
        <v>Master</v>
      </c>
      <c r="I1" s="1802"/>
      <c r="J1" s="1802"/>
      <c r="K1" s="1898" t="s">
        <v>95</v>
      </c>
      <c r="L1" s="1898"/>
      <c r="M1" s="1898"/>
      <c r="N1" s="1891" t="str">
        <f ca="1">'Job Info.'!D12</f>
        <v>775-428-0600</v>
      </c>
      <c r="O1" s="189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92" t="str">
        <f>IF(ISBLANK(R1),"",IF(VLOOKUP(R1,'Job Info.'!X:Z,2,FALSE),"Released for Fabrication",""))</f>
        <v/>
      </c>
      <c r="I2" s="1893"/>
      <c r="J2" s="1894"/>
      <c r="K2" s="1898" t="s">
        <v>96</v>
      </c>
      <c r="L2" s="1898"/>
      <c r="M2" s="1898"/>
      <c r="N2" s="1891" t="str">
        <f ca="1">'Job Info.'!D13</f>
        <v>775-867-2140</v>
      </c>
      <c r="O2" s="1891"/>
      <c r="P2" s="474"/>
      <c r="AF2" s="378"/>
      <c r="AK2" s="1040" t="s">
        <v>808</v>
      </c>
    </row>
    <row r="3" spans="1:38" s="245" customFormat="1" ht="12.95" customHeight="1" x14ac:dyDescent="0.2">
      <c r="A3" s="374"/>
      <c r="B3" s="374"/>
      <c r="C3" s="374"/>
      <c r="D3" s="374"/>
      <c r="E3" s="374"/>
      <c r="F3" s="374"/>
      <c r="G3" s="374"/>
      <c r="H3" s="1810"/>
      <c r="I3" s="1811"/>
      <c r="J3" s="1812"/>
      <c r="K3" s="1898" t="s">
        <v>98</v>
      </c>
      <c r="L3" s="1898"/>
      <c r="M3" s="1898"/>
      <c r="N3" s="1891" t="str">
        <f ca="1">'Job Info.'!D14</f>
        <v>775-867-2169</v>
      </c>
      <c r="O3" s="1891"/>
      <c r="P3" s="474"/>
      <c r="AF3" s="378"/>
      <c r="AK3" s="1040" t="s">
        <v>1393</v>
      </c>
    </row>
    <row r="4" spans="1:38" s="245" customFormat="1" ht="12.95" customHeight="1" thickBot="1" x14ac:dyDescent="0.25">
      <c r="A4" s="374"/>
      <c r="B4" s="374"/>
      <c r="C4" s="374"/>
      <c r="D4" s="374"/>
      <c r="E4" s="374"/>
      <c r="F4" s="374"/>
      <c r="G4" s="374"/>
      <c r="H4" s="1895" t="str">
        <f>IF(ISBLANK(R1),"",IF(VLOOKUP(R1,'Job Info.'!X:Z,2,FALSE),VLOOKUP(R1,'Job Info.'!X:Z,3,FALSE),""))</f>
        <v/>
      </c>
      <c r="I4" s="1896"/>
      <c r="J4" s="1897"/>
      <c r="K4" s="1898" t="s">
        <v>97</v>
      </c>
      <c r="L4" s="1898"/>
      <c r="M4" s="1898"/>
      <c r="N4" s="1891" t="str">
        <f ca="1">'Job Info.'!D15</f>
        <v>775-867-2060</v>
      </c>
      <c r="O4" s="1891"/>
      <c r="P4" s="474"/>
      <c r="AF4" s="378"/>
      <c r="AK4" s="1040" t="s">
        <v>1394</v>
      </c>
    </row>
    <row r="5" spans="1:38" s="245" customFormat="1" ht="12.95" customHeight="1" thickTop="1" x14ac:dyDescent="0.2">
      <c r="A5" s="1816" t="str">
        <f ca="1">'Job Info.'!D11</f>
        <v>8200 Woolery Way | Fallon, NV 89406 | www.newmill.com</v>
      </c>
      <c r="B5" s="1816"/>
      <c r="C5" s="1816"/>
      <c r="D5" s="1816"/>
      <c r="E5" s="1816"/>
      <c r="F5" s="1816"/>
      <c r="G5" s="1816"/>
      <c r="H5" s="1816"/>
      <c r="I5" s="1816"/>
      <c r="J5" s="181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799">
        <f>IF(ISBLANK('Job Info.'!D8),"",'Job Info.'!D8)</f>
        <v>44909</v>
      </c>
      <c r="M6" s="179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14 of 28</v>
      </c>
      <c r="M7" s="658"/>
      <c r="N7" s="374"/>
      <c r="O7" s="374"/>
      <c r="P7" s="474"/>
      <c r="R7" s="1083">
        <v>14</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6" t="str">
        <f>IF(ISBLANK('Job Info.'!D3),"",'Job Info.'!D3)</f>
        <v>SUNCAP CHEYENNE&amp;COMMERCE BLDG A&amp;B PP</v>
      </c>
      <c r="C9" s="1796"/>
      <c r="D9" s="1796"/>
      <c r="E9" s="1796"/>
      <c r="F9" s="1796"/>
      <c r="G9" s="1797"/>
      <c r="H9" s="1847" t="s">
        <v>2</v>
      </c>
      <c r="I9" s="1847"/>
      <c r="J9" s="1796" t="str">
        <f>IF(ISBLANK('Job Info.'!D5),"",'Job Info.'!D5)</f>
        <v>9122-0050</v>
      </c>
      <c r="K9" s="1796"/>
      <c r="L9" s="1796"/>
      <c r="M9" s="1796"/>
      <c r="N9" s="1796"/>
      <c r="O9" s="1797"/>
      <c r="P9" s="22"/>
    </row>
    <row r="10" spans="1:38" ht="12.2" customHeight="1" x14ac:dyDescent="0.2">
      <c r="A10" s="471" t="s">
        <v>3</v>
      </c>
      <c r="B10" s="1796" t="str">
        <f>IF(ISBLANK('Job Info.'!D4),"",'Job Info.'!D4)</f>
        <v>LAS VEGAS, NV</v>
      </c>
      <c r="C10" s="1796"/>
      <c r="D10" s="1796"/>
      <c r="E10" s="1796"/>
      <c r="F10" s="1796"/>
      <c r="G10" s="1797"/>
      <c r="H10" s="1847" t="s">
        <v>22</v>
      </c>
      <c r="I10" s="1847"/>
      <c r="J10" s="1796" t="str">
        <f>IF(ISBLANK('Job Info.'!D6),"",'Job Info.'!D6)</f>
        <v>SA</v>
      </c>
      <c r="K10" s="1797"/>
      <c r="L10" s="1878" t="s">
        <v>23</v>
      </c>
      <c r="M10" s="1847"/>
      <c r="N10" s="1796" t="str">
        <f>IF(ISBLANK('Job Info.'!D7),"",'Job Info.'!D7)</f>
        <v>NR</v>
      </c>
      <c r="O10" s="1797"/>
      <c r="P10" s="22"/>
    </row>
    <row r="11" spans="1:38" ht="3.95" customHeight="1" x14ac:dyDescent="0.2">
      <c r="A11" s="1087"/>
      <c r="B11" s="19"/>
      <c r="C11" s="19"/>
      <c r="D11" s="19"/>
      <c r="E11" s="19"/>
      <c r="F11" s="19"/>
      <c r="G11" s="19"/>
      <c r="H11" s="19"/>
      <c r="I11" s="19"/>
      <c r="J11" s="19"/>
      <c r="K11" s="19"/>
      <c r="L11" s="19"/>
      <c r="M11" s="19"/>
      <c r="N11" s="19"/>
      <c r="O11" s="19"/>
      <c r="P11" s="22"/>
      <c r="R11" s="1879" t="s">
        <v>420</v>
      </c>
      <c r="S11" s="1880"/>
      <c r="T11" s="1880"/>
      <c r="U11" s="1880"/>
      <c r="V11" s="1880"/>
      <c r="W11" s="1880"/>
      <c r="X11" s="1880"/>
      <c r="Y11" s="1880"/>
      <c r="Z11" s="1880"/>
      <c r="AA11" s="1880"/>
      <c r="AB11" s="1880"/>
      <c r="AC11" s="1880"/>
      <c r="AD11" s="1880"/>
      <c r="AE11" s="1881"/>
      <c r="AF11" s="1873" t="s">
        <v>455</v>
      </c>
      <c r="AG11" s="1873" t="s">
        <v>456</v>
      </c>
      <c r="AH11" s="1873" t="s">
        <v>1101</v>
      </c>
    </row>
    <row r="12" spans="1:38" s="21" customFormat="1" ht="15.95" customHeight="1" x14ac:dyDescent="0.2">
      <c r="A12" s="1876" t="s">
        <v>40</v>
      </c>
      <c r="B12" s="1888" t="s">
        <v>56</v>
      </c>
      <c r="C12" s="1889"/>
      <c r="D12" s="1889"/>
      <c r="E12" s="1889"/>
      <c r="F12" s="1889"/>
      <c r="G12" s="1889"/>
      <c r="H12" s="1889"/>
      <c r="I12" s="1889"/>
      <c r="J12" s="1889"/>
      <c r="K12" s="1889"/>
      <c r="L12" s="1889"/>
      <c r="M12" s="1889"/>
      <c r="N12" s="1889"/>
      <c r="O12" s="1890"/>
      <c r="P12" s="22"/>
      <c r="R12" s="1882"/>
      <c r="S12" s="1883"/>
      <c r="T12" s="1883"/>
      <c r="U12" s="1883"/>
      <c r="V12" s="1883"/>
      <c r="W12" s="1883"/>
      <c r="X12" s="1883"/>
      <c r="Y12" s="1883"/>
      <c r="Z12" s="1883"/>
      <c r="AA12" s="1883"/>
      <c r="AB12" s="1883"/>
      <c r="AC12" s="1883"/>
      <c r="AD12" s="1883"/>
      <c r="AE12" s="1884"/>
      <c r="AF12" s="1874"/>
      <c r="AG12" s="1874"/>
      <c r="AH12" s="1874"/>
      <c r="AK12" s="1043"/>
    </row>
    <row r="13" spans="1:38" ht="15.95" customHeight="1" x14ac:dyDescent="0.2">
      <c r="A13" s="1877"/>
      <c r="B13" s="1501" t="s">
        <v>1392</v>
      </c>
      <c r="C13" s="1502" t="s">
        <v>808</v>
      </c>
      <c r="D13" s="1502" t="s">
        <v>1393</v>
      </c>
      <c r="E13" s="1502" t="s">
        <v>1394</v>
      </c>
      <c r="F13" s="1502"/>
      <c r="G13" s="1502"/>
      <c r="H13" s="1502"/>
      <c r="I13" s="1502"/>
      <c r="J13" s="1502"/>
      <c r="K13" s="1502"/>
      <c r="L13" s="1502"/>
      <c r="M13" s="1502"/>
      <c r="N13" s="1502"/>
      <c r="O13" s="1503"/>
      <c r="P13" s="656" t="s">
        <v>90</v>
      </c>
      <c r="R13" s="1885"/>
      <c r="S13" s="1886"/>
      <c r="T13" s="1886"/>
      <c r="U13" s="1886"/>
      <c r="V13" s="1886"/>
      <c r="W13" s="1886"/>
      <c r="X13" s="1886"/>
      <c r="Y13" s="1886"/>
      <c r="Z13" s="1886"/>
      <c r="AA13" s="1886"/>
      <c r="AB13" s="1886"/>
      <c r="AC13" s="1886"/>
      <c r="AD13" s="1886"/>
      <c r="AE13" s="1887"/>
      <c r="AF13" s="1875"/>
      <c r="AG13" s="1875"/>
      <c r="AH13" s="1875"/>
    </row>
    <row r="14" spans="1:38" ht="15.95" customHeight="1" x14ac:dyDescent="0.2">
      <c r="A14" s="1489" t="s">
        <v>1486</v>
      </c>
      <c r="B14" s="1490"/>
      <c r="C14" s="1491"/>
      <c r="D14" s="1491"/>
      <c r="E14" s="1491"/>
      <c r="F14" s="1491"/>
      <c r="G14" s="1491"/>
      <c r="H14" s="1491"/>
      <c r="I14" s="1491"/>
      <c r="J14" s="1491"/>
      <c r="K14" s="1491"/>
      <c r="L14" s="1491"/>
      <c r="M14" s="1491"/>
      <c r="N14" s="1491"/>
      <c r="O14" s="149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t="s">
        <v>1606</v>
      </c>
      <c r="B15" s="1494" t="s">
        <v>1397</v>
      </c>
      <c r="C15" s="1495" t="s">
        <v>1397</v>
      </c>
      <c r="D15" s="1495">
        <v>4</v>
      </c>
      <c r="E15" s="1495">
        <v>5</v>
      </c>
      <c r="F15" s="1495"/>
      <c r="G15" s="1495"/>
      <c r="H15" s="1495"/>
      <c r="I15" s="1495"/>
      <c r="J15" s="1495"/>
      <c r="K15" s="1495"/>
      <c r="L15" s="1495"/>
      <c r="M15" s="1495"/>
      <c r="N15" s="1495"/>
      <c r="O15" s="1496"/>
      <c r="P15" s="657">
        <f t="shared" si="0"/>
        <v>9</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3" t="s">
        <v>1607</v>
      </c>
      <c r="B16" s="1494" t="s">
        <v>1397</v>
      </c>
      <c r="C16" s="1495" t="s">
        <v>1397</v>
      </c>
      <c r="D16" s="1495">
        <v>22</v>
      </c>
      <c r="E16" s="1495">
        <v>28</v>
      </c>
      <c r="F16" s="1495"/>
      <c r="G16" s="1495"/>
      <c r="H16" s="1495"/>
      <c r="I16" s="1495"/>
      <c r="J16" s="1495"/>
      <c r="K16" s="1495"/>
      <c r="L16" s="1495"/>
      <c r="M16" s="1495"/>
      <c r="N16" s="1495"/>
      <c r="O16" s="1496"/>
      <c r="P16" s="657">
        <f t="shared" si="0"/>
        <v>50</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493" t="s">
        <v>1608</v>
      </c>
      <c r="B17" s="1494" t="s">
        <v>1397</v>
      </c>
      <c r="C17" s="1495" t="s">
        <v>1397</v>
      </c>
      <c r="D17" s="1495">
        <v>4</v>
      </c>
      <c r="E17" s="1495">
        <v>5</v>
      </c>
      <c r="F17" s="1495"/>
      <c r="G17" s="1495"/>
      <c r="H17" s="1495"/>
      <c r="I17" s="1495"/>
      <c r="J17" s="1495"/>
      <c r="K17" s="1495"/>
      <c r="L17" s="1495"/>
      <c r="M17" s="1495"/>
      <c r="N17" s="1495"/>
      <c r="O17" s="1496"/>
      <c r="P17" s="657">
        <f t="shared" si="0"/>
        <v>9</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493" t="s">
        <v>1609</v>
      </c>
      <c r="B18" s="1494" t="s">
        <v>1397</v>
      </c>
      <c r="C18" s="1495" t="s">
        <v>1397</v>
      </c>
      <c r="D18" s="1495" t="s">
        <v>1397</v>
      </c>
      <c r="E18" s="1495">
        <v>1</v>
      </c>
      <c r="F18" s="1495"/>
      <c r="G18" s="1495"/>
      <c r="H18" s="1495"/>
      <c r="I18" s="1495"/>
      <c r="J18" s="1495"/>
      <c r="K18" s="1495"/>
      <c r="L18" s="1495"/>
      <c r="M18" s="1495"/>
      <c r="N18" s="1495"/>
      <c r="O18" s="1496"/>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493" t="s">
        <v>1610</v>
      </c>
      <c r="B19" s="1494" t="s">
        <v>1397</v>
      </c>
      <c r="C19" s="1495" t="s">
        <v>1397</v>
      </c>
      <c r="D19" s="1495">
        <v>4</v>
      </c>
      <c r="E19" s="1495" t="s">
        <v>1397</v>
      </c>
      <c r="F19" s="1495"/>
      <c r="G19" s="1495"/>
      <c r="H19" s="1495"/>
      <c r="I19" s="1495"/>
      <c r="J19" s="1495"/>
      <c r="K19" s="1495"/>
      <c r="L19" s="1495"/>
      <c r="M19" s="1495"/>
      <c r="N19" s="1495"/>
      <c r="O19" s="1496"/>
      <c r="P19" s="657">
        <f t="shared" si="0"/>
        <v>4</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493" t="s">
        <v>1611</v>
      </c>
      <c r="B20" s="1494" t="s">
        <v>1397</v>
      </c>
      <c r="C20" s="1495" t="s">
        <v>1397</v>
      </c>
      <c r="D20" s="1495">
        <v>5</v>
      </c>
      <c r="E20" s="1495" t="s">
        <v>1397</v>
      </c>
      <c r="F20" s="1495"/>
      <c r="G20" s="1495"/>
      <c r="H20" s="1495"/>
      <c r="I20" s="1495"/>
      <c r="J20" s="1495"/>
      <c r="K20" s="1495"/>
      <c r="L20" s="1495"/>
      <c r="M20" s="1495"/>
      <c r="N20" s="1495"/>
      <c r="O20" s="1496"/>
      <c r="P20" s="657">
        <f t="shared" si="0"/>
        <v>5</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493" t="s">
        <v>1612</v>
      </c>
      <c r="B21" s="1494" t="s">
        <v>1397</v>
      </c>
      <c r="C21" s="1495" t="s">
        <v>1397</v>
      </c>
      <c r="D21" s="1495">
        <v>1</v>
      </c>
      <c r="E21" s="1495" t="s">
        <v>1397</v>
      </c>
      <c r="F21" s="1495"/>
      <c r="G21" s="1495"/>
      <c r="H21" s="1495"/>
      <c r="I21" s="1495"/>
      <c r="J21" s="1495"/>
      <c r="K21" s="1495"/>
      <c r="L21" s="1495"/>
      <c r="M21" s="1495"/>
      <c r="N21" s="1495"/>
      <c r="O21" s="1496"/>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493" t="s">
        <v>1613</v>
      </c>
      <c r="B22" s="1494" t="s">
        <v>1397</v>
      </c>
      <c r="C22" s="1495" t="s">
        <v>1397</v>
      </c>
      <c r="D22" s="1495">
        <v>1</v>
      </c>
      <c r="E22" s="1495" t="s">
        <v>1397</v>
      </c>
      <c r="F22" s="1495"/>
      <c r="G22" s="1495"/>
      <c r="H22" s="1495"/>
      <c r="I22" s="1495"/>
      <c r="J22" s="1495"/>
      <c r="K22" s="1495"/>
      <c r="L22" s="1495"/>
      <c r="M22" s="1495"/>
      <c r="N22" s="1495"/>
      <c r="O22" s="1496"/>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493" t="s">
        <v>1614</v>
      </c>
      <c r="B23" s="1494" t="s">
        <v>1397</v>
      </c>
      <c r="C23" s="1495" t="s">
        <v>1397</v>
      </c>
      <c r="D23" s="1495">
        <v>1</v>
      </c>
      <c r="E23" s="1495" t="s">
        <v>1397</v>
      </c>
      <c r="F23" s="1495"/>
      <c r="G23" s="1495"/>
      <c r="H23" s="1495"/>
      <c r="I23" s="1495"/>
      <c r="J23" s="1495"/>
      <c r="K23" s="1495"/>
      <c r="L23" s="1495"/>
      <c r="M23" s="1495"/>
      <c r="N23" s="1495"/>
      <c r="O23" s="1496"/>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493" t="s">
        <v>1615</v>
      </c>
      <c r="B24" s="1494" t="s">
        <v>1397</v>
      </c>
      <c r="C24" s="1495" t="s">
        <v>1397</v>
      </c>
      <c r="D24" s="1495">
        <v>22</v>
      </c>
      <c r="E24" s="1495" t="s">
        <v>1397</v>
      </c>
      <c r="F24" s="1495"/>
      <c r="G24" s="1495"/>
      <c r="H24" s="1495"/>
      <c r="I24" s="1495"/>
      <c r="J24" s="1495"/>
      <c r="K24" s="1495"/>
      <c r="L24" s="1495"/>
      <c r="M24" s="1495"/>
      <c r="N24" s="1495"/>
      <c r="O24" s="1496"/>
      <c r="P24" s="657">
        <f t="shared" si="0"/>
        <v>22</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493" t="s">
        <v>1616</v>
      </c>
      <c r="B25" s="1494" t="s">
        <v>1397</v>
      </c>
      <c r="C25" s="1495" t="s">
        <v>1397</v>
      </c>
      <c r="D25" s="1495">
        <v>2</v>
      </c>
      <c r="E25" s="1495" t="s">
        <v>1397</v>
      </c>
      <c r="F25" s="1495"/>
      <c r="G25" s="1495"/>
      <c r="H25" s="1495"/>
      <c r="I25" s="1495"/>
      <c r="J25" s="1495"/>
      <c r="K25" s="1495"/>
      <c r="L25" s="1495"/>
      <c r="M25" s="1495"/>
      <c r="N25" s="1495"/>
      <c r="O25" s="1496"/>
      <c r="P25" s="657">
        <f t="shared" si="0"/>
        <v>2</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493" t="s">
        <v>1617</v>
      </c>
      <c r="B26" s="1494" t="s">
        <v>1397</v>
      </c>
      <c r="C26" s="1495" t="s">
        <v>1397</v>
      </c>
      <c r="D26" s="1495">
        <v>2</v>
      </c>
      <c r="E26" s="1495" t="s">
        <v>1397</v>
      </c>
      <c r="F26" s="1495"/>
      <c r="G26" s="1495"/>
      <c r="H26" s="1495"/>
      <c r="I26" s="1495"/>
      <c r="J26" s="1495"/>
      <c r="K26" s="1495"/>
      <c r="L26" s="1495"/>
      <c r="M26" s="1495"/>
      <c r="N26" s="1495"/>
      <c r="O26" s="1496"/>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2656" t="s">
        <v>1618</v>
      </c>
      <c r="B27" s="2657" t="s">
        <v>1397</v>
      </c>
      <c r="C27" s="2658" t="s">
        <v>1397</v>
      </c>
      <c r="D27" s="2658">
        <v>2</v>
      </c>
      <c r="E27" s="2658" t="s">
        <v>1397</v>
      </c>
      <c r="F27" s="1495"/>
      <c r="G27" s="1495"/>
      <c r="H27" s="1495"/>
      <c r="I27" s="1495"/>
      <c r="J27" s="1495"/>
      <c r="K27" s="1495"/>
      <c r="L27" s="1495"/>
      <c r="M27" s="1495"/>
      <c r="N27" s="1495"/>
      <c r="O27" s="1496"/>
      <c r="P27" s="1785">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493" t="s">
        <v>1619</v>
      </c>
      <c r="B28" s="1494" t="s">
        <v>1397</v>
      </c>
      <c r="C28" s="1495" t="s">
        <v>1397</v>
      </c>
      <c r="D28" s="1495" t="s">
        <v>1397</v>
      </c>
      <c r="E28" s="1495">
        <v>8</v>
      </c>
      <c r="F28" s="1495"/>
      <c r="G28" s="1495"/>
      <c r="H28" s="1495"/>
      <c r="I28" s="1495"/>
      <c r="J28" s="1495"/>
      <c r="K28" s="1495"/>
      <c r="L28" s="1495"/>
      <c r="M28" s="1495"/>
      <c r="N28" s="1495"/>
      <c r="O28" s="1496"/>
      <c r="P28" s="657">
        <f t="shared" si="0"/>
        <v>8</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493" t="s">
        <v>1620</v>
      </c>
      <c r="B29" s="1494" t="s">
        <v>1397</v>
      </c>
      <c r="C29" s="1495" t="s">
        <v>1397</v>
      </c>
      <c r="D29" s="1495" t="s">
        <v>1397</v>
      </c>
      <c r="E29" s="1495">
        <v>2</v>
      </c>
      <c r="F29" s="1495"/>
      <c r="G29" s="1495"/>
      <c r="H29" s="1495"/>
      <c r="I29" s="1495"/>
      <c r="J29" s="1495"/>
      <c r="K29" s="1495"/>
      <c r="L29" s="1495"/>
      <c r="M29" s="1495"/>
      <c r="N29" s="1495"/>
      <c r="O29" s="1496"/>
      <c r="P29" s="657">
        <f t="shared" si="0"/>
        <v>2</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493" t="s">
        <v>1621</v>
      </c>
      <c r="B30" s="1494" t="s">
        <v>1397</v>
      </c>
      <c r="C30" s="1495" t="s">
        <v>1397</v>
      </c>
      <c r="D30" s="1495" t="s">
        <v>1397</v>
      </c>
      <c r="E30" s="1495">
        <v>2</v>
      </c>
      <c r="F30" s="1495"/>
      <c r="G30" s="1495"/>
      <c r="H30" s="1495"/>
      <c r="I30" s="1495"/>
      <c r="J30" s="1495"/>
      <c r="K30" s="1495"/>
      <c r="L30" s="1495"/>
      <c r="M30" s="1495"/>
      <c r="N30" s="1495"/>
      <c r="O30" s="1496"/>
      <c r="P30" s="657">
        <f t="shared" si="0"/>
        <v>2</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493" t="s">
        <v>1622</v>
      </c>
      <c r="B31" s="1494" t="s">
        <v>1397</v>
      </c>
      <c r="C31" s="1495" t="s">
        <v>1397</v>
      </c>
      <c r="D31" s="1495" t="s">
        <v>1397</v>
      </c>
      <c r="E31" s="1495">
        <v>2</v>
      </c>
      <c r="F31" s="1495"/>
      <c r="G31" s="1495"/>
      <c r="H31" s="1495"/>
      <c r="I31" s="1495"/>
      <c r="J31" s="1495"/>
      <c r="K31" s="1495"/>
      <c r="L31" s="1495"/>
      <c r="M31" s="1495"/>
      <c r="N31" s="1495"/>
      <c r="O31" s="1496"/>
      <c r="P31" s="657">
        <f t="shared" si="0"/>
        <v>2</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493" t="s">
        <v>1623</v>
      </c>
      <c r="B32" s="1494"/>
      <c r="C32" s="1495" t="s">
        <v>1397</v>
      </c>
      <c r="D32" s="1495">
        <v>3</v>
      </c>
      <c r="E32" s="1495" t="s">
        <v>1397</v>
      </c>
      <c r="F32" s="1495"/>
      <c r="G32" s="1495"/>
      <c r="H32" s="1495"/>
      <c r="I32" s="1495"/>
      <c r="J32" s="1495"/>
      <c r="K32" s="1495"/>
      <c r="L32" s="1495"/>
      <c r="M32" s="1495"/>
      <c r="N32" s="1495"/>
      <c r="O32" s="1496"/>
      <c r="P32" s="657">
        <f t="shared" si="0"/>
        <v>3</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493"/>
      <c r="B33" s="1494"/>
      <c r="C33" s="1495"/>
      <c r="D33" s="1495"/>
      <c r="E33" s="1495"/>
      <c r="F33" s="1495"/>
      <c r="G33" s="1495"/>
      <c r="H33" s="1495"/>
      <c r="I33" s="1495"/>
      <c r="J33" s="1495"/>
      <c r="K33" s="1495"/>
      <c r="L33" s="1495"/>
      <c r="M33" s="1495"/>
      <c r="N33" s="1495"/>
      <c r="O33" s="1496"/>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3" t="s">
        <v>1856</v>
      </c>
      <c r="B34" s="1494"/>
      <c r="C34" s="1495"/>
      <c r="D34" s="1495"/>
      <c r="E34" s="1495"/>
      <c r="F34" s="1495"/>
      <c r="G34" s="1495"/>
      <c r="H34" s="1495"/>
      <c r="I34" s="1495"/>
      <c r="J34" s="1495"/>
      <c r="K34" s="1495"/>
      <c r="L34" s="1495"/>
      <c r="M34" s="1495"/>
      <c r="N34" s="1495"/>
      <c r="O34" s="1496"/>
      <c r="P34" s="657">
        <f t="shared" si="0"/>
        <v>0</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3" t="s">
        <v>1855</v>
      </c>
      <c r="B35" s="1494">
        <v>9</v>
      </c>
      <c r="C35" s="1495">
        <v>49</v>
      </c>
      <c r="D35" s="1495">
        <v>9</v>
      </c>
      <c r="E35" s="1495"/>
      <c r="F35" s="1495"/>
      <c r="G35" s="1495"/>
      <c r="H35" s="1495"/>
      <c r="I35" s="1495"/>
      <c r="J35" s="1495"/>
      <c r="K35" s="1495"/>
      <c r="L35" s="1495"/>
      <c r="M35" s="1495"/>
      <c r="N35" s="1495"/>
      <c r="O35" s="1496"/>
      <c r="P35" s="657">
        <f t="shared" si="0"/>
        <v>67</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493" t="s">
        <v>1857</v>
      </c>
      <c r="B36" s="1494">
        <v>1278</v>
      </c>
      <c r="C36" s="1495">
        <v>1056</v>
      </c>
      <c r="D36" s="1495">
        <v>420</v>
      </c>
      <c r="E36" s="1495">
        <v>414</v>
      </c>
      <c r="F36" s="1495"/>
      <c r="G36" s="1495"/>
      <c r="H36" s="1495"/>
      <c r="I36" s="1495"/>
      <c r="J36" s="1495"/>
      <c r="K36" s="1495"/>
      <c r="L36" s="1495"/>
      <c r="M36" s="1495"/>
      <c r="N36" s="1495"/>
      <c r="O36" s="1496"/>
      <c r="P36" s="657">
        <f t="shared" si="0"/>
        <v>3168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3" t="s">
        <v>1858</v>
      </c>
      <c r="B37" s="1494">
        <v>497</v>
      </c>
      <c r="C37" s="1495">
        <v>574</v>
      </c>
      <c r="D37" s="1495">
        <v>1960</v>
      </c>
      <c r="E37" s="1495">
        <v>2030</v>
      </c>
      <c r="F37" s="1495"/>
      <c r="G37" s="1495"/>
      <c r="H37" s="1495"/>
      <c r="I37" s="1495"/>
      <c r="J37" s="1495"/>
      <c r="K37" s="1495"/>
      <c r="L37" s="1495"/>
      <c r="M37" s="1495"/>
      <c r="N37" s="1495"/>
      <c r="O37" s="1496"/>
      <c r="P37" s="657">
        <f t="shared" si="0"/>
        <v>5061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3"/>
      <c r="B38" s="1494"/>
      <c r="C38" s="1495"/>
      <c r="D38" s="1495"/>
      <c r="E38" s="1495"/>
      <c r="F38" s="1495"/>
      <c r="G38" s="1495"/>
      <c r="H38" s="1495"/>
      <c r="I38" s="1495"/>
      <c r="J38" s="1495"/>
      <c r="K38" s="1495"/>
      <c r="L38" s="1495"/>
      <c r="M38" s="1495"/>
      <c r="N38" s="1495"/>
      <c r="O38" s="1496"/>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3"/>
      <c r="B39" s="1494"/>
      <c r="C39" s="1495"/>
      <c r="D39" s="1495"/>
      <c r="E39" s="1495"/>
      <c r="F39" s="1495"/>
      <c r="G39" s="1495"/>
      <c r="H39" s="1495"/>
      <c r="I39" s="1495"/>
      <c r="J39" s="1495"/>
      <c r="K39" s="1495"/>
      <c r="L39" s="1495"/>
      <c r="M39" s="1495"/>
      <c r="N39" s="1495"/>
      <c r="O39" s="1496"/>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3"/>
      <c r="B40" s="1494"/>
      <c r="C40" s="1495"/>
      <c r="D40" s="1495"/>
      <c r="E40" s="1495"/>
      <c r="F40" s="1495"/>
      <c r="G40" s="1495"/>
      <c r="H40" s="1495"/>
      <c r="I40" s="1495"/>
      <c r="J40" s="1495"/>
      <c r="K40" s="1495"/>
      <c r="L40" s="1495"/>
      <c r="M40" s="1495"/>
      <c r="N40" s="1495"/>
      <c r="O40" s="1496"/>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3"/>
      <c r="B41" s="1494"/>
      <c r="C41" s="1495"/>
      <c r="D41" s="1495"/>
      <c r="E41" s="1495"/>
      <c r="F41" s="1495"/>
      <c r="G41" s="1495"/>
      <c r="H41" s="1495"/>
      <c r="I41" s="1495"/>
      <c r="J41" s="1495"/>
      <c r="K41" s="1495"/>
      <c r="L41" s="1495"/>
      <c r="M41" s="1495"/>
      <c r="N41" s="1495"/>
      <c r="O41" s="1496"/>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3"/>
      <c r="B42" s="1494"/>
      <c r="C42" s="1495"/>
      <c r="D42" s="1495"/>
      <c r="E42" s="1495"/>
      <c r="F42" s="1495"/>
      <c r="G42" s="1495"/>
      <c r="H42" s="1495"/>
      <c r="I42" s="1495"/>
      <c r="J42" s="1495"/>
      <c r="K42" s="1495"/>
      <c r="L42" s="1495"/>
      <c r="M42" s="1495"/>
      <c r="N42" s="1495"/>
      <c r="O42" s="1496"/>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3"/>
      <c r="B43" s="1494"/>
      <c r="C43" s="1495"/>
      <c r="D43" s="1495"/>
      <c r="E43" s="1495"/>
      <c r="F43" s="1495"/>
      <c r="G43" s="1495"/>
      <c r="H43" s="1495"/>
      <c r="I43" s="1495"/>
      <c r="J43" s="1495"/>
      <c r="K43" s="1495"/>
      <c r="L43" s="1495"/>
      <c r="M43" s="1495"/>
      <c r="N43" s="1495"/>
      <c r="O43" s="1496"/>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3"/>
      <c r="B44" s="1494"/>
      <c r="C44" s="1495"/>
      <c r="D44" s="1495"/>
      <c r="E44" s="1495"/>
      <c r="F44" s="1495"/>
      <c r="G44" s="1495"/>
      <c r="H44" s="1495"/>
      <c r="I44" s="1495"/>
      <c r="J44" s="1495"/>
      <c r="K44" s="1495"/>
      <c r="L44" s="1495"/>
      <c r="M44" s="1495"/>
      <c r="N44" s="1495"/>
      <c r="O44" s="1496"/>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3"/>
      <c r="B45" s="1494"/>
      <c r="C45" s="1495"/>
      <c r="D45" s="1495"/>
      <c r="E45" s="1495"/>
      <c r="F45" s="1495"/>
      <c r="G45" s="1495"/>
      <c r="H45" s="1495"/>
      <c r="I45" s="1495"/>
      <c r="J45" s="1495"/>
      <c r="K45" s="1495"/>
      <c r="L45" s="1495"/>
      <c r="M45" s="1495"/>
      <c r="N45" s="1495"/>
      <c r="O45" s="1496"/>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3"/>
      <c r="B46" s="1494"/>
      <c r="C46" s="1495"/>
      <c r="D46" s="1495"/>
      <c r="E46" s="1495"/>
      <c r="F46" s="1495"/>
      <c r="G46" s="1495"/>
      <c r="H46" s="1495"/>
      <c r="I46" s="1495"/>
      <c r="J46" s="1495"/>
      <c r="K46" s="1495"/>
      <c r="L46" s="1495"/>
      <c r="M46" s="1495"/>
      <c r="N46" s="1495"/>
      <c r="O46" s="1496"/>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3"/>
      <c r="B47" s="1494"/>
      <c r="C47" s="1495"/>
      <c r="D47" s="1495"/>
      <c r="E47" s="1495"/>
      <c r="F47" s="1495"/>
      <c r="G47" s="1495"/>
      <c r="H47" s="1495"/>
      <c r="I47" s="1495"/>
      <c r="J47" s="1495"/>
      <c r="K47" s="1495"/>
      <c r="L47" s="1495"/>
      <c r="M47" s="1495"/>
      <c r="N47" s="1495"/>
      <c r="O47" s="1496"/>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3"/>
      <c r="B48" s="1494"/>
      <c r="C48" s="1495"/>
      <c r="D48" s="1495"/>
      <c r="E48" s="1495"/>
      <c r="F48" s="1495"/>
      <c r="G48" s="1495"/>
      <c r="H48" s="1495"/>
      <c r="I48" s="1495"/>
      <c r="J48" s="1495"/>
      <c r="K48" s="1495"/>
      <c r="L48" s="1495"/>
      <c r="M48" s="1495"/>
      <c r="N48" s="1495"/>
      <c r="O48" s="1496"/>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7"/>
      <c r="B49" s="1498"/>
      <c r="C49" s="1499"/>
      <c r="D49" s="1499"/>
      <c r="E49" s="1499"/>
      <c r="F49" s="1499"/>
      <c r="G49" s="1499"/>
      <c r="H49" s="1499"/>
      <c r="I49" s="1499"/>
      <c r="J49" s="1499"/>
      <c r="K49" s="1499"/>
      <c r="L49" s="1499"/>
      <c r="M49" s="1499"/>
      <c r="N49" s="1499"/>
      <c r="O49" s="1500"/>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1784</v>
      </c>
      <c r="C50" s="654">
        <f t="shared" si="2"/>
        <v>1679</v>
      </c>
      <c r="D50" s="654">
        <f t="shared" si="2"/>
        <v>2462</v>
      </c>
      <c r="E50" s="654">
        <f t="shared" si="2"/>
        <v>2497</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snhqSr4QcGi+PvjkLDxr1v0aDZWIjRWITg9Mfs2Vd2eQHwqZmyHXUD4G+DfvPGml0CXPQvYU0kd9BKxCSdR07w==" saltValue="qVvjvjf2EHZNqUgT8NBI7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65" priority="2">
      <formula>OR(A14="Girder",A14="Girders",A14="Joist",A14="Joists",A14="Bridging")</formula>
    </cfRule>
    <cfRule type="expression" dxfId="764" priority="3">
      <formula>AND(P14&gt;0,ISBLANK(AF14),OR($R$1="",$R$1="M"))</formula>
    </cfRule>
    <cfRule type="expression" dxfId="763" priority="9">
      <formula>$AH14</formula>
    </cfRule>
  </conditionalFormatting>
  <conditionalFormatting sqref="H2:J4">
    <cfRule type="cellIs" dxfId="762" priority="7" stopIfTrue="1" operator="equal">
      <formula>""</formula>
    </cfRule>
  </conditionalFormatting>
  <conditionalFormatting sqref="B14:O49">
    <cfRule type="expression" dxfId="761" priority="4">
      <formula>IF($R$1="M",AND(B14&gt;R14,R14&gt;0),B14&lt;R14)</formula>
    </cfRule>
    <cfRule type="expression" dxfId="760" priority="5">
      <formula>OR(AND($R$1="M",NOT($S$1),B14=R14),B14="-")</formula>
    </cfRule>
    <cfRule type="expression" dxfId="759" priority="6">
      <formula>IF(NOT(ISBLANK($R$1)),IF($R$1="M",IF(ISTEXT(B14),0,B14)&lt;R14,IF(ISTEXT(B14),0,B14)&gt;R14))</formula>
    </cfRule>
    <cfRule type="expression" dxfId="758" priority="8">
      <formula>OR($AH14,B$63)</formula>
    </cfRule>
  </conditionalFormatting>
  <conditionalFormatting sqref="B13:O13">
    <cfRule type="expression" dxfId="757" priority="1">
      <formula>AND(NOT(ISBLANK(B$13)),ISERROR(MATCH(B$13,$AK:$AK,0)))</formula>
    </cfRule>
    <cfRule type="expression" dxfId="7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0501D5A-A747-4B78-AC05-DA82419ACAD5}">
      <formula1>B13=TRIM(B13)</formula1>
    </dataValidation>
    <dataValidation type="custom" allowBlank="1" showInputMessage="1" showErrorMessage="1" errorTitle="Input Error" error="Value can only be a positive integer OR a dash." sqref="B14:O49" xr:uid="{DFA762DC-A701-4FE2-B22A-E25777B0F9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17CF6-5A47-4BB5-8D1F-5BCF95CE6473}">
  <sheetPr codeName="Sheet33">
    <tabColor indexed="42"/>
  </sheetPr>
  <dimension ref="A1:JP92"/>
  <sheetViews>
    <sheetView showGridLines="0" topLeftCell="CH1" zoomScale="106" zoomScaleNormal="106" zoomScaleSheetLayoutView="50" workbookViewId="0">
      <selection activeCell="GG30" sqref="GG30"/>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2113" t="str">
        <f>Q1</f>
        <v>Master</v>
      </c>
      <c r="AV1" s="2113"/>
      <c r="AW1" s="2113"/>
      <c r="AX1" s="2113"/>
      <c r="AY1" s="382"/>
      <c r="AZ1" s="382"/>
      <c r="BA1" s="2117" t="s">
        <v>95</v>
      </c>
      <c r="BB1" s="2117"/>
      <c r="BC1" s="2117"/>
      <c r="BD1" s="1805" t="str">
        <f ca="1">'Job Info.'!D12</f>
        <v>775-428-0600</v>
      </c>
      <c r="BE1" s="1805"/>
      <c r="BF1" s="180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34" t="s">
        <v>40</v>
      </c>
      <c r="HB2" s="1935" t="s">
        <v>130</v>
      </c>
      <c r="HC2" s="1935" t="s">
        <v>31</v>
      </c>
      <c r="HD2" s="1935" t="s">
        <v>25</v>
      </c>
      <c r="HE2" s="1936"/>
      <c r="HF2" s="1937" t="s">
        <v>88</v>
      </c>
      <c r="HG2" s="1910" t="s">
        <v>9</v>
      </c>
      <c r="HH2" s="1908"/>
      <c r="HI2" s="1908"/>
      <c r="HJ2" s="1908" t="s">
        <v>10</v>
      </c>
      <c r="HK2" s="1908"/>
      <c r="HL2" s="1911"/>
      <c r="HM2" s="1938" t="s">
        <v>11</v>
      </c>
      <c r="HN2" s="1939"/>
      <c r="HO2" s="1940" t="s">
        <v>12</v>
      </c>
      <c r="HP2" s="1905"/>
      <c r="HQ2" s="1905" t="s">
        <v>13</v>
      </c>
      <c r="HR2" s="1906"/>
      <c r="HS2" s="1907" t="s">
        <v>14</v>
      </c>
      <c r="HT2" s="1908"/>
      <c r="HU2" s="1908"/>
      <c r="HV2" s="1908"/>
      <c r="HW2" s="1909"/>
      <c r="HX2" s="1910" t="s">
        <v>111</v>
      </c>
      <c r="HY2" s="1911"/>
      <c r="HZ2" s="1117" t="s">
        <v>15</v>
      </c>
      <c r="IA2" s="1912" t="s">
        <v>939</v>
      </c>
      <c r="IB2" s="243"/>
      <c r="IC2" s="243"/>
      <c r="ID2" s="243"/>
      <c r="IE2" s="243"/>
      <c r="IF2" s="2090" t="s">
        <v>62</v>
      </c>
      <c r="IG2" s="2120" t="s">
        <v>32</v>
      </c>
      <c r="IH2" s="2121"/>
      <c r="II2" s="1911" t="s">
        <v>34</v>
      </c>
      <c r="IJ2" s="2108"/>
      <c r="IK2" s="1910"/>
      <c r="IL2" s="2120" t="s">
        <v>35</v>
      </c>
      <c r="IM2" s="2121"/>
      <c r="IN2" s="2135" t="s">
        <v>63</v>
      </c>
      <c r="IO2" s="2104" t="s">
        <v>737</v>
      </c>
      <c r="IP2" s="2105"/>
      <c r="IQ2" s="2105"/>
      <c r="IR2" s="2105"/>
      <c r="IS2" s="2105"/>
      <c r="IT2" s="2106"/>
      <c r="IU2" s="2108" t="s">
        <v>82</v>
      </c>
      <c r="IV2" s="2108"/>
      <c r="IW2" s="2108"/>
      <c r="IX2" s="2108"/>
      <c r="IY2" s="2108"/>
      <c r="IZ2" s="2108"/>
      <c r="JA2" s="2108"/>
      <c r="JB2" s="2108"/>
      <c r="JC2" s="2108"/>
      <c r="JD2" s="2108"/>
      <c r="JE2" s="2108"/>
      <c r="JF2" s="2108"/>
      <c r="JG2" s="2108"/>
      <c r="JH2" s="2108"/>
      <c r="JI2" s="2108"/>
      <c r="JJ2" s="2132"/>
      <c r="JK2" s="2201"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66" t="s">
        <v>1107</v>
      </c>
      <c r="FH3" s="2167"/>
      <c r="FI3" s="2168"/>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34"/>
      <c r="HB3" s="1935"/>
      <c r="HC3" s="1935"/>
      <c r="HD3" s="1935"/>
      <c r="HE3" s="1936"/>
      <c r="HF3" s="1937"/>
      <c r="HG3" s="1914" t="s">
        <v>16</v>
      </c>
      <c r="HH3" s="1915"/>
      <c r="HI3" s="1103" t="s">
        <v>732</v>
      </c>
      <c r="HJ3" s="1915" t="s">
        <v>16</v>
      </c>
      <c r="HK3" s="1915"/>
      <c r="HL3" s="1065" t="s">
        <v>732</v>
      </c>
      <c r="HM3" s="1107" t="s">
        <v>18</v>
      </c>
      <c r="HN3" s="461" t="s">
        <v>19</v>
      </c>
      <c r="HO3" s="1940"/>
      <c r="HP3" s="1905"/>
      <c r="HQ3" s="1905"/>
      <c r="HR3" s="1906"/>
      <c r="HS3" s="1916" t="s">
        <v>80</v>
      </c>
      <c r="HT3" s="1915"/>
      <c r="HU3" s="1915" t="s">
        <v>81</v>
      </c>
      <c r="HV3" s="1915"/>
      <c r="HW3" s="461" t="s">
        <v>27</v>
      </c>
      <c r="HX3" s="1102" t="s">
        <v>112</v>
      </c>
      <c r="HY3" s="1065" t="s">
        <v>113</v>
      </c>
      <c r="HZ3" s="1118" t="s">
        <v>57</v>
      </c>
      <c r="IA3" s="1913"/>
      <c r="IB3" s="243"/>
      <c r="IC3" s="243"/>
      <c r="ID3" s="243"/>
      <c r="IE3" s="243"/>
      <c r="IF3" s="2091"/>
      <c r="IG3" s="2122"/>
      <c r="IH3" s="2123"/>
      <c r="II3" s="1103" t="s">
        <v>33</v>
      </c>
      <c r="IJ3" s="2109" t="s">
        <v>16</v>
      </c>
      <c r="IK3" s="1914"/>
      <c r="IL3" s="2122"/>
      <c r="IM3" s="2123"/>
      <c r="IN3" s="2136"/>
      <c r="IO3" s="1119" t="s">
        <v>738</v>
      </c>
      <c r="IP3" s="1104" t="s">
        <v>735</v>
      </c>
      <c r="IQ3" s="1104" t="s">
        <v>736</v>
      </c>
      <c r="IR3" s="1108" t="s">
        <v>60</v>
      </c>
      <c r="IS3" s="1106" t="s">
        <v>739</v>
      </c>
      <c r="IT3" s="1120" t="s">
        <v>740</v>
      </c>
      <c r="IU3" s="2131" t="s">
        <v>58</v>
      </c>
      <c r="IV3" s="1914"/>
      <c r="IW3" s="1121" t="s">
        <v>63</v>
      </c>
      <c r="IX3" s="1122" t="s">
        <v>59</v>
      </c>
      <c r="IY3" s="2130" t="s">
        <v>58</v>
      </c>
      <c r="IZ3" s="1916"/>
      <c r="JA3" s="1121" t="s">
        <v>63</v>
      </c>
      <c r="JB3" s="1122" t="s">
        <v>59</v>
      </c>
      <c r="JC3" s="2130" t="s">
        <v>58</v>
      </c>
      <c r="JD3" s="1916"/>
      <c r="JE3" s="1121" t="s">
        <v>63</v>
      </c>
      <c r="JF3" s="1122" t="s">
        <v>59</v>
      </c>
      <c r="JG3" s="2130" t="s">
        <v>58</v>
      </c>
      <c r="JH3" s="1916"/>
      <c r="JI3" s="1121" t="s">
        <v>63</v>
      </c>
      <c r="JJ3" s="1122" t="s">
        <v>59</v>
      </c>
      <c r="JK3" s="2202"/>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14" t="str">
        <f>Q4</f>
        <v/>
      </c>
      <c r="AV4" s="2115"/>
      <c r="AW4" s="2115"/>
      <c r="AX4" s="2116"/>
      <c r="AY4" s="382"/>
      <c r="AZ4" s="382"/>
      <c r="BA4" s="2117" t="s">
        <v>97</v>
      </c>
      <c r="BB4" s="2117"/>
      <c r="BC4" s="2117"/>
      <c r="BD4" s="1805" t="str">
        <f ca="1">'Job Info.'!D15</f>
        <v>775-867-2060</v>
      </c>
      <c r="BE4" s="1805"/>
      <c r="BF4" s="180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2" t="s">
        <v>597</v>
      </c>
      <c r="HB4" s="2111" t="s">
        <v>130</v>
      </c>
      <c r="HC4" s="2009" t="s">
        <v>478</v>
      </c>
      <c r="HD4" s="2011" t="s">
        <v>479</v>
      </c>
      <c r="HE4" s="2012"/>
      <c r="HF4" s="1928" t="s">
        <v>611</v>
      </c>
      <c r="HG4" s="1922" t="s">
        <v>595</v>
      </c>
      <c r="HH4" s="1923"/>
      <c r="HI4" s="1922" t="s">
        <v>596</v>
      </c>
      <c r="HJ4" s="1923"/>
      <c r="HK4" s="1926" t="s">
        <v>488</v>
      </c>
      <c r="HL4" s="1932" t="s">
        <v>612</v>
      </c>
      <c r="HM4" s="1928" t="s">
        <v>611</v>
      </c>
      <c r="HN4" s="1922" t="s">
        <v>595</v>
      </c>
      <c r="HO4" s="1923"/>
      <c r="HP4" s="1922" t="s">
        <v>596</v>
      </c>
      <c r="HQ4" s="1923"/>
      <c r="HR4" s="1926" t="s">
        <v>488</v>
      </c>
      <c r="HS4" s="1932" t="s">
        <v>612</v>
      </c>
      <c r="HT4" s="1930" t="s">
        <v>552</v>
      </c>
      <c r="HU4" s="2094" t="s">
        <v>480</v>
      </c>
      <c r="HV4" s="2095"/>
      <c r="HW4" s="2096" t="s">
        <v>1155</v>
      </c>
      <c r="HX4" s="2096" t="s">
        <v>481</v>
      </c>
      <c r="HY4" s="1917" t="s">
        <v>636</v>
      </c>
      <c r="HZ4" s="1919" t="s">
        <v>637</v>
      </c>
      <c r="IA4" s="1921" t="s">
        <v>805</v>
      </c>
      <c r="IB4" s="1921"/>
      <c r="IC4" s="2110" t="s">
        <v>1021</v>
      </c>
      <c r="ID4" s="2110"/>
      <c r="IE4" s="243"/>
      <c r="IF4" s="2205" t="s">
        <v>1062</v>
      </c>
      <c r="IG4" s="2182" t="s">
        <v>32</v>
      </c>
      <c r="IH4" s="2183"/>
      <c r="II4" s="2164" t="s">
        <v>34</v>
      </c>
      <c r="IJ4" s="2163" t="s">
        <v>489</v>
      </c>
      <c r="IK4" s="2175"/>
      <c r="IL4" s="2203" t="s">
        <v>600</v>
      </c>
      <c r="IM4" s="2203" t="s">
        <v>601</v>
      </c>
      <c r="IN4" s="2175" t="s">
        <v>602</v>
      </c>
      <c r="IO4" s="2175" t="s">
        <v>603</v>
      </c>
      <c r="IP4" s="2175" t="s">
        <v>604</v>
      </c>
      <c r="IQ4" s="2199" t="s">
        <v>605</v>
      </c>
      <c r="IR4" s="2200"/>
      <c r="IS4" s="2025" t="s">
        <v>598</v>
      </c>
      <c r="IT4" s="2026"/>
      <c r="IU4" s="2164" t="s">
        <v>609</v>
      </c>
      <c r="IV4" s="2162" t="s">
        <v>599</v>
      </c>
      <c r="IW4" s="2025" t="s">
        <v>598</v>
      </c>
      <c r="IX4" s="2026"/>
      <c r="IY4" s="2164" t="s">
        <v>609</v>
      </c>
      <c r="IZ4" s="2162" t="s">
        <v>599</v>
      </c>
      <c r="JA4" s="2025" t="s">
        <v>598</v>
      </c>
      <c r="JB4" s="2026"/>
      <c r="JC4" s="2164" t="s">
        <v>609</v>
      </c>
      <c r="JD4" s="2162" t="s">
        <v>599</v>
      </c>
      <c r="JE4" s="2025" t="s">
        <v>598</v>
      </c>
      <c r="JF4" s="2026"/>
      <c r="JG4" s="2164" t="s">
        <v>609</v>
      </c>
      <c r="JH4" s="2201" t="s">
        <v>599</v>
      </c>
      <c r="JK4" s="2201" t="s">
        <v>1160</v>
      </c>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118"/>
      <c r="AD5" s="2118"/>
      <c r="AE5" s="2118"/>
      <c r="AF5" s="2118"/>
      <c r="AG5" s="2118"/>
      <c r="AH5" s="2118"/>
      <c r="AI5" s="2118"/>
      <c r="AJ5" s="2118"/>
      <c r="AK5" s="2118"/>
      <c r="AL5" s="2118"/>
      <c r="AM5" s="2118"/>
      <c r="AN5" s="2118"/>
      <c r="AO5" s="2118"/>
      <c r="AP5" s="2118"/>
      <c r="AQ5" s="2118"/>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3"/>
      <c r="HB5" s="2112"/>
      <c r="HC5" s="2010"/>
      <c r="HD5" s="2013"/>
      <c r="HE5" s="1931"/>
      <c r="HF5" s="1929"/>
      <c r="HG5" s="1924"/>
      <c r="HH5" s="1925"/>
      <c r="HI5" s="1924"/>
      <c r="HJ5" s="1925"/>
      <c r="HK5" s="1927"/>
      <c r="HL5" s="1933"/>
      <c r="HM5" s="1929"/>
      <c r="HN5" s="1924"/>
      <c r="HO5" s="1925"/>
      <c r="HP5" s="1924"/>
      <c r="HQ5" s="1925"/>
      <c r="HR5" s="1927"/>
      <c r="HS5" s="1933"/>
      <c r="HT5" s="1931"/>
      <c r="HU5" s="128" t="s">
        <v>418</v>
      </c>
      <c r="HV5" s="129" t="s">
        <v>553</v>
      </c>
      <c r="HW5" s="2097"/>
      <c r="HX5" s="2097"/>
      <c r="HY5" s="1918"/>
      <c r="HZ5" s="1920"/>
      <c r="IA5" s="810" t="s">
        <v>606</v>
      </c>
      <c r="IB5" s="811" t="s">
        <v>607</v>
      </c>
      <c r="IC5" s="496" t="s">
        <v>606</v>
      </c>
      <c r="ID5" s="497" t="s">
        <v>607</v>
      </c>
      <c r="IE5" s="243"/>
      <c r="IF5" s="2206"/>
      <c r="IG5" s="2184"/>
      <c r="IH5" s="2185"/>
      <c r="II5" s="2165"/>
      <c r="IJ5" s="2176"/>
      <c r="IK5" s="2177"/>
      <c r="IL5" s="2204"/>
      <c r="IM5" s="2204"/>
      <c r="IN5" s="2177"/>
      <c r="IO5" s="2177"/>
      <c r="IP5" s="2177"/>
      <c r="IQ5" s="520" t="s">
        <v>606</v>
      </c>
      <c r="IR5" s="521" t="s">
        <v>607</v>
      </c>
      <c r="IS5" s="545" t="s">
        <v>633</v>
      </c>
      <c r="IT5" s="546" t="s">
        <v>608</v>
      </c>
      <c r="IU5" s="2165"/>
      <c r="IV5" s="2163"/>
      <c r="IW5" s="545" t="s">
        <v>633</v>
      </c>
      <c r="IX5" s="546" t="s">
        <v>608</v>
      </c>
      <c r="IY5" s="2165"/>
      <c r="IZ5" s="2163"/>
      <c r="JA5" s="545" t="s">
        <v>633</v>
      </c>
      <c r="JB5" s="546" t="s">
        <v>608</v>
      </c>
      <c r="JC5" s="2165"/>
      <c r="JD5" s="2163"/>
      <c r="JE5" s="545" t="s">
        <v>633</v>
      </c>
      <c r="JF5" s="546" t="s">
        <v>608</v>
      </c>
      <c r="JG5" s="2165"/>
      <c r="JH5" s="2202"/>
      <c r="JK5" s="2202"/>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55" t="s">
        <v>639</v>
      </c>
      <c r="DI6" s="2191"/>
      <c r="DJ6" s="2191"/>
      <c r="DK6" s="2191"/>
      <c r="DL6" s="2191"/>
      <c r="DM6" s="2191"/>
      <c r="DN6" s="2191"/>
      <c r="DO6" s="2191"/>
      <c r="DP6" s="2191"/>
      <c r="DQ6" s="2191"/>
      <c r="DR6" s="2191"/>
      <c r="DS6" s="2191"/>
      <c r="DT6" s="2191"/>
      <c r="DU6" s="2191"/>
      <c r="DV6" s="2191"/>
      <c r="DW6" s="2191"/>
      <c r="DX6" s="2191"/>
      <c r="DY6" s="2191"/>
      <c r="DZ6" s="2191"/>
      <c r="EA6" s="2191"/>
      <c r="EB6" s="2191"/>
      <c r="EC6" s="2191"/>
      <c r="ED6" s="2191"/>
      <c r="EE6" s="2191"/>
      <c r="EF6" s="2191"/>
      <c r="EG6" s="2191"/>
      <c r="EH6" s="2191"/>
      <c r="EI6" s="2191"/>
      <c r="EJ6" s="2191"/>
      <c r="EK6" s="2192"/>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25" t="s">
        <v>26</v>
      </c>
      <c r="L7" s="2134"/>
      <c r="M7" s="2746" t="str">
        <f>IF(ISBLANK(DA20),"",DA20)</f>
        <v>Gray Primer</v>
      </c>
      <c r="N7" s="2747"/>
      <c r="O7" s="2747"/>
      <c r="P7" s="2747"/>
      <c r="Q7" s="2747"/>
      <c r="R7" s="2747"/>
      <c r="S7" s="2747"/>
      <c r="T7"/>
      <c r="U7"/>
      <c r="V7" s="2125" t="s">
        <v>21</v>
      </c>
      <c r="W7" s="2125"/>
      <c r="X7" s="1176" t="str">
        <f>CONCATENATE(BI7, " of ",IF(ISBLANK('Job Info.'!D9),"",'Job Info.'!D9))</f>
        <v>15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16 of 28</v>
      </c>
      <c r="BC7" s="658"/>
      <c r="BD7" s="658"/>
      <c r="BE7" s="374"/>
      <c r="BF7" s="374"/>
      <c r="BG7" s="374"/>
      <c r="BH7" s="261"/>
      <c r="BI7" s="1083">
        <v>15</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193"/>
      <c r="DI7" s="2194"/>
      <c r="DJ7" s="2194"/>
      <c r="DK7" s="2194"/>
      <c r="DL7" s="2194"/>
      <c r="DM7" s="2194"/>
      <c r="DN7" s="2194"/>
      <c r="DO7" s="2194"/>
      <c r="DP7" s="2194"/>
      <c r="DQ7" s="2194"/>
      <c r="DR7" s="2194"/>
      <c r="DS7" s="2194"/>
      <c r="DT7" s="2194"/>
      <c r="DU7" s="2194"/>
      <c r="DV7" s="2194"/>
      <c r="DW7" s="2194"/>
      <c r="DX7" s="2194"/>
      <c r="DY7" s="2194"/>
      <c r="DZ7" s="2194"/>
      <c r="EA7" s="2194"/>
      <c r="EB7" s="2194"/>
      <c r="EC7" s="2194"/>
      <c r="ED7" s="2194"/>
      <c r="EE7" s="2194"/>
      <c r="EF7" s="2194"/>
      <c r="EG7" s="2194"/>
      <c r="EH7" s="2194"/>
      <c r="EI7" s="2194"/>
      <c r="EJ7" s="2194"/>
      <c r="EK7" s="2195"/>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124"/>
      <c r="B8" s="2124"/>
      <c r="C8" s="2124"/>
      <c r="D8" s="2124"/>
      <c r="E8" s="2124"/>
      <c r="F8" s="2124"/>
      <c r="G8" s="2124"/>
      <c r="H8" s="2124"/>
      <c r="I8" s="2124"/>
      <c r="J8" s="2124"/>
      <c r="K8" s="2124"/>
      <c r="L8" s="2124"/>
      <c r="M8" s="2124"/>
      <c r="N8" s="2124"/>
      <c r="O8" s="2124"/>
      <c r="P8" s="2124"/>
      <c r="Q8" s="2124"/>
      <c r="R8" s="2124"/>
      <c r="S8" s="2124"/>
      <c r="T8" s="2124"/>
      <c r="U8" s="2124"/>
      <c r="V8" s="2124"/>
      <c r="W8" s="2124"/>
      <c r="X8" s="2124"/>
      <c r="Y8" s="2124"/>
      <c r="Z8" s="2124"/>
      <c r="AA8" s="2124"/>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196"/>
      <c r="DI8" s="2197"/>
      <c r="DJ8" s="2197"/>
      <c r="DK8" s="2197"/>
      <c r="DL8" s="2197"/>
      <c r="DM8" s="2197"/>
      <c r="DN8" s="2197"/>
      <c r="DO8" s="2197"/>
      <c r="DP8" s="2197"/>
      <c r="DQ8" s="2197"/>
      <c r="DR8" s="2197"/>
      <c r="DS8" s="2197"/>
      <c r="DT8" s="2197"/>
      <c r="DU8" s="2197"/>
      <c r="DV8" s="2197"/>
      <c r="DW8" s="2197"/>
      <c r="DX8" s="2197"/>
      <c r="DY8" s="2197"/>
      <c r="DZ8" s="2197"/>
      <c r="EA8" s="2197"/>
      <c r="EB8" s="2197"/>
      <c r="EC8" s="2197"/>
      <c r="ED8" s="2197"/>
      <c r="EE8" s="2197"/>
      <c r="EF8" s="2197"/>
      <c r="EG8" s="2197"/>
      <c r="EH8" s="2197"/>
      <c r="EI8" s="2197"/>
      <c r="EJ8" s="2197"/>
      <c r="EK8" s="2198"/>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133"/>
      <c r="AD9" s="1878"/>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6" t="str">
        <f>T9</f>
        <v>9122-0050</v>
      </c>
      <c r="AY9" s="1796"/>
      <c r="AZ9" s="1796"/>
      <c r="BA9" s="1796"/>
      <c r="BB9" s="1796"/>
      <c r="BC9" s="1796"/>
      <c r="BD9" s="1796"/>
      <c r="BE9" s="1796"/>
      <c r="BF9" s="1796"/>
      <c r="BG9" s="1797"/>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133"/>
      <c r="AD10" s="1878"/>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6" t="str">
        <f>Z10</f>
        <v>NR</v>
      </c>
      <c r="BF10" s="1796"/>
      <c r="BG10" s="1797"/>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73"/>
      <c r="DI11" s="2241"/>
      <c r="DJ11" s="1971"/>
      <c r="DK11" s="1971"/>
      <c r="DL11" s="1971"/>
      <c r="DM11" s="1971"/>
      <c r="DN11" s="2242"/>
      <c r="DO11" s="2170"/>
      <c r="DP11" s="2209"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108" t="s">
        <v>82</v>
      </c>
      <c r="AS12" s="2108"/>
      <c r="AT12" s="2108"/>
      <c r="AU12" s="2108"/>
      <c r="AV12" s="2108"/>
      <c r="AW12" s="2108"/>
      <c r="AX12" s="2108"/>
      <c r="AY12" s="2108"/>
      <c r="AZ12" s="2108"/>
      <c r="BA12" s="2108"/>
      <c r="BB12" s="2108"/>
      <c r="BC12" s="2108"/>
      <c r="BD12" s="2108"/>
      <c r="BE12" s="2108"/>
      <c r="BF12" s="2108"/>
      <c r="BG12" s="2132"/>
      <c r="BH12" s="261"/>
      <c r="BJ12" s="117"/>
      <c r="BK12" s="117"/>
      <c r="BL12" s="117"/>
      <c r="BM12" s="117"/>
      <c r="BN12" s="117"/>
      <c r="BO12" s="117"/>
      <c r="BW12" s="2137" t="s">
        <v>630</v>
      </c>
      <c r="BX12" s="2138"/>
      <c r="BY12" s="2138"/>
      <c r="BZ12" s="2139"/>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73"/>
      <c r="DI12" s="2180" t="s">
        <v>1289</v>
      </c>
      <c r="DJ12" s="2182" t="s">
        <v>32</v>
      </c>
      <c r="DK12" s="2183"/>
      <c r="DL12" s="2164" t="s">
        <v>34</v>
      </c>
      <c r="DM12" s="2163" t="s">
        <v>489</v>
      </c>
      <c r="DN12" s="2175"/>
      <c r="DO12" s="2170"/>
      <c r="DP12" s="2209"/>
      <c r="DQ12" s="2186" t="s">
        <v>602</v>
      </c>
      <c r="DR12" s="2211"/>
      <c r="DS12" s="2186" t="s">
        <v>604</v>
      </c>
      <c r="DT12" s="2188" t="s">
        <v>605</v>
      </c>
      <c r="DU12" s="2189"/>
      <c r="DV12" s="2025" t="s">
        <v>598</v>
      </c>
      <c r="DW12" s="2026"/>
      <c r="DX12" s="2021" t="s">
        <v>1287</v>
      </c>
      <c r="DY12" s="2178" t="s">
        <v>1288</v>
      </c>
      <c r="DZ12" s="2025" t="s">
        <v>598</v>
      </c>
      <c r="EA12" s="2026"/>
      <c r="EB12" s="2021" t="s">
        <v>1287</v>
      </c>
      <c r="EC12" s="2178" t="s">
        <v>1288</v>
      </c>
      <c r="ED12" s="2025" t="s">
        <v>598</v>
      </c>
      <c r="EE12" s="2026"/>
      <c r="EF12" s="2021" t="s">
        <v>1287</v>
      </c>
      <c r="EG12" s="2178" t="s">
        <v>1288</v>
      </c>
      <c r="EH12" s="2025" t="s">
        <v>598</v>
      </c>
      <c r="EI12" s="2026"/>
      <c r="EJ12" s="2021" t="s">
        <v>1287</v>
      </c>
      <c r="EK12" s="2023" t="s">
        <v>1288</v>
      </c>
      <c r="EL12" s="141"/>
      <c r="EM12" s="2190"/>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34"/>
      <c r="AC13" s="2091"/>
      <c r="AD13" s="2122"/>
      <c r="AE13" s="2123"/>
      <c r="AF13" s="1103" t="s">
        <v>33</v>
      </c>
      <c r="AG13" s="2109" t="s">
        <v>16</v>
      </c>
      <c r="AH13" s="1914"/>
      <c r="AI13" s="2122"/>
      <c r="AJ13" s="2123"/>
      <c r="AK13" s="2136"/>
      <c r="AL13" s="1119" t="s">
        <v>738</v>
      </c>
      <c r="AM13" s="1104" t="s">
        <v>735</v>
      </c>
      <c r="AN13" s="1104" t="s">
        <v>736</v>
      </c>
      <c r="AO13" s="1108"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74"/>
      <c r="DI13" s="2181"/>
      <c r="DJ13" s="2184"/>
      <c r="DK13" s="2185"/>
      <c r="DL13" s="2165"/>
      <c r="DM13" s="2176"/>
      <c r="DN13" s="2177"/>
      <c r="DO13" s="2171"/>
      <c r="DP13" s="2210"/>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141"/>
      <c r="EM13" s="2190"/>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2718" t="str">
        <f>IF(ISBLANK(DH14),"",DH14)</f>
        <v>G1</v>
      </c>
      <c r="AC14" s="2719" t="str">
        <f t="shared" ref="AC14:AC45" si="3">IF(ISBLANK(DI14),"",UPPER(DI14))</f>
        <v>B</v>
      </c>
      <c r="AD14" s="2720">
        <f>IF(ISERROR(FV54),"",IF(FV54="","",TRUNC(FV54/12)))</f>
        <v>3</v>
      </c>
      <c r="AE14" s="2721">
        <f>IF(ISERROR(FV54),"",IF(FV54="","",FV54-(AD14*12)))</f>
        <v>10</v>
      </c>
      <c r="AF14" s="2719">
        <f>IF(ISERROR(FO54),"",IF(FO54="","",FO54))</f>
        <v>5</v>
      </c>
      <c r="AG14" s="2720">
        <f>IF(ISERROR(FX54),"",IF(FX54="","",TRUNC(FX54/12)))</f>
        <v>8</v>
      </c>
      <c r="AH14" s="2721">
        <f>IF(ISERROR(FX54),"",IF(FX54="","",FX54-(AG14*12)))</f>
        <v>0</v>
      </c>
      <c r="AI14" s="2720">
        <f>IF(ISERROR(FZ54),"",IF(FZ54="","",TRUNC(FZ54/12)))</f>
        <v>6</v>
      </c>
      <c r="AJ14" s="2721">
        <f>IF(ISERROR(FZ54),"",IF(FZ54="","",FZ54-(AI14*12)))</f>
        <v>5.5</v>
      </c>
      <c r="AK14" s="2722" t="str">
        <f>IF(ISBLANK(DO14),"",DO14)</f>
        <v/>
      </c>
      <c r="AL14" s="2723" t="str">
        <f t="shared" ref="AL14:AL45" si="4">IF(ISBLANK(DP14),"",UPPER(DP14))</f>
        <v/>
      </c>
      <c r="AM14" s="2724">
        <f>IF(ISBLANK(DQ14),"",DQ14)</f>
        <v>5</v>
      </c>
      <c r="AN14" s="2719">
        <f>IF(ISBLANK(DR14),"",DR14)</f>
        <v>13</v>
      </c>
      <c r="AO14" s="2725">
        <f>IF(ISBLANK(DS14),"",DS14)</f>
        <v>4</v>
      </c>
      <c r="AP14" s="2726" t="str">
        <f t="shared" ref="AP14:AQ45" si="5">IF(ISERROR(GD54),"ERR",IF(OR(GD54="",GD54=0),"",GD54))</f>
        <v/>
      </c>
      <c r="AQ14" s="2727" t="str">
        <f t="shared" si="5"/>
        <v/>
      </c>
      <c r="AR14" s="2728" t="str">
        <f>IF(ISERROR(GF54),"ERR",IF(GF54="","",IF(ISTEXT(GF54),"P",TRUNC(GF54/12))))</f>
        <v>P</v>
      </c>
      <c r="AS14" s="2721" t="str">
        <f>IF(ISERROR(GF54),"",IF(GF54="","",IF(AR14="P",GF54,GF54-(AR14*12))))</f>
        <v>#1</v>
      </c>
      <c r="AT14" s="2729" t="str">
        <f>IF(ISBLANK(DX14),"",DX14)</f>
        <v/>
      </c>
      <c r="AU14" s="2730" t="str">
        <f t="shared" ref="AU14:AU45" si="6">IF(ISBLANK(DY14),"",UPPER(DY14))</f>
        <v>B</v>
      </c>
      <c r="AV14" s="2678" t="str">
        <f>IF(ISERROR(GG54),"ERR",IF(GG54="","",IF(ISTEXT(GG54),"P",TRUNC(GG54/12))))</f>
        <v/>
      </c>
      <c r="AW14" s="2721" t="str">
        <f>IF(ISERROR(GG54),"",IF(GG54="","",IF(AV14="P",GG54,GG54-(AV14*12))))</f>
        <v/>
      </c>
      <c r="AX14" s="2729" t="str">
        <f>IF(ISBLANK(EB14),"",EB14)</f>
        <v/>
      </c>
      <c r="AY14" s="2730" t="str">
        <f t="shared" ref="AY14:AY45" si="7">IF(ISBLANK(EC14),"",UPPER(EC14))</f>
        <v/>
      </c>
      <c r="AZ14" s="2678" t="str">
        <f>IF(ISERROR(GH54),"ERR",IF(GH54="","",IF(ISTEXT(GH54),"P",TRUNC(GH54/12))))</f>
        <v/>
      </c>
      <c r="BA14" s="2721" t="str">
        <f>IF(ISERROR(GH54),"",IF(GH54="","",IF(AZ14="P",GH54,GH54-(AZ14*12))))</f>
        <v/>
      </c>
      <c r="BB14" s="2729" t="str">
        <f>IF(ISBLANK(EF14),"",EF14)</f>
        <v/>
      </c>
      <c r="BC14" s="2730" t="str">
        <f t="shared" ref="BC14:BC45" si="8">IF(ISBLANK(EG14),"",UPPER(EG14))</f>
        <v/>
      </c>
      <c r="BD14" s="2678" t="str">
        <f>IF(ISERROR(GI54),"ERR",IF(GI54="","",IF(ISTEXT(GI54),"P",TRUNC(GI54/12))))</f>
        <v/>
      </c>
      <c r="BE14" s="2721" t="str">
        <f>IF(ISERROR(GI54),"",IF(GI54="","",IF(BD14="P",GI54,GI54-(BD14*12))))</f>
        <v/>
      </c>
      <c r="BF14" s="2729" t="str">
        <f>IF(ISBLANK(EJ14),"",EJ14)</f>
        <v/>
      </c>
      <c r="BG14" s="2731" t="str">
        <f t="shared" ref="BG14:BG45" si="9">IF(ISBLANK(EK14),"",UPPER(EK14))</f>
        <v/>
      </c>
      <c r="BH14" s="261"/>
      <c r="BJ14" s="143"/>
      <c r="BL14" s="1782"/>
      <c r="BW14" s="991">
        <f>IF(AB14="",0,1)+IF(AC14="",0,1)+IF(AD14="",0,1)+IF(AE14="",0,1)+IF(AF14="",0,1)+IF(AG14="",0,1)+IF(AH14="",0,1)+IF(AI14="",0,1)+IF(AJ14="",0,1)+IF(AK14="",0,1)+IF(AL14="",0,1)+IF(AM14="",0,1)+IF(AN14="",0,1)+IF(AO14="",0,1)+IF(AP14="",0,1)+IF(AQ14="",0,1)+IF(AR14="",0,1)+IF(AS14="",0,1)+IF(AT14="",0,1)+IF(AU14="",0,1)+IF(AV14="",0,1)+IF(AW14="",0,1)+IF(AX14="",0,1)+IF(AY14="",0,1)+IF(AZ14="",0,1)+IF(BA14="",0,1)+IF(BB14="",0,1)+IF(BC14="",0,1)+IF(BD14="",0,1)+IF(BE14="",0,1)+IF(BF14="",0,1)+IF(BG14="",0,1)</f>
        <v>15</v>
      </c>
      <c r="BX14" s="994" t="str">
        <f>AB14</f>
        <v>G1</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t="s">
        <v>1396</v>
      </c>
      <c r="DI14" s="665" t="s">
        <v>35</v>
      </c>
      <c r="DJ14" s="690">
        <v>4</v>
      </c>
      <c r="DK14" s="1331">
        <v>0</v>
      </c>
      <c r="DL14" s="666">
        <v>5</v>
      </c>
      <c r="DM14" s="691">
        <v>8</v>
      </c>
      <c r="DN14" s="1334">
        <v>0</v>
      </c>
      <c r="DO14" s="667"/>
      <c r="DP14" s="668"/>
      <c r="DQ14" s="1419">
        <v>5</v>
      </c>
      <c r="DR14" s="669">
        <v>13</v>
      </c>
      <c r="DS14" s="1611">
        <v>4</v>
      </c>
      <c r="DT14" s="1605"/>
      <c r="DU14" s="1606"/>
      <c r="DV14" s="678" t="s">
        <v>1018</v>
      </c>
      <c r="DW14" s="1337" t="s">
        <v>1705</v>
      </c>
      <c r="DX14" s="670"/>
      <c r="DY14" s="666" t="s">
        <v>35</v>
      </c>
      <c r="DZ14" s="2661"/>
      <c r="EA14" s="2662"/>
      <c r="EB14" s="670"/>
      <c r="EC14" s="2663"/>
      <c r="ED14" s="678"/>
      <c r="EE14" s="1339"/>
      <c r="EF14" s="670"/>
      <c r="EG14" s="666"/>
      <c r="EH14" s="678"/>
      <c r="EI14" s="1339"/>
      <c r="EJ14" s="670"/>
      <c r="EK14" s="671"/>
      <c r="EL14" s="929"/>
      <c r="EM14" s="1004"/>
      <c r="EN14" s="141"/>
      <c r="EO14" s="141"/>
      <c r="EP14" s="928"/>
      <c r="EQ14" s="141"/>
      <c r="ER14" s="141"/>
      <c r="ES14" s="141"/>
      <c r="ET14" s="141"/>
      <c r="EU14" s="141"/>
      <c r="EX14" s="503" t="str">
        <f>CONCATENATE(BX14,AC14)</f>
        <v>G1B</v>
      </c>
      <c r="EY14" s="940" t="b">
        <f t="shared" ref="EY14:EY45" ca="1" si="10">IF(OR(ISBLANK(AB14),AB14=""),"",VLOOKUP(LEFT(EX14,LEN(EX14)-1),$BJ$28:$BO$45,6,FALSE)=SUMIF($EX$14:$EX$45,EX14,$AF$14:$AF$45)+2)</f>
        <v>1</v>
      </c>
      <c r="EZ14" s="940">
        <f>IF(AB14="","",IF(VLOOKUP(BX14,$A$28:$F$45,6,FALSE)="",0,HLOOKUP(VLOOKUP(BX14,$A$28:$F$45,6,FALSE),$FG$4:$FI$5,2,TRUE)))</f>
        <v>5</v>
      </c>
      <c r="FA14" s="958" t="b">
        <f ca="1">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603.5</v>
      </c>
      <c r="FC14" s="134">
        <f t="shared" ref="FC14:FC45" si="11">IF(ISNUMBER(AD14),AD14,0)*12+IF(ISNUMBER(AE14),AE14,0)</f>
        <v>46</v>
      </c>
      <c r="FD14" s="134">
        <f t="shared" ref="FD14:FD45" si="12">IF(ISNUMBER(AF14),AF14,0)*(IF(ISNUMBER(AG14),AG14,0)*12+IF(ISNUMBER(AH14),AH14,0))</f>
        <v>480</v>
      </c>
      <c r="FE14" s="134">
        <f t="shared" ref="FE14:FE45" si="13">IF(ISNUMBER(AI14),AI14,0)*12+IF(ISNUMBER(AJ14),AJ14,0)</f>
        <v>77.5</v>
      </c>
      <c r="FF14" s="134">
        <f>SUM(FC14:FE14)+IF(FE14=0,FF15,0)</f>
        <v>603.5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t="s">
        <v>1396</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t="s">
        <v>1018</v>
      </c>
      <c r="IX14" s="1260" t="s">
        <v>1706</v>
      </c>
      <c r="IY14" s="1258"/>
      <c r="IZ14" s="1258" t="s">
        <v>1707</v>
      </c>
      <c r="JA14" s="1259"/>
      <c r="JB14" s="1260"/>
      <c r="JC14" s="1258"/>
      <c r="JD14" s="1258"/>
      <c r="JE14" s="1259"/>
      <c r="JF14" s="1260"/>
      <c r="JG14" s="1258"/>
      <c r="JH14" s="1258"/>
      <c r="JI14" s="1258"/>
      <c r="JJ14" s="1261"/>
      <c r="JK14" s="1258">
        <v>1</v>
      </c>
      <c r="JL14" s="1171">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2683" t="str">
        <f t="shared" ref="AB15:AB45" si="14">IF(ISBLANK(DH15),"",DH15)</f>
        <v>G2</v>
      </c>
      <c r="AC15" s="2691" t="str">
        <f t="shared" si="3"/>
        <v>B</v>
      </c>
      <c r="AD15" s="2686">
        <f ca="1">IF(ISERROR(FV55),"",IF(FV55="","",TRUNC(FV55/12)))</f>
        <v>7</v>
      </c>
      <c r="AE15" s="2690">
        <f ca="1">IF(ISERROR(FV55),"",IF(FV55="","",FV55-(AD15*12)))</f>
        <v>2</v>
      </c>
      <c r="AF15" s="2691">
        <f ca="1">IF(ISERROR(FO55),"",IF(FO55="","",FO55))</f>
        <v>5</v>
      </c>
      <c r="AG15" s="2686">
        <f ca="1">IF(ISERROR(FX55),"",IF(FX55="","",TRUNC(FX55/12)))</f>
        <v>8</v>
      </c>
      <c r="AH15" s="2690">
        <f ca="1">IF(ISERROR(FX55),"",IF(FX55="","",FX55-(AG15*12)))</f>
        <v>0</v>
      </c>
      <c r="AI15" s="2686">
        <f ca="1">IF(ISERROR(FZ55),"",IF(FZ55="","",TRUNC(FZ55/12)))</f>
        <v>3</v>
      </c>
      <c r="AJ15" s="2690">
        <f ca="1">IF(ISERROR(FZ55),"",IF(FZ55="","",FZ55-(AI15*12)))</f>
        <v>10</v>
      </c>
      <c r="AK15" s="2732" t="str">
        <f t="shared" ref="AK15:AK45" si="15">IF(ISBLANK(DO15),"",DO15)</f>
        <v/>
      </c>
      <c r="AL15" s="2733" t="str">
        <f t="shared" si="4"/>
        <v/>
      </c>
      <c r="AM15" s="2734">
        <f t="shared" ref="AM15:AO30" si="16">IF(ISBLANK(DQ15),"",DQ15)</f>
        <v>5</v>
      </c>
      <c r="AN15" s="2691">
        <f t="shared" si="16"/>
        <v>13</v>
      </c>
      <c r="AO15" s="2735">
        <f t="shared" si="16"/>
        <v>4</v>
      </c>
      <c r="AP15" s="2693" t="str">
        <f t="shared" si="5"/>
        <v/>
      </c>
      <c r="AQ15" s="2736" t="str">
        <f t="shared" si="5"/>
        <v/>
      </c>
      <c r="AR15" s="2689" t="str">
        <f t="shared" ref="AR15:AR45" si="17">IF(ISERROR(GF55),"ERR",IF(GF55="","",IF(ISTEXT(GF55),"P",TRUNC(GF55/12))))</f>
        <v>P</v>
      </c>
      <c r="AS15" s="2690" t="str">
        <f t="shared" ref="AS15:AS45" si="18">IF(ISERROR(GF55),"",IF(GF55="","",IF(AR15="P",GF55,GF55-(AR15*12))))</f>
        <v>#6</v>
      </c>
      <c r="AT15" s="2737" t="str">
        <f t="shared" ref="AT15:AT45" si="19">IF(ISBLANK(DX15),"",DX15)</f>
        <v/>
      </c>
      <c r="AU15" s="2738" t="str">
        <f t="shared" si="6"/>
        <v>B</v>
      </c>
      <c r="AV15" s="2695" t="str">
        <f t="shared" ref="AV15:AV45" si="20">IF(ISERROR(GG55),"ERR",IF(GG55="","",IF(ISTEXT(GG55),"P",TRUNC(GG55/12))))</f>
        <v/>
      </c>
      <c r="AW15" s="2690" t="str">
        <f t="shared" ref="AW15:AW45" si="21">IF(ISERROR(GG55),"",IF(GG55="","",IF(AV15="P",GG55,GG55-(AV15*12))))</f>
        <v/>
      </c>
      <c r="AX15" s="2737" t="str">
        <f t="shared" ref="AX15:AX45" si="22">IF(ISBLANK(EB15),"",EB15)</f>
        <v/>
      </c>
      <c r="AY15" s="2738" t="str">
        <f t="shared" si="7"/>
        <v/>
      </c>
      <c r="AZ15" s="2695" t="str">
        <f t="shared" ref="AZ15:AZ45" si="23">IF(ISERROR(GH55),"ERR",IF(GH55="","",IF(ISTEXT(GH55),"P",TRUNC(GH55/12))))</f>
        <v/>
      </c>
      <c r="BA15" s="2690" t="str">
        <f t="shared" ref="BA15:BA45" si="24">IF(ISERROR(GH55),"",IF(GH55="","",IF(AZ15="P",GH55,GH55-(AZ15*12))))</f>
        <v/>
      </c>
      <c r="BB15" s="2737" t="str">
        <f t="shared" ref="BB15:BB45" si="25">IF(ISBLANK(EF15),"",EF15)</f>
        <v/>
      </c>
      <c r="BC15" s="2738" t="str">
        <f t="shared" si="8"/>
        <v/>
      </c>
      <c r="BD15" s="2695" t="str">
        <f t="shared" ref="BD15:BD45" si="26">IF(ISERROR(GI55),"ERR",IF(GI55="","",IF(ISTEXT(GI55),"P",TRUNC(GI55/12))))</f>
        <v/>
      </c>
      <c r="BE15" s="2690" t="str">
        <f t="shared" ref="BE15:BE45" si="27">IF(ISERROR(GI55),"",IF(GI55="","",IF(BD15="P",GI55,GI55-(BD15*12))))</f>
        <v/>
      </c>
      <c r="BF15" s="2737" t="str">
        <f t="shared" ref="BF15:BF45" si="28">IF(ISBLANK(EJ15),"",EJ15)</f>
        <v/>
      </c>
      <c r="BG15" s="2738" t="str">
        <f t="shared" si="9"/>
        <v/>
      </c>
      <c r="BH15" s="261"/>
      <c r="BJ15" s="143"/>
      <c r="BL15" s="1782"/>
      <c r="BW15" s="991">
        <f t="shared" ref="BW15:BW45" ca="1" si="29">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 ca="1">IF(AND(AB15="",BW15&gt;0),BX14,IF(ISBLANK(AB15),"",AB15))</f>
        <v>G2</v>
      </c>
      <c r="BY15" s="991" t="b">
        <f t="shared" ref="BY15:BY45" ca="1" si="30">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t="s">
        <v>1398</v>
      </c>
      <c r="DI15" s="673" t="s">
        <v>35</v>
      </c>
      <c r="DJ15" s="692">
        <v>7</v>
      </c>
      <c r="DK15" s="1332">
        <v>7.5</v>
      </c>
      <c r="DL15" s="674">
        <v>5</v>
      </c>
      <c r="DM15" s="693">
        <v>8</v>
      </c>
      <c r="DN15" s="1335">
        <v>0</v>
      </c>
      <c r="DO15" s="675"/>
      <c r="DP15" s="676"/>
      <c r="DQ15" s="1420">
        <v>5</v>
      </c>
      <c r="DR15" s="677">
        <v>13</v>
      </c>
      <c r="DS15" s="1612">
        <v>4</v>
      </c>
      <c r="DT15" s="1607"/>
      <c r="DU15" s="1608"/>
      <c r="DV15" s="678" t="s">
        <v>1018</v>
      </c>
      <c r="DW15" s="1337" t="s">
        <v>1706</v>
      </c>
      <c r="DX15" s="679"/>
      <c r="DY15" s="674" t="s">
        <v>35</v>
      </c>
      <c r="DZ15" s="678"/>
      <c r="EA15" s="1337"/>
      <c r="EB15" s="679"/>
      <c r="EC15" s="674"/>
      <c r="ED15" s="678"/>
      <c r="EE15" s="1337"/>
      <c r="EF15" s="679"/>
      <c r="EG15" s="674"/>
      <c r="EH15" s="678"/>
      <c r="EI15" s="1337"/>
      <c r="EJ15" s="679"/>
      <c r="EK15" s="680"/>
      <c r="EL15" s="929"/>
      <c r="EM15" s="1004"/>
      <c r="EN15" s="930"/>
      <c r="EO15" s="931"/>
      <c r="EP15" s="141"/>
      <c r="EQ15" s="141"/>
      <c r="ER15" s="141"/>
      <c r="ES15" s="141"/>
      <c r="ET15" s="141"/>
      <c r="EU15" s="141"/>
      <c r="EX15" s="503" t="str">
        <f t="shared" ref="EX15:EX45" ca="1" si="31">IF(AND(AC15="",BX15=BX14),EX14,CONCATENATE(BX15,AC15))</f>
        <v>G2B</v>
      </c>
      <c r="EY15" s="940" t="b">
        <f t="shared" ca="1" si="10"/>
        <v>1</v>
      </c>
      <c r="EZ15" s="940">
        <f t="shared" ref="EZ15:EZ45" ca="1" si="32">IF(AB15="","",IF(VLOOKUP(BX15,$A$28:$F$45,6,FALSE)="",0,HLOOKUP(VLOOKUP(BX15,$A$28:$F$45,6,FALSE),$FG$4:$FI$5,2,TRUE)))</f>
        <v>5</v>
      </c>
      <c r="FA15" s="958" t="b">
        <f ca="1">IF(FB15="","",IF(FC15=0,FA14,FB15=FF15))</f>
        <v>1</v>
      </c>
      <c r="FB15" s="134">
        <f t="shared" ref="FB15:FB45" ca="1" si="3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612</v>
      </c>
      <c r="FC15" s="134">
        <f t="shared" ca="1" si="11"/>
        <v>86</v>
      </c>
      <c r="FD15" s="134">
        <f t="shared" ca="1" si="12"/>
        <v>480</v>
      </c>
      <c r="FE15" s="134">
        <f t="shared" ca="1" si="13"/>
        <v>46</v>
      </c>
      <c r="FF15" s="134">
        <f t="shared" ref="FF15:FF45" ca="1" si="34">SUM(FC15:FE15)+IF(FE15=0,FF16,0)</f>
        <v>612</v>
      </c>
      <c r="FN15" s="754" t="b">
        <v>0</v>
      </c>
      <c r="FO15" s="754"/>
      <c r="FP15" s="754" t="b">
        <v>0</v>
      </c>
      <c r="FQ15" s="754" t="b">
        <f t="shared" ref="FQ15:FQ45" si="35">NOT(ISERROR(VLOOKUP(AB15,$A$28:$A$45,1,FALSE)))</f>
        <v>1</v>
      </c>
      <c r="FX15" s="197"/>
      <c r="FZ15" s="2"/>
      <c r="GA15" s="141"/>
      <c r="GB15" s="141"/>
      <c r="GC15" s="141"/>
      <c r="GD15" s="141"/>
      <c r="GE15" s="141"/>
      <c r="GF15" s="141"/>
      <c r="GG15" s="141"/>
      <c r="GH15" s="141"/>
      <c r="GI15" s="141"/>
      <c r="GJ15" s="141"/>
      <c r="GK15" s="2"/>
      <c r="HA15" s="2034" t="s">
        <v>622</v>
      </c>
      <c r="HB15" s="2017"/>
      <c r="HC15" s="2017"/>
      <c r="HD15" s="2017"/>
      <c r="HE15" s="2017"/>
      <c r="HF15" s="2017"/>
      <c r="HG15" s="2017"/>
      <c r="HH15" s="2017"/>
      <c r="HI15" s="2017"/>
      <c r="HJ15" s="2017"/>
      <c r="HK15" s="2017"/>
      <c r="HL15" s="2017"/>
      <c r="HM15" s="2017"/>
      <c r="HN15" s="2017"/>
      <c r="HO15" s="2017"/>
      <c r="HP15" s="2017"/>
      <c r="HQ15" s="2017"/>
      <c r="HR15" s="2017"/>
      <c r="HS15" s="2017"/>
      <c r="HT15" s="2017"/>
      <c r="HU15" s="2017"/>
      <c r="HV15" s="2017"/>
      <c r="HW15" s="2017"/>
      <c r="HX15" s="2018"/>
      <c r="ID15" s="781"/>
      <c r="IE15" s="1242" t="s">
        <v>1398</v>
      </c>
      <c r="IF15" s="1243" t="s">
        <v>35</v>
      </c>
      <c r="IG15" s="1244">
        <v>7</v>
      </c>
      <c r="IH15" s="1245">
        <v>7.5</v>
      </c>
      <c r="II15" s="1243">
        <v>5</v>
      </c>
      <c r="IJ15" s="1244">
        <v>8</v>
      </c>
      <c r="IK15" s="1245">
        <v>0</v>
      </c>
      <c r="IL15" s="1243"/>
      <c r="IM15" s="1243"/>
      <c r="IN15" s="1243">
        <v>5</v>
      </c>
      <c r="IO15" s="1243">
        <v>13</v>
      </c>
      <c r="IP15" s="1243">
        <v>4</v>
      </c>
      <c r="IQ15" s="1243"/>
      <c r="IR15" s="1243"/>
      <c r="IS15" s="1244" t="s">
        <v>1018</v>
      </c>
      <c r="IT15" s="1245" t="s">
        <v>1706</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2683" t="str">
        <f t="shared" si="14"/>
        <v>G3</v>
      </c>
      <c r="AC16" s="2691" t="str">
        <f t="shared" si="3"/>
        <v>B</v>
      </c>
      <c r="AD16" s="2686">
        <f ca="1">IF(ISERROR(FV56),"",IF(FV56="","",TRUNC(FV56/12)))</f>
        <v>3</v>
      </c>
      <c r="AE16" s="2690">
        <f ca="1">IF(ISERROR(FV56),"",IF(FV56="","",FV56-(AD16*12)))</f>
        <v>10</v>
      </c>
      <c r="AF16" s="2691">
        <f ca="1">IF(ISERROR(FO56),"",IF(FO56="","",FO56))</f>
        <v>5</v>
      </c>
      <c r="AG16" s="2686">
        <f ca="1">IF(ISERROR(FX56),"",IF(FX56="","",TRUNC(FX56/12)))</f>
        <v>8</v>
      </c>
      <c r="AH16" s="2690">
        <f ca="1">IF(ISERROR(FX56),"",IF(FX56="","",FX56-(AG16*12)))</f>
        <v>0</v>
      </c>
      <c r="AI16" s="2686">
        <f ca="1">IF(ISERROR(FZ56),"",IF(FZ56="","",TRUNC(FZ56/12)))</f>
        <v>7</v>
      </c>
      <c r="AJ16" s="2690">
        <f ca="1">IF(ISERROR(FZ56),"",IF(FZ56="","",FZ56-(AI16*12)))</f>
        <v>11</v>
      </c>
      <c r="AK16" s="2732" t="str">
        <f t="shared" si="15"/>
        <v/>
      </c>
      <c r="AL16" s="2733" t="str">
        <f t="shared" si="4"/>
        <v/>
      </c>
      <c r="AM16" s="2734">
        <f t="shared" si="16"/>
        <v>5</v>
      </c>
      <c r="AN16" s="2691">
        <f t="shared" si="16"/>
        <v>13</v>
      </c>
      <c r="AO16" s="2735">
        <f t="shared" si="16"/>
        <v>4</v>
      </c>
      <c r="AP16" s="2693" t="str">
        <f t="shared" si="5"/>
        <v/>
      </c>
      <c r="AQ16" s="2736" t="str">
        <f t="shared" si="5"/>
        <v/>
      </c>
      <c r="AR16" s="2689" t="str">
        <f t="shared" si="17"/>
        <v>P</v>
      </c>
      <c r="AS16" s="2690" t="str">
        <f t="shared" si="18"/>
        <v>#1</v>
      </c>
      <c r="AT16" s="2737" t="str">
        <f t="shared" si="19"/>
        <v/>
      </c>
      <c r="AU16" s="2738" t="str">
        <f t="shared" si="6"/>
        <v>B</v>
      </c>
      <c r="AV16" s="2695" t="str">
        <f t="shared" si="20"/>
        <v/>
      </c>
      <c r="AW16" s="2690" t="str">
        <f t="shared" si="21"/>
        <v/>
      </c>
      <c r="AX16" s="2737" t="str">
        <f t="shared" si="22"/>
        <v/>
      </c>
      <c r="AY16" s="2738" t="str">
        <f t="shared" si="7"/>
        <v/>
      </c>
      <c r="AZ16" s="2695" t="str">
        <f t="shared" si="23"/>
        <v/>
      </c>
      <c r="BA16" s="2690" t="str">
        <f t="shared" si="24"/>
        <v/>
      </c>
      <c r="BB16" s="2737" t="str">
        <f t="shared" si="25"/>
        <v/>
      </c>
      <c r="BC16" s="2738" t="str">
        <f t="shared" si="8"/>
        <v/>
      </c>
      <c r="BD16" s="2695" t="str">
        <f t="shared" si="26"/>
        <v/>
      </c>
      <c r="BE16" s="2690" t="str">
        <f t="shared" si="27"/>
        <v/>
      </c>
      <c r="BF16" s="2737" t="str">
        <f t="shared" si="28"/>
        <v/>
      </c>
      <c r="BG16" s="2738" t="str">
        <f t="shared" si="9"/>
        <v/>
      </c>
      <c r="BH16" s="261"/>
      <c r="BJ16" s="143"/>
      <c r="BL16" s="1782"/>
      <c r="BW16" s="991">
        <f t="shared" ca="1" si="29"/>
        <v>15</v>
      </c>
      <c r="BX16" s="991" t="str">
        <f t="shared" ref="BX16:BX45" ca="1" si="36">IF(AND(AB16="",BW16&gt;0),BX15,IF(ISBLANK(AB16),"",AB16))</f>
        <v>G3</v>
      </c>
      <c r="BY16" s="991" t="b">
        <f t="shared" ca="1" si="30"/>
        <v>0</v>
      </c>
      <c r="BZ16" s="1304" t="b">
        <f t="shared" ref="BZ16:BZ45" si="37">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t="s">
        <v>1399</v>
      </c>
      <c r="DI16" s="673" t="s">
        <v>35</v>
      </c>
      <c r="DJ16" s="692">
        <v>4</v>
      </c>
      <c r="DK16" s="1332">
        <v>0</v>
      </c>
      <c r="DL16" s="674">
        <v>5</v>
      </c>
      <c r="DM16" s="693">
        <v>8</v>
      </c>
      <c r="DN16" s="1335">
        <v>0</v>
      </c>
      <c r="DO16" s="675"/>
      <c r="DP16" s="676"/>
      <c r="DQ16" s="1420">
        <v>5</v>
      </c>
      <c r="DR16" s="677">
        <v>13</v>
      </c>
      <c r="DS16" s="1612">
        <v>4</v>
      </c>
      <c r="DT16" s="1607"/>
      <c r="DU16" s="1608"/>
      <c r="DV16" s="678" t="s">
        <v>1018</v>
      </c>
      <c r="DW16" s="1337" t="s">
        <v>1705</v>
      </c>
      <c r="DX16" s="679"/>
      <c r="DY16" s="674" t="s">
        <v>35</v>
      </c>
      <c r="DZ16" s="678"/>
      <c r="EA16" s="1337"/>
      <c r="EB16" s="679"/>
      <c r="EC16" s="674"/>
      <c r="ED16" s="678"/>
      <c r="EE16" s="1337"/>
      <c r="EF16" s="679"/>
      <c r="EG16" s="674"/>
      <c r="EH16" s="678"/>
      <c r="EI16" s="1337"/>
      <c r="EJ16" s="679"/>
      <c r="EK16" s="680"/>
      <c r="EL16" s="929"/>
      <c r="EM16" s="1004"/>
      <c r="EN16" s="930"/>
      <c r="EO16" s="931"/>
      <c r="EP16" s="141"/>
      <c r="EQ16" s="141"/>
      <c r="ER16" s="141"/>
      <c r="ES16" s="141"/>
      <c r="ET16" s="141"/>
      <c r="EU16" s="141"/>
      <c r="EX16" s="503" t="str">
        <f t="shared" ca="1" si="31"/>
        <v>G3B</v>
      </c>
      <c r="EY16" s="940" t="b">
        <f t="shared" ca="1" si="10"/>
        <v>1</v>
      </c>
      <c r="EZ16" s="940">
        <f t="shared" ca="1" si="32"/>
        <v>5</v>
      </c>
      <c r="FA16" s="958" t="b">
        <f t="shared" ref="FA16:FA45" ca="1" si="38">IF(FB16="","",IF(FC16=0,FA15,FB16=FF16))</f>
        <v>1</v>
      </c>
      <c r="FB16" s="134">
        <f t="shared" ca="1" si="33"/>
        <v>621</v>
      </c>
      <c r="FC16" s="134">
        <f t="shared" ca="1" si="11"/>
        <v>46</v>
      </c>
      <c r="FD16" s="134">
        <f t="shared" ca="1" si="12"/>
        <v>480</v>
      </c>
      <c r="FE16" s="134">
        <f t="shared" ca="1" si="13"/>
        <v>95</v>
      </c>
      <c r="FF16" s="134">
        <f t="shared" ca="1" si="34"/>
        <v>621</v>
      </c>
      <c r="FN16" s="754" t="b">
        <v>0</v>
      </c>
      <c r="FO16" s="754"/>
      <c r="FP16" s="754" t="b">
        <v>0</v>
      </c>
      <c r="FQ16" s="754" t="b">
        <f t="shared" si="35"/>
        <v>1</v>
      </c>
      <c r="FX16" s="197"/>
      <c r="FZ16" s="2"/>
      <c r="GA16" s="141"/>
      <c r="GB16" s="141"/>
      <c r="GC16" s="141"/>
      <c r="GD16" s="141"/>
      <c r="GE16" s="141"/>
      <c r="GF16" s="141"/>
      <c r="GG16" s="141"/>
      <c r="GH16" s="141"/>
      <c r="GI16" s="141"/>
      <c r="GJ16" s="141"/>
      <c r="GK16" s="2"/>
      <c r="GO16" s="140"/>
      <c r="GZ16" s="140"/>
      <c r="HA16" s="2019"/>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2020"/>
      <c r="ID16" s="781"/>
      <c r="IE16" s="1242" t="s">
        <v>1399</v>
      </c>
      <c r="IF16" s="1243" t="s">
        <v>35</v>
      </c>
      <c r="IG16" s="1244">
        <v>4</v>
      </c>
      <c r="IH16" s="1245">
        <v>0</v>
      </c>
      <c r="II16" s="1243">
        <v>5</v>
      </c>
      <c r="IJ16" s="1244">
        <v>8</v>
      </c>
      <c r="IK16" s="1245">
        <v>0</v>
      </c>
      <c r="IL16" s="1243"/>
      <c r="IM16" s="1243"/>
      <c r="IN16" s="1243">
        <v>5</v>
      </c>
      <c r="IO16" s="1243">
        <v>13</v>
      </c>
      <c r="IP16" s="1243">
        <v>4</v>
      </c>
      <c r="IQ16" s="1243"/>
      <c r="IR16" s="1243"/>
      <c r="IS16" s="1244" t="s">
        <v>1018</v>
      </c>
      <c r="IT16" s="1245" t="s">
        <v>1705</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39">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2683" t="str">
        <f t="shared" si="14"/>
        <v>G4</v>
      </c>
      <c r="AC17" s="2691" t="str">
        <f t="shared" si="3"/>
        <v>B</v>
      </c>
      <c r="AD17" s="2686">
        <f ca="1">IF(ISERROR(FV57),"",IF(FV57="","",TRUNC(FV57/12)))</f>
        <v>3</v>
      </c>
      <c r="AE17" s="2690">
        <f ca="1">IF(ISERROR(FV57),"",IF(FV57="","",FV57-(AD17*12)))</f>
        <v>10</v>
      </c>
      <c r="AF17" s="2691">
        <f ca="1">IF(ISERROR(FO57),"",IF(FO57="","",FO57))</f>
        <v>5</v>
      </c>
      <c r="AG17" s="2686">
        <f ca="1">IF(ISERROR(FX57),"",IF(FX57="","",TRUNC(FX57/12)))</f>
        <v>8</v>
      </c>
      <c r="AH17" s="2690">
        <f ca="1">IF(ISERROR(FX57),"",IF(FX57="","",FX57-(AG17*12)))</f>
        <v>0</v>
      </c>
      <c r="AI17" s="2686">
        <f ca="1">IF(ISERROR(FZ57),"",IF(FZ57="","",TRUNC(FZ57/12)))</f>
        <v>7</v>
      </c>
      <c r="AJ17" s="2690">
        <f ca="1">IF(ISERROR(FZ57),"",IF(FZ57="","",FZ57-(AI17*12)))</f>
        <v>10</v>
      </c>
      <c r="AK17" s="2732" t="str">
        <f t="shared" si="15"/>
        <v/>
      </c>
      <c r="AL17" s="2733" t="str">
        <f t="shared" si="4"/>
        <v/>
      </c>
      <c r="AM17" s="2734">
        <f t="shared" si="16"/>
        <v>5</v>
      </c>
      <c r="AN17" s="2691">
        <f t="shared" si="16"/>
        <v>13</v>
      </c>
      <c r="AO17" s="2735">
        <f t="shared" si="16"/>
        <v>4</v>
      </c>
      <c r="AP17" s="2693" t="str">
        <f t="shared" si="5"/>
        <v/>
      </c>
      <c r="AQ17" s="2736">
        <f t="shared" si="5"/>
        <v>1.75</v>
      </c>
      <c r="AR17" s="2689" t="str">
        <f t="shared" si="17"/>
        <v>P</v>
      </c>
      <c r="AS17" s="2690" t="str">
        <f t="shared" si="18"/>
        <v>#1</v>
      </c>
      <c r="AT17" s="2737" t="str">
        <f t="shared" si="19"/>
        <v/>
      </c>
      <c r="AU17" s="2738" t="str">
        <f t="shared" si="6"/>
        <v>B</v>
      </c>
      <c r="AV17" s="2695">
        <f t="shared" si="20"/>
        <v>51</v>
      </c>
      <c r="AW17" s="2690">
        <f t="shared" si="21"/>
        <v>0</v>
      </c>
      <c r="AX17" s="2737" t="str">
        <f t="shared" si="22"/>
        <v/>
      </c>
      <c r="AY17" s="2738" t="str">
        <f t="shared" si="7"/>
        <v>B</v>
      </c>
      <c r="AZ17" s="2695" t="str">
        <f t="shared" si="23"/>
        <v/>
      </c>
      <c r="BA17" s="2690" t="str">
        <f t="shared" si="24"/>
        <v/>
      </c>
      <c r="BB17" s="2737" t="str">
        <f t="shared" si="25"/>
        <v/>
      </c>
      <c r="BC17" s="2738" t="str">
        <f t="shared" si="8"/>
        <v/>
      </c>
      <c r="BD17" s="2695" t="str">
        <f t="shared" si="26"/>
        <v/>
      </c>
      <c r="BE17" s="2690" t="str">
        <f t="shared" si="27"/>
        <v/>
      </c>
      <c r="BF17" s="2737" t="str">
        <f t="shared" si="28"/>
        <v/>
      </c>
      <c r="BG17" s="2738" t="str">
        <f t="shared" si="9"/>
        <v/>
      </c>
      <c r="BH17" s="261"/>
      <c r="BJ17" s="143"/>
      <c r="BL17" s="1782"/>
      <c r="BW17" s="991">
        <f t="shared" ca="1" si="29"/>
        <v>19</v>
      </c>
      <c r="BX17" s="991" t="str">
        <f t="shared" ca="1" si="36"/>
        <v>G4</v>
      </c>
      <c r="BY17" s="991" t="b">
        <f t="shared" ca="1" si="30"/>
        <v>0</v>
      </c>
      <c r="BZ17" s="1304" t="b">
        <f t="shared" si="37"/>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672" t="s">
        <v>1400</v>
      </c>
      <c r="DI17" s="673" t="s">
        <v>35</v>
      </c>
      <c r="DJ17" s="692">
        <v>4</v>
      </c>
      <c r="DK17" s="1332">
        <v>0</v>
      </c>
      <c r="DL17" s="674">
        <v>5</v>
      </c>
      <c r="DM17" s="693">
        <v>8</v>
      </c>
      <c r="DN17" s="1335">
        <v>0</v>
      </c>
      <c r="DO17" s="675"/>
      <c r="DP17" s="676"/>
      <c r="DQ17" s="1420">
        <v>5</v>
      </c>
      <c r="DR17" s="677">
        <v>13</v>
      </c>
      <c r="DS17" s="1612">
        <v>4</v>
      </c>
      <c r="DT17" s="1607"/>
      <c r="DU17" s="1608">
        <v>2</v>
      </c>
      <c r="DV17" s="678" t="s">
        <v>1018</v>
      </c>
      <c r="DW17" s="1337" t="s">
        <v>1705</v>
      </c>
      <c r="DX17" s="679"/>
      <c r="DY17" s="674" t="s">
        <v>35</v>
      </c>
      <c r="DZ17" s="2661">
        <v>51</v>
      </c>
      <c r="EA17" s="2664">
        <v>0.25</v>
      </c>
      <c r="EB17" s="679"/>
      <c r="EC17" s="2665" t="s">
        <v>35</v>
      </c>
      <c r="ED17" s="678"/>
      <c r="EE17" s="1337"/>
      <c r="EF17" s="679"/>
      <c r="EG17" s="674"/>
      <c r="EH17" s="678"/>
      <c r="EI17" s="1337"/>
      <c r="EJ17" s="679"/>
      <c r="EK17" s="680"/>
      <c r="EL17" s="929"/>
      <c r="EM17" s="1004"/>
      <c r="EN17" s="930"/>
      <c r="EO17" s="931"/>
      <c r="EP17" s="141"/>
      <c r="EQ17" s="141"/>
      <c r="ER17" s="141"/>
      <c r="ES17" s="141"/>
      <c r="ET17" s="141"/>
      <c r="EU17" s="141"/>
      <c r="EX17" s="503" t="str">
        <f t="shared" ca="1" si="31"/>
        <v>G4B</v>
      </c>
      <c r="EY17" s="940" t="b">
        <f t="shared" ca="1" si="10"/>
        <v>1</v>
      </c>
      <c r="EZ17" s="940">
        <f t="shared" ca="1" si="32"/>
        <v>5</v>
      </c>
      <c r="FA17" s="958" t="b">
        <f t="shared" ca="1" si="38"/>
        <v>1</v>
      </c>
      <c r="FB17" s="134">
        <f t="shared" ca="1" si="33"/>
        <v>620</v>
      </c>
      <c r="FC17" s="134">
        <f t="shared" ca="1" si="11"/>
        <v>46</v>
      </c>
      <c r="FD17" s="134">
        <f t="shared" ca="1" si="12"/>
        <v>480</v>
      </c>
      <c r="FE17" s="134">
        <f t="shared" ca="1" si="13"/>
        <v>94</v>
      </c>
      <c r="FF17" s="134">
        <f t="shared" ca="1" si="34"/>
        <v>620</v>
      </c>
      <c r="FN17" s="754" t="b">
        <v>0</v>
      </c>
      <c r="FO17" s="754"/>
      <c r="FP17" s="754" t="b">
        <v>0</v>
      </c>
      <c r="FQ17" s="754" t="b">
        <f t="shared" si="35"/>
        <v>1</v>
      </c>
      <c r="FX17" s="197"/>
      <c r="FZ17" s="2"/>
      <c r="GA17" s="141"/>
      <c r="GB17" s="141"/>
      <c r="GC17" s="141"/>
      <c r="GD17" s="141"/>
      <c r="GE17" s="141"/>
      <c r="GF17" s="141"/>
      <c r="GG17" s="141"/>
      <c r="GH17" s="141"/>
      <c r="GI17" s="141"/>
      <c r="GJ17" s="141"/>
      <c r="GK17" s="2"/>
      <c r="HA17" s="2035"/>
      <c r="HB17" s="2036"/>
      <c r="HC17" s="2036"/>
      <c r="HD17" s="2036"/>
      <c r="HE17" s="2036"/>
      <c r="HF17" s="2036"/>
      <c r="HG17" s="2036"/>
      <c r="HH17" s="2036"/>
      <c r="HI17" s="2036"/>
      <c r="HJ17" s="2036"/>
      <c r="HK17" s="2036"/>
      <c r="HL17" s="2036"/>
      <c r="HM17" s="2036"/>
      <c r="HN17" s="2036"/>
      <c r="HO17" s="2036"/>
      <c r="HP17" s="2036"/>
      <c r="HQ17" s="2036"/>
      <c r="HR17" s="2036"/>
      <c r="HS17" s="2036"/>
      <c r="HT17" s="2036"/>
      <c r="HU17" s="2036"/>
      <c r="HV17" s="2036"/>
      <c r="HW17" s="2036"/>
      <c r="HX17" s="2037"/>
      <c r="ID17" s="781"/>
      <c r="IE17" s="1242" t="s">
        <v>1400</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39"/>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2683" t="str">
        <f t="shared" si="14"/>
        <v>G5</v>
      </c>
      <c r="AC18" s="2691" t="str">
        <f t="shared" si="3"/>
        <v>B</v>
      </c>
      <c r="AD18" s="2686">
        <f ca="1">IF(ISERROR(FV58),"",IF(FV58="","",TRUNC(FV58/12)))</f>
        <v>7</v>
      </c>
      <c r="AE18" s="2690">
        <f ca="1">IF(ISERROR(FV58),"",IF(FV58="","",FV58-(AD18*12)))</f>
        <v>10</v>
      </c>
      <c r="AF18" s="2691">
        <f ca="1">IF(ISERROR(FO58),"",IF(FO58="","",FO58))</f>
        <v>5</v>
      </c>
      <c r="AG18" s="2686">
        <f ca="1">IF(ISERROR(FX58),"",IF(FX58="","",TRUNC(FX58/12)))</f>
        <v>8</v>
      </c>
      <c r="AH18" s="2690">
        <f ca="1">IF(ISERROR(FX58),"",IF(FX58="","",FX58-(AG18*12)))</f>
        <v>0</v>
      </c>
      <c r="AI18" s="2686">
        <f ca="1">IF(ISERROR(FZ58),"",IF(FZ58="","",TRUNC(FZ58/12)))</f>
        <v>3</v>
      </c>
      <c r="AJ18" s="2690">
        <f ca="1">IF(ISERROR(FZ58),"",IF(FZ58="","",FZ58-(AI18*12)))</f>
        <v>10</v>
      </c>
      <c r="AK18" s="2732" t="str">
        <f t="shared" si="15"/>
        <v/>
      </c>
      <c r="AL18" s="2733" t="str">
        <f t="shared" si="4"/>
        <v/>
      </c>
      <c r="AM18" s="2734">
        <f t="shared" si="16"/>
        <v>5</v>
      </c>
      <c r="AN18" s="2691">
        <f t="shared" si="16"/>
        <v>13</v>
      </c>
      <c r="AO18" s="2735">
        <f t="shared" si="16"/>
        <v>4</v>
      </c>
      <c r="AP18" s="2693">
        <f t="shared" si="5"/>
        <v>1.75</v>
      </c>
      <c r="AQ18" s="2736" t="str">
        <f t="shared" si="5"/>
        <v/>
      </c>
      <c r="AR18" s="2689" t="str">
        <f t="shared" si="17"/>
        <v>P</v>
      </c>
      <c r="AS18" s="2690" t="str">
        <f t="shared" si="18"/>
        <v>#6</v>
      </c>
      <c r="AT18" s="2737" t="str">
        <f t="shared" si="19"/>
        <v/>
      </c>
      <c r="AU18" s="2738" t="str">
        <f t="shared" si="6"/>
        <v>B</v>
      </c>
      <c r="AV18" s="2695">
        <f t="shared" si="20"/>
        <v>1</v>
      </c>
      <c r="AW18" s="2690">
        <f t="shared" si="21"/>
        <v>0</v>
      </c>
      <c r="AX18" s="2737" t="str">
        <f t="shared" si="22"/>
        <v/>
      </c>
      <c r="AY18" s="2738" t="str">
        <f t="shared" si="7"/>
        <v>B</v>
      </c>
      <c r="AZ18" s="2695" t="str">
        <f t="shared" si="23"/>
        <v/>
      </c>
      <c r="BA18" s="2690" t="str">
        <f t="shared" si="24"/>
        <v/>
      </c>
      <c r="BB18" s="2737" t="str">
        <f t="shared" si="25"/>
        <v/>
      </c>
      <c r="BC18" s="2738" t="str">
        <f t="shared" si="8"/>
        <v/>
      </c>
      <c r="BD18" s="2695" t="str">
        <f t="shared" si="26"/>
        <v/>
      </c>
      <c r="BE18" s="2690" t="str">
        <f t="shared" si="27"/>
        <v/>
      </c>
      <c r="BF18" s="2737" t="str">
        <f t="shared" si="28"/>
        <v/>
      </c>
      <c r="BG18" s="2738" t="str">
        <f t="shared" si="9"/>
        <v/>
      </c>
      <c r="BH18" s="261"/>
      <c r="BJ18" s="143"/>
      <c r="BL18" s="1782"/>
      <c r="BW18" s="991">
        <f ca="1">IF(AB18="",0,1)+IF(AC18="",0,1)+IF(AD18="",0,1)+IF(AE18="",0,1)+IF(AF18="",0,1)+IF(AG18="",0,1)+IF(AH18="",0,1)+IF(AI18="",0,1)+IF(AJ18="",0,1)+IF(AK18="",0,1)+IF(AL18="",0,1)+IF(AM18="",0,1)+IF(AN18="",0,1)+IF(AO18="",0,1)+IF(AP18="",0,1)+IF(AQ18="",0,1)+IF(AR18="",0,1)+IF(AS18="",0,1)+IF(AT18="",0,1)+IF(AU18="",0,1)+IF(AV18="",0,1)+IF(AW18="",0,1)+IF(AX18="",0,1)+IF(AY18="",0,1)+IF(AZ18="",0,1)+IF(BA18="",0,1)+IF(BB18="",0,1)+IF(BC18="",0,1)+IF(BD18="",0,1)+IF(BE18="",0,1)+IF(BF18="",0,1)+IF(BG18="",0,1)</f>
        <v>19</v>
      </c>
      <c r="BX18" s="991" t="str">
        <f t="shared" ca="1" si="36"/>
        <v>G5</v>
      </c>
      <c r="BY18" s="991" t="b">
        <f t="shared" ca="1" si="30"/>
        <v>0</v>
      </c>
      <c r="BZ18" s="1304" t="b">
        <f t="shared" si="37"/>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t="s">
        <v>1401</v>
      </c>
      <c r="DI18" s="673" t="s">
        <v>35</v>
      </c>
      <c r="DJ18" s="692">
        <v>8</v>
      </c>
      <c r="DK18" s="1332">
        <v>0</v>
      </c>
      <c r="DL18" s="674">
        <v>5</v>
      </c>
      <c r="DM18" s="693">
        <v>8</v>
      </c>
      <c r="DN18" s="1335">
        <v>0</v>
      </c>
      <c r="DO18" s="675"/>
      <c r="DP18" s="676"/>
      <c r="DQ18" s="1420">
        <v>5</v>
      </c>
      <c r="DR18" s="677">
        <v>13</v>
      </c>
      <c r="DS18" s="1612">
        <v>4</v>
      </c>
      <c r="DT18" s="1607">
        <v>2</v>
      </c>
      <c r="DU18" s="1608"/>
      <c r="DV18" s="678" t="s">
        <v>1018</v>
      </c>
      <c r="DW18" s="1337" t="s">
        <v>1706</v>
      </c>
      <c r="DX18" s="679"/>
      <c r="DY18" s="674" t="s">
        <v>35</v>
      </c>
      <c r="DZ18" s="2661">
        <v>1</v>
      </c>
      <c r="EA18" s="2664">
        <v>0.25</v>
      </c>
      <c r="EB18" s="679"/>
      <c r="EC18" s="2665" t="s">
        <v>35</v>
      </c>
      <c r="ED18" s="678"/>
      <c r="EE18" s="1337"/>
      <c r="EF18" s="679"/>
      <c r="EG18" s="674"/>
      <c r="EH18" s="678"/>
      <c r="EI18" s="1337"/>
      <c r="EJ18" s="679"/>
      <c r="EK18" s="680"/>
      <c r="EL18" s="929"/>
      <c r="EM18" s="1004"/>
      <c r="EN18" s="930"/>
      <c r="EO18" s="931"/>
      <c r="EP18" s="141"/>
      <c r="EQ18" s="141"/>
      <c r="ER18" s="141"/>
      <c r="ES18" s="141"/>
      <c r="ET18" s="141"/>
      <c r="EU18" s="141"/>
      <c r="EX18" s="503" t="str">
        <f t="shared" ca="1" si="31"/>
        <v>G5B</v>
      </c>
      <c r="EY18" s="940" t="b">
        <f t="shared" ca="1" si="10"/>
        <v>1</v>
      </c>
      <c r="EZ18" s="940">
        <f t="shared" ca="1" si="32"/>
        <v>5</v>
      </c>
      <c r="FA18" s="958" t="b">
        <f t="shared" ca="1" si="38"/>
        <v>1</v>
      </c>
      <c r="FB18" s="134">
        <f t="shared" ca="1" si="33"/>
        <v>620</v>
      </c>
      <c r="FC18" s="134">
        <f t="shared" ca="1" si="11"/>
        <v>94</v>
      </c>
      <c r="FD18" s="134">
        <f t="shared" ca="1" si="12"/>
        <v>480</v>
      </c>
      <c r="FE18" s="134">
        <f t="shared" ca="1" si="13"/>
        <v>46</v>
      </c>
      <c r="FF18" s="134">
        <f t="shared" ca="1" si="34"/>
        <v>620</v>
      </c>
      <c r="FN18" s="754" t="b">
        <v>0</v>
      </c>
      <c r="FO18" s="754"/>
      <c r="FP18" s="754" t="b">
        <v>0</v>
      </c>
      <c r="FQ18" s="754" t="b">
        <f t="shared" si="35"/>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t="s">
        <v>1401</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39"/>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2683" t="str">
        <f t="shared" si="14"/>
        <v>G6</v>
      </c>
      <c r="AC19" s="2691" t="str">
        <f t="shared" si="3"/>
        <v>B</v>
      </c>
      <c r="AD19" s="2686">
        <f t="shared" ref="AD19:AD45" ca="1" si="40">IF(ISERROR(FV59),"",IF(FV59="","",TRUNC(FV59/12)))</f>
        <v>3</v>
      </c>
      <c r="AE19" s="2690">
        <f t="shared" ref="AE19:AE45" ca="1" si="41">IF(ISERROR(FV59),"",IF(FV59="","",FV59-(AD19*12)))</f>
        <v>10</v>
      </c>
      <c r="AF19" s="2691">
        <f t="shared" ref="AF19:AF45" ca="1" si="42">IF(ISERROR(FO59),"",IF(FO59="","",FO59))</f>
        <v>5</v>
      </c>
      <c r="AG19" s="2686">
        <f t="shared" ref="AG19:AG45" ca="1" si="43">IF(ISERROR(FX59),"",IF(FX59="","",TRUNC(FX59/12)))</f>
        <v>8</v>
      </c>
      <c r="AH19" s="2690">
        <f t="shared" ref="AH19:AH45" ca="1" si="44">IF(ISERROR(FX59),"",IF(FX59="","",FX59-(AG19*12)))</f>
        <v>0</v>
      </c>
      <c r="AI19" s="2686">
        <f t="shared" ref="AI19:AI45" ca="1" si="45">IF(ISERROR(FZ59),"",IF(FZ59="","",TRUNC(FZ59/12)))</f>
        <v>7</v>
      </c>
      <c r="AJ19" s="2690">
        <f t="shared" ref="AJ19:AJ45" ca="1" si="46">IF(ISERROR(FZ59),"",IF(FZ59="","",FZ59-(AI19*12)))</f>
        <v>10</v>
      </c>
      <c r="AK19" s="2732" t="str">
        <f t="shared" si="15"/>
        <v/>
      </c>
      <c r="AL19" s="2733" t="str">
        <f t="shared" si="4"/>
        <v/>
      </c>
      <c r="AM19" s="2734">
        <f t="shared" si="16"/>
        <v>5</v>
      </c>
      <c r="AN19" s="2691">
        <f t="shared" si="16"/>
        <v>13</v>
      </c>
      <c r="AO19" s="2735">
        <f t="shared" si="16"/>
        <v>4</v>
      </c>
      <c r="AP19" s="2693" t="str">
        <f t="shared" si="5"/>
        <v/>
      </c>
      <c r="AQ19" s="2736">
        <f t="shared" si="5"/>
        <v>1.75</v>
      </c>
      <c r="AR19" s="2689" t="str">
        <f t="shared" si="17"/>
        <v>P</v>
      </c>
      <c r="AS19" s="2690" t="str">
        <f t="shared" si="18"/>
        <v>#1</v>
      </c>
      <c r="AT19" s="2737" t="str">
        <f t="shared" si="19"/>
        <v/>
      </c>
      <c r="AU19" s="2738" t="str">
        <f t="shared" si="6"/>
        <v>B</v>
      </c>
      <c r="AV19" s="2695">
        <f t="shared" si="20"/>
        <v>51</v>
      </c>
      <c r="AW19" s="2690">
        <f t="shared" si="21"/>
        <v>0</v>
      </c>
      <c r="AX19" s="2737" t="str">
        <f t="shared" si="22"/>
        <v/>
      </c>
      <c r="AY19" s="2738" t="str">
        <f t="shared" si="7"/>
        <v>B</v>
      </c>
      <c r="AZ19" s="2695" t="str">
        <f t="shared" si="23"/>
        <v/>
      </c>
      <c r="BA19" s="2690" t="str">
        <f t="shared" si="24"/>
        <v/>
      </c>
      <c r="BB19" s="2737" t="str">
        <f t="shared" si="25"/>
        <v/>
      </c>
      <c r="BC19" s="2738" t="str">
        <f t="shared" si="8"/>
        <v/>
      </c>
      <c r="BD19" s="2695" t="str">
        <f t="shared" si="26"/>
        <v/>
      </c>
      <c r="BE19" s="2690" t="str">
        <f t="shared" si="27"/>
        <v/>
      </c>
      <c r="BF19" s="2737" t="str">
        <f t="shared" si="28"/>
        <v/>
      </c>
      <c r="BG19" s="2738" t="str">
        <f t="shared" si="9"/>
        <v/>
      </c>
      <c r="BH19" s="261"/>
      <c r="BJ19" s="143"/>
      <c r="BL19" s="1782"/>
      <c r="BW19" s="991">
        <f t="shared" ca="1" si="29"/>
        <v>19</v>
      </c>
      <c r="BX19" s="991" t="str">
        <f t="shared" ca="1" si="36"/>
        <v>G6</v>
      </c>
      <c r="BY19" s="991" t="b">
        <f t="shared" ca="1" si="30"/>
        <v>0</v>
      </c>
      <c r="BZ19" s="1304" t="b">
        <f t="shared" si="37"/>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t="s">
        <v>1402</v>
      </c>
      <c r="DI19" s="673" t="s">
        <v>35</v>
      </c>
      <c r="DJ19" s="692">
        <v>4</v>
      </c>
      <c r="DK19" s="1332">
        <v>0</v>
      </c>
      <c r="DL19" s="674">
        <v>5</v>
      </c>
      <c r="DM19" s="693">
        <v>8</v>
      </c>
      <c r="DN19" s="1335">
        <v>0</v>
      </c>
      <c r="DO19" s="675"/>
      <c r="DP19" s="676"/>
      <c r="DQ19" s="1420">
        <v>5</v>
      </c>
      <c r="DR19" s="677">
        <v>13</v>
      </c>
      <c r="DS19" s="1612">
        <v>4</v>
      </c>
      <c r="DT19" s="1607"/>
      <c r="DU19" s="1608">
        <v>2</v>
      </c>
      <c r="DV19" s="678" t="s">
        <v>1018</v>
      </c>
      <c r="DW19" s="1337" t="s">
        <v>1705</v>
      </c>
      <c r="DX19" s="679"/>
      <c r="DY19" s="674" t="s">
        <v>35</v>
      </c>
      <c r="DZ19" s="2661">
        <v>51</v>
      </c>
      <c r="EA19" s="2664">
        <v>0.25</v>
      </c>
      <c r="EB19" s="679"/>
      <c r="EC19" s="2665" t="s">
        <v>35</v>
      </c>
      <c r="ED19" s="678"/>
      <c r="EE19" s="1337"/>
      <c r="EF19" s="679"/>
      <c r="EG19" s="674"/>
      <c r="EH19" s="678"/>
      <c r="EI19" s="1337"/>
      <c r="EJ19" s="679"/>
      <c r="EK19" s="680"/>
      <c r="EL19" s="929"/>
      <c r="EM19" s="1004"/>
      <c r="EN19" s="930"/>
      <c r="EO19" s="931"/>
      <c r="EP19" s="141"/>
      <c r="EQ19" s="141"/>
      <c r="ER19" s="141"/>
      <c r="ES19" s="141"/>
      <c r="ET19" s="141"/>
      <c r="EU19" s="141"/>
      <c r="EX19" s="503" t="str">
        <f t="shared" ca="1" si="31"/>
        <v>G6B</v>
      </c>
      <c r="EY19" s="940" t="b">
        <f t="shared" ca="1" si="10"/>
        <v>1</v>
      </c>
      <c r="EZ19" s="940">
        <f t="shared" ca="1" si="32"/>
        <v>5</v>
      </c>
      <c r="FA19" s="958" t="b">
        <f t="shared" ca="1" si="38"/>
        <v>1</v>
      </c>
      <c r="FB19" s="134">
        <f t="shared" ca="1" si="33"/>
        <v>620</v>
      </c>
      <c r="FC19" s="134">
        <f t="shared" ca="1" si="11"/>
        <v>46</v>
      </c>
      <c r="FD19" s="134">
        <f t="shared" ca="1" si="12"/>
        <v>480</v>
      </c>
      <c r="FE19" s="134">
        <f t="shared" ca="1" si="13"/>
        <v>94</v>
      </c>
      <c r="FF19" s="134">
        <f t="shared" ca="1" si="34"/>
        <v>620</v>
      </c>
      <c r="FN19" s="754" t="b">
        <v>0</v>
      </c>
      <c r="FO19" s="754"/>
      <c r="FP19" s="754" t="b">
        <v>0</v>
      </c>
      <c r="FQ19" s="754" t="b">
        <f t="shared" si="35"/>
        <v>1</v>
      </c>
      <c r="FX19" s="197"/>
      <c r="FZ19" s="2"/>
      <c r="GA19" s="141"/>
      <c r="GB19" s="141"/>
      <c r="GC19" s="141"/>
      <c r="GD19" s="141"/>
      <c r="GE19" s="141"/>
      <c r="GF19" s="141"/>
      <c r="GG19" s="141"/>
      <c r="GH19" s="141"/>
      <c r="GI19" s="141"/>
      <c r="GJ19" s="141"/>
      <c r="GK19" s="2"/>
      <c r="GZ19" s="1166" t="s">
        <v>1157</v>
      </c>
      <c r="HA19" s="1167">
        <v>80</v>
      </c>
      <c r="HB19" s="1167">
        <f t="shared" ref="HB19:ID22" si="47">HA19+1</f>
        <v>81</v>
      </c>
      <c r="HC19" s="1167">
        <f t="shared" si="47"/>
        <v>82</v>
      </c>
      <c r="HD19" s="1167">
        <f t="shared" si="47"/>
        <v>83</v>
      </c>
      <c r="HE19" s="1167">
        <f t="shared" si="47"/>
        <v>84</v>
      </c>
      <c r="HF19" s="1167">
        <f t="shared" si="47"/>
        <v>85</v>
      </c>
      <c r="HG19" s="1167">
        <f t="shared" si="47"/>
        <v>86</v>
      </c>
      <c r="HH19" s="1167">
        <f t="shared" si="47"/>
        <v>87</v>
      </c>
      <c r="HI19" s="1167">
        <f t="shared" si="47"/>
        <v>88</v>
      </c>
      <c r="HJ19" s="1167">
        <f t="shared" si="47"/>
        <v>89</v>
      </c>
      <c r="HK19" s="1167">
        <f t="shared" si="47"/>
        <v>90</v>
      </c>
      <c r="HL19" s="1167">
        <f t="shared" si="47"/>
        <v>91</v>
      </c>
      <c r="HM19" s="1167">
        <f t="shared" si="47"/>
        <v>92</v>
      </c>
      <c r="HN19" s="1167">
        <f t="shared" si="47"/>
        <v>93</v>
      </c>
      <c r="HO19" s="1167">
        <f t="shared" si="47"/>
        <v>94</v>
      </c>
      <c r="HP19" s="1167">
        <f t="shared" si="47"/>
        <v>95</v>
      </c>
      <c r="HQ19" s="1167">
        <f t="shared" si="47"/>
        <v>96</v>
      </c>
      <c r="HR19" s="1167">
        <f t="shared" si="47"/>
        <v>97</v>
      </c>
      <c r="HS19" s="1167">
        <f t="shared" si="47"/>
        <v>98</v>
      </c>
      <c r="HT19" s="1167">
        <f t="shared" si="47"/>
        <v>99</v>
      </c>
      <c r="HU19" s="1167">
        <f t="shared" si="47"/>
        <v>100</v>
      </c>
      <c r="HV19" s="1167">
        <f t="shared" si="47"/>
        <v>101</v>
      </c>
      <c r="HW19" s="1167">
        <f t="shared" si="47"/>
        <v>102</v>
      </c>
      <c r="HX19" s="1167">
        <f t="shared" si="47"/>
        <v>103</v>
      </c>
      <c r="HY19" s="1167">
        <f t="shared" si="47"/>
        <v>104</v>
      </c>
      <c r="HZ19" s="1167">
        <f t="shared" si="47"/>
        <v>105</v>
      </c>
      <c r="IA19" s="1167">
        <f t="shared" si="47"/>
        <v>106</v>
      </c>
      <c r="IB19" s="1167">
        <f t="shared" si="47"/>
        <v>107</v>
      </c>
      <c r="IC19" s="1167">
        <f t="shared" si="47"/>
        <v>108</v>
      </c>
      <c r="ID19" s="1167">
        <f t="shared" si="47"/>
        <v>109</v>
      </c>
      <c r="IE19" s="1242" t="s">
        <v>1402</v>
      </c>
      <c r="IF19" s="1243" t="s">
        <v>35</v>
      </c>
      <c r="IG19" s="1244">
        <v>4</v>
      </c>
      <c r="IH19" s="1245">
        <v>0</v>
      </c>
      <c r="II19" s="1243">
        <v>5</v>
      </c>
      <c r="IJ19" s="1244">
        <v>8</v>
      </c>
      <c r="IK19" s="1245">
        <v>0</v>
      </c>
      <c r="IL19" s="1243"/>
      <c r="IM19" s="1243"/>
      <c r="IN19" s="1243">
        <v>5</v>
      </c>
      <c r="IO19" s="1243">
        <v>13</v>
      </c>
      <c r="IP19" s="1243">
        <v>4</v>
      </c>
      <c r="IQ19" s="1243"/>
      <c r="IR19" s="1243">
        <v>2</v>
      </c>
      <c r="IS19" s="1244" t="s">
        <v>1018</v>
      </c>
      <c r="IT19" s="1245" t="s">
        <v>1705</v>
      </c>
      <c r="IU19" s="1243"/>
      <c r="IV19" s="1243" t="s">
        <v>35</v>
      </c>
      <c r="IW19" s="1244"/>
      <c r="IX19" s="1245"/>
      <c r="IY19" s="1243"/>
      <c r="IZ19" s="1243"/>
      <c r="JA19" s="1244"/>
      <c r="JB19" s="1245"/>
      <c r="JC19" s="1243"/>
      <c r="JD19" s="1243"/>
      <c r="JE19" s="1244"/>
      <c r="JF19" s="1245"/>
      <c r="JG19" s="1243"/>
      <c r="JH19" s="1243"/>
      <c r="JI19" s="1243"/>
      <c r="JJ19" s="1246"/>
      <c r="JK19" s="1243">
        <v>1</v>
      </c>
      <c r="JL19" s="1172">
        <f t="shared" ca="1" si="39"/>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2683" t="str">
        <f t="shared" si="14"/>
        <v>G7</v>
      </c>
      <c r="AC20" s="2691" t="str">
        <f t="shared" si="3"/>
        <v>B</v>
      </c>
      <c r="AD20" s="2686">
        <f t="shared" ca="1" si="40"/>
        <v>7</v>
      </c>
      <c r="AE20" s="2690">
        <f t="shared" ca="1" si="41"/>
        <v>10</v>
      </c>
      <c r="AF20" s="2691">
        <f t="shared" ca="1" si="42"/>
        <v>5</v>
      </c>
      <c r="AG20" s="2686">
        <f t="shared" ca="1" si="43"/>
        <v>8</v>
      </c>
      <c r="AH20" s="2690">
        <f t="shared" ca="1" si="44"/>
        <v>0</v>
      </c>
      <c r="AI20" s="2686">
        <f t="shared" ca="1" si="45"/>
        <v>3</v>
      </c>
      <c r="AJ20" s="2690">
        <f t="shared" ca="1" si="46"/>
        <v>10</v>
      </c>
      <c r="AK20" s="2732" t="str">
        <f t="shared" si="15"/>
        <v/>
      </c>
      <c r="AL20" s="2733" t="str">
        <f t="shared" si="4"/>
        <v/>
      </c>
      <c r="AM20" s="2734">
        <f t="shared" si="16"/>
        <v>5</v>
      </c>
      <c r="AN20" s="2691">
        <f t="shared" si="16"/>
        <v>13</v>
      </c>
      <c r="AO20" s="2735">
        <f t="shared" si="16"/>
        <v>4</v>
      </c>
      <c r="AP20" s="2693">
        <f t="shared" si="5"/>
        <v>1.75</v>
      </c>
      <c r="AQ20" s="2736" t="str">
        <f t="shared" si="5"/>
        <v/>
      </c>
      <c r="AR20" s="2689" t="str">
        <f t="shared" si="17"/>
        <v>P</v>
      </c>
      <c r="AS20" s="2690" t="str">
        <f t="shared" si="18"/>
        <v>#6</v>
      </c>
      <c r="AT20" s="2737" t="str">
        <f t="shared" si="19"/>
        <v/>
      </c>
      <c r="AU20" s="2738" t="str">
        <f t="shared" si="6"/>
        <v>B</v>
      </c>
      <c r="AV20" s="2695">
        <f t="shared" si="20"/>
        <v>1</v>
      </c>
      <c r="AW20" s="2690">
        <f t="shared" si="21"/>
        <v>0</v>
      </c>
      <c r="AX20" s="2737" t="str">
        <f t="shared" si="22"/>
        <v/>
      </c>
      <c r="AY20" s="2738" t="str">
        <f t="shared" si="7"/>
        <v>B</v>
      </c>
      <c r="AZ20" s="2695" t="str">
        <f t="shared" si="23"/>
        <v/>
      </c>
      <c r="BA20" s="2690" t="str">
        <f t="shared" si="24"/>
        <v/>
      </c>
      <c r="BB20" s="2737" t="str">
        <f t="shared" si="25"/>
        <v/>
      </c>
      <c r="BC20" s="2738" t="str">
        <f t="shared" si="8"/>
        <v/>
      </c>
      <c r="BD20" s="2695" t="str">
        <f t="shared" si="26"/>
        <v/>
      </c>
      <c r="BE20" s="2690" t="str">
        <f t="shared" si="27"/>
        <v/>
      </c>
      <c r="BF20" s="2737" t="str">
        <f t="shared" si="28"/>
        <v/>
      </c>
      <c r="BG20" s="2738" t="str">
        <f t="shared" si="9"/>
        <v/>
      </c>
      <c r="BH20" s="261"/>
      <c r="BJ20" s="143"/>
      <c r="BL20" s="1782"/>
      <c r="BW20" s="991">
        <f t="shared" ca="1" si="29"/>
        <v>19</v>
      </c>
      <c r="BX20" s="991" t="str">
        <f t="shared" ca="1" si="36"/>
        <v>G7</v>
      </c>
      <c r="BY20" s="991" t="b">
        <f t="shared" ca="1" si="30"/>
        <v>0</v>
      </c>
      <c r="BZ20" s="1304" t="b">
        <f t="shared" si="37"/>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13" t="s">
        <v>1389</v>
      </c>
      <c r="DB20" s="2214"/>
      <c r="DC20" s="141"/>
      <c r="DD20" s="141"/>
      <c r="DE20" s="141"/>
      <c r="DF20" s="141"/>
      <c r="DG20" s="141"/>
      <c r="DH20" s="672" t="s">
        <v>1403</v>
      </c>
      <c r="DI20" s="673" t="s">
        <v>35</v>
      </c>
      <c r="DJ20" s="692">
        <v>8</v>
      </c>
      <c r="DK20" s="1332">
        <v>0</v>
      </c>
      <c r="DL20" s="674">
        <v>5</v>
      </c>
      <c r="DM20" s="693">
        <v>8</v>
      </c>
      <c r="DN20" s="1335">
        <v>0</v>
      </c>
      <c r="DO20" s="675"/>
      <c r="DP20" s="676"/>
      <c r="DQ20" s="1420">
        <v>5</v>
      </c>
      <c r="DR20" s="677">
        <v>13</v>
      </c>
      <c r="DS20" s="1612">
        <v>4</v>
      </c>
      <c r="DT20" s="1607">
        <v>2</v>
      </c>
      <c r="DU20" s="1608"/>
      <c r="DV20" s="678" t="s">
        <v>1018</v>
      </c>
      <c r="DW20" s="1337" t="s">
        <v>1706</v>
      </c>
      <c r="DX20" s="679"/>
      <c r="DY20" s="674" t="s">
        <v>35</v>
      </c>
      <c r="DZ20" s="2661">
        <v>1</v>
      </c>
      <c r="EA20" s="2664">
        <v>0.25</v>
      </c>
      <c r="EB20" s="679"/>
      <c r="EC20" s="2665" t="s">
        <v>35</v>
      </c>
      <c r="ED20" s="678"/>
      <c r="EE20" s="1337"/>
      <c r="EF20" s="679"/>
      <c r="EG20" s="674"/>
      <c r="EH20" s="678"/>
      <c r="EI20" s="1337"/>
      <c r="EJ20" s="679"/>
      <c r="EK20" s="680"/>
      <c r="EL20" s="929"/>
      <c r="EM20" s="1004"/>
      <c r="EN20" s="930"/>
      <c r="EO20" s="931"/>
      <c r="EP20" s="141"/>
      <c r="EQ20" s="141"/>
      <c r="ER20" s="141"/>
      <c r="ES20" s="141"/>
      <c r="ET20" s="141"/>
      <c r="EU20" s="141"/>
      <c r="EX20" s="503" t="str">
        <f t="shared" ca="1" si="31"/>
        <v>G7B</v>
      </c>
      <c r="EY20" s="940" t="b">
        <f t="shared" ca="1" si="10"/>
        <v>1</v>
      </c>
      <c r="EZ20" s="940">
        <f t="shared" ca="1" si="32"/>
        <v>5</v>
      </c>
      <c r="FA20" s="958" t="b">
        <f t="shared" ca="1" si="38"/>
        <v>1</v>
      </c>
      <c r="FB20" s="134">
        <f t="shared" ca="1" si="33"/>
        <v>620</v>
      </c>
      <c r="FC20" s="134">
        <f t="shared" ca="1" si="11"/>
        <v>94</v>
      </c>
      <c r="FD20" s="134">
        <f t="shared" ca="1" si="12"/>
        <v>480</v>
      </c>
      <c r="FE20" s="134">
        <f t="shared" ca="1" si="13"/>
        <v>46</v>
      </c>
      <c r="FF20" s="134">
        <f t="shared" ca="1" si="34"/>
        <v>620</v>
      </c>
      <c r="FN20" s="754" t="b">
        <v>0</v>
      </c>
      <c r="FO20" s="754"/>
      <c r="FP20" s="754" t="b">
        <v>0</v>
      </c>
      <c r="FQ20" s="754" t="b">
        <f t="shared" si="35"/>
        <v>1</v>
      </c>
      <c r="FX20" s="197"/>
      <c r="FZ20" s="2"/>
      <c r="GA20" s="141"/>
      <c r="GB20" s="141"/>
      <c r="GC20" s="141"/>
      <c r="GD20" s="141"/>
      <c r="GE20" s="141"/>
      <c r="GF20" s="141"/>
      <c r="GG20" s="141"/>
      <c r="GH20" s="141"/>
      <c r="GI20" s="141"/>
      <c r="GJ20" s="141"/>
      <c r="GK20" s="2"/>
      <c r="GZ20" s="1166" t="s">
        <v>1133</v>
      </c>
      <c r="HA20" s="1167">
        <v>1</v>
      </c>
      <c r="HB20" s="1167">
        <f t="shared" si="47"/>
        <v>2</v>
      </c>
      <c r="HC20" s="1167">
        <f t="shared" si="47"/>
        <v>3</v>
      </c>
      <c r="HD20" s="1167">
        <f t="shared" si="47"/>
        <v>4</v>
      </c>
      <c r="HE20" s="1167">
        <f t="shared" si="47"/>
        <v>5</v>
      </c>
      <c r="HF20" s="1167">
        <f t="shared" si="47"/>
        <v>6</v>
      </c>
      <c r="HG20" s="1167">
        <f t="shared" si="47"/>
        <v>7</v>
      </c>
      <c r="HH20" s="1167">
        <f t="shared" si="47"/>
        <v>8</v>
      </c>
      <c r="HI20" s="1167">
        <f t="shared" si="47"/>
        <v>9</v>
      </c>
      <c r="HJ20" s="1167">
        <f t="shared" si="47"/>
        <v>10</v>
      </c>
      <c r="HK20" s="1167">
        <f t="shared" si="47"/>
        <v>11</v>
      </c>
      <c r="HL20" s="1167">
        <f t="shared" si="47"/>
        <v>12</v>
      </c>
      <c r="HM20" s="1167">
        <f t="shared" si="47"/>
        <v>13</v>
      </c>
      <c r="HN20" s="1167">
        <f t="shared" si="47"/>
        <v>14</v>
      </c>
      <c r="HO20" s="1167">
        <f t="shared" si="47"/>
        <v>15</v>
      </c>
      <c r="HP20" s="1167">
        <f t="shared" si="47"/>
        <v>16</v>
      </c>
      <c r="HQ20" s="1167">
        <f t="shared" si="47"/>
        <v>17</v>
      </c>
      <c r="HR20" s="1167">
        <f t="shared" si="47"/>
        <v>18</v>
      </c>
      <c r="HS20" s="1167">
        <f t="shared" si="47"/>
        <v>19</v>
      </c>
      <c r="HT20" s="1167">
        <f t="shared" si="47"/>
        <v>20</v>
      </c>
      <c r="HU20" s="1167">
        <f t="shared" si="47"/>
        <v>21</v>
      </c>
      <c r="HV20" s="1167">
        <f t="shared" si="47"/>
        <v>22</v>
      </c>
      <c r="HW20" s="1167">
        <f t="shared" si="47"/>
        <v>23</v>
      </c>
      <c r="HX20" s="1167">
        <f t="shared" si="47"/>
        <v>24</v>
      </c>
      <c r="HY20" s="1167">
        <f t="shared" si="47"/>
        <v>25</v>
      </c>
      <c r="HZ20" s="1167">
        <f t="shared" si="47"/>
        <v>26</v>
      </c>
      <c r="IA20" s="1168" t="s">
        <v>1167</v>
      </c>
      <c r="IB20" s="1167">
        <v>27</v>
      </c>
      <c r="IC20" s="1167"/>
      <c r="ID20" s="1167"/>
      <c r="IE20" s="1242" t="s">
        <v>1403</v>
      </c>
      <c r="IF20" s="1243" t="s">
        <v>35</v>
      </c>
      <c r="IG20" s="1244">
        <v>8</v>
      </c>
      <c r="IH20" s="1245">
        <v>0</v>
      </c>
      <c r="II20" s="1243">
        <v>5</v>
      </c>
      <c r="IJ20" s="1244">
        <v>8</v>
      </c>
      <c r="IK20" s="1245">
        <v>0</v>
      </c>
      <c r="IL20" s="1243"/>
      <c r="IM20" s="1243"/>
      <c r="IN20" s="1243">
        <v>5</v>
      </c>
      <c r="IO20" s="1243">
        <v>13</v>
      </c>
      <c r="IP20" s="1243">
        <v>4</v>
      </c>
      <c r="IQ20" s="1243">
        <v>2</v>
      </c>
      <c r="IR20" s="1243"/>
      <c r="IS20" s="1244" t="s">
        <v>1018</v>
      </c>
      <c r="IT20" s="1245" t="s">
        <v>1706</v>
      </c>
      <c r="IU20" s="1243"/>
      <c r="IV20" s="1243" t="s">
        <v>35</v>
      </c>
      <c r="IW20" s="1244"/>
      <c r="IX20" s="1245"/>
      <c r="IY20" s="1243"/>
      <c r="IZ20" s="1243"/>
      <c r="JA20" s="1244"/>
      <c r="JB20" s="1245"/>
      <c r="JC20" s="1243"/>
      <c r="JD20" s="1243"/>
      <c r="JE20" s="1244"/>
      <c r="JF20" s="1245"/>
      <c r="JG20" s="1243"/>
      <c r="JH20" s="1243"/>
      <c r="JI20" s="1243"/>
      <c r="JJ20" s="1246"/>
      <c r="JK20" s="1243">
        <v>1</v>
      </c>
      <c r="JL20" s="1172">
        <f t="shared" ca="1" si="39"/>
        <v>1</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2683" t="str">
        <f t="shared" si="14"/>
        <v>G8</v>
      </c>
      <c r="AC21" s="2691" t="str">
        <f t="shared" si="3"/>
        <v>B</v>
      </c>
      <c r="AD21" s="2686">
        <f t="shared" ca="1" si="40"/>
        <v>7</v>
      </c>
      <c r="AE21" s="2690">
        <f t="shared" ca="1" si="41"/>
        <v>10</v>
      </c>
      <c r="AF21" s="2691">
        <f t="shared" ca="1" si="42"/>
        <v>5</v>
      </c>
      <c r="AG21" s="2686">
        <f t="shared" ca="1" si="43"/>
        <v>8</v>
      </c>
      <c r="AH21" s="2690">
        <f t="shared" ca="1" si="44"/>
        <v>0</v>
      </c>
      <c r="AI21" s="2686">
        <f t="shared" ca="1" si="45"/>
        <v>3</v>
      </c>
      <c r="AJ21" s="2690">
        <f t="shared" ca="1" si="46"/>
        <v>3.625</v>
      </c>
      <c r="AK21" s="2732" t="str">
        <f t="shared" si="15"/>
        <v/>
      </c>
      <c r="AL21" s="2733" t="str">
        <f t="shared" si="4"/>
        <v/>
      </c>
      <c r="AM21" s="2734">
        <f t="shared" si="16"/>
        <v>5</v>
      </c>
      <c r="AN21" s="2691">
        <f t="shared" si="16"/>
        <v>13</v>
      </c>
      <c r="AO21" s="2735">
        <f t="shared" si="16"/>
        <v>4</v>
      </c>
      <c r="AP21" s="2693">
        <f t="shared" si="5"/>
        <v>1.75</v>
      </c>
      <c r="AQ21" s="2736" t="str">
        <f t="shared" si="5"/>
        <v/>
      </c>
      <c r="AR21" s="2689">
        <f t="shared" si="17"/>
        <v>1</v>
      </c>
      <c r="AS21" s="2690">
        <f t="shared" si="18"/>
        <v>0</v>
      </c>
      <c r="AT21" s="2737" t="str">
        <f t="shared" si="19"/>
        <v/>
      </c>
      <c r="AU21" s="2738" t="str">
        <f t="shared" si="6"/>
        <v>B</v>
      </c>
      <c r="AV21" s="2695" t="str">
        <f t="shared" si="20"/>
        <v/>
      </c>
      <c r="AW21" s="2690" t="str">
        <f t="shared" si="21"/>
        <v/>
      </c>
      <c r="AX21" s="2737" t="str">
        <f t="shared" si="22"/>
        <v/>
      </c>
      <c r="AY21" s="2738" t="str">
        <f t="shared" si="7"/>
        <v/>
      </c>
      <c r="AZ21" s="2695" t="str">
        <f t="shared" si="23"/>
        <v/>
      </c>
      <c r="BA21" s="2690" t="str">
        <f t="shared" si="24"/>
        <v/>
      </c>
      <c r="BB21" s="2737" t="str">
        <f t="shared" si="25"/>
        <v/>
      </c>
      <c r="BC21" s="2738" t="str">
        <f t="shared" si="8"/>
        <v/>
      </c>
      <c r="BD21" s="2695" t="str">
        <f t="shared" si="26"/>
        <v/>
      </c>
      <c r="BE21" s="2690" t="str">
        <f t="shared" si="27"/>
        <v/>
      </c>
      <c r="BF21" s="2737" t="str">
        <f t="shared" si="28"/>
        <v/>
      </c>
      <c r="BG21" s="2738" t="str">
        <f t="shared" si="9"/>
        <v/>
      </c>
      <c r="BH21" s="261"/>
      <c r="BJ21" s="143"/>
      <c r="BL21" s="1782"/>
      <c r="BW21" s="991">
        <f t="shared" ca="1" si="29"/>
        <v>16</v>
      </c>
      <c r="BX21" s="991" t="str">
        <f t="shared" ca="1" si="36"/>
        <v>G8</v>
      </c>
      <c r="BY21" s="991" t="b">
        <f t="shared" ca="1" si="30"/>
        <v>0</v>
      </c>
      <c r="BZ21" s="1304" t="b">
        <f t="shared" si="37"/>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672" t="s">
        <v>1404</v>
      </c>
      <c r="DI21" s="673" t="s">
        <v>35</v>
      </c>
      <c r="DJ21" s="692">
        <v>8</v>
      </c>
      <c r="DK21" s="1332">
        <v>0</v>
      </c>
      <c r="DL21" s="674">
        <v>5</v>
      </c>
      <c r="DM21" s="693">
        <v>8</v>
      </c>
      <c r="DN21" s="1335">
        <v>0</v>
      </c>
      <c r="DO21" s="675"/>
      <c r="DP21" s="676"/>
      <c r="DQ21" s="1420">
        <v>5</v>
      </c>
      <c r="DR21" s="677">
        <v>13</v>
      </c>
      <c r="DS21" s="1612">
        <v>4</v>
      </c>
      <c r="DT21" s="1607">
        <v>2</v>
      </c>
      <c r="DU21" s="1608"/>
      <c r="DV21" s="2661">
        <v>1</v>
      </c>
      <c r="DW21" s="2664">
        <v>0.25</v>
      </c>
      <c r="DX21" s="679"/>
      <c r="DY21" s="2665" t="s">
        <v>35</v>
      </c>
      <c r="DZ21" s="678"/>
      <c r="EA21" s="1337"/>
      <c r="EB21" s="679"/>
      <c r="EC21" s="674"/>
      <c r="ED21" s="678"/>
      <c r="EE21" s="1337"/>
      <c r="EF21" s="679"/>
      <c r="EG21" s="674"/>
      <c r="EH21" s="678"/>
      <c r="EI21" s="1337"/>
      <c r="EJ21" s="679"/>
      <c r="EK21" s="680"/>
      <c r="EL21" s="141"/>
      <c r="EM21" s="1004"/>
      <c r="EN21" s="930"/>
      <c r="EO21" s="931"/>
      <c r="EP21" s="141"/>
      <c r="EQ21" s="141"/>
      <c r="ER21" s="141"/>
      <c r="ES21" s="141"/>
      <c r="ET21" s="141"/>
      <c r="EU21" s="141"/>
      <c r="EX21" s="503" t="str">
        <f t="shared" ca="1" si="31"/>
        <v>G8B</v>
      </c>
      <c r="EY21" s="940" t="b">
        <f t="shared" ca="1" si="10"/>
        <v>1</v>
      </c>
      <c r="EZ21" s="940">
        <f t="shared" ca="1" si="32"/>
        <v>5</v>
      </c>
      <c r="FA21" s="958" t="b">
        <f t="shared" ca="1" si="38"/>
        <v>1</v>
      </c>
      <c r="FB21" s="134">
        <f t="shared" ca="1" si="33"/>
        <v>613.625</v>
      </c>
      <c r="FC21" s="134">
        <f t="shared" ca="1" si="11"/>
        <v>94</v>
      </c>
      <c r="FD21" s="134">
        <f t="shared" ca="1" si="12"/>
        <v>480</v>
      </c>
      <c r="FE21" s="134">
        <f t="shared" ca="1" si="13"/>
        <v>39.625</v>
      </c>
      <c r="FF21" s="134">
        <f t="shared" ca="1" si="34"/>
        <v>613.625</v>
      </c>
      <c r="FN21" s="754" t="b">
        <v>0</v>
      </c>
      <c r="FO21" s="754"/>
      <c r="FP21" s="754" t="b">
        <v>0</v>
      </c>
      <c r="FQ21" s="754" t="b">
        <f t="shared" si="35"/>
        <v>1</v>
      </c>
      <c r="FX21" s="756"/>
      <c r="FZ21" s="23"/>
      <c r="GA21" s="141"/>
      <c r="GB21" s="141"/>
      <c r="GC21" s="141"/>
      <c r="GD21" s="141"/>
      <c r="GE21" s="141"/>
      <c r="GF21" s="141"/>
      <c r="GG21" s="141"/>
      <c r="GH21" s="141"/>
      <c r="GI21" s="141"/>
      <c r="GJ21" s="141"/>
      <c r="GK21" s="23"/>
      <c r="GZ21" s="1166" t="s">
        <v>1156</v>
      </c>
      <c r="HA21" s="1167">
        <v>1</v>
      </c>
      <c r="HB21" s="1167">
        <f>HA21+1</f>
        <v>2</v>
      </c>
      <c r="HC21" s="1167">
        <f t="shared" si="47"/>
        <v>3</v>
      </c>
      <c r="HD21" s="1167">
        <f t="shared" si="47"/>
        <v>4</v>
      </c>
      <c r="HE21" s="1167">
        <f t="shared" si="47"/>
        <v>5</v>
      </c>
      <c r="HF21" s="1167">
        <f t="shared" si="47"/>
        <v>6</v>
      </c>
      <c r="HG21" s="1167">
        <f t="shared" si="47"/>
        <v>7</v>
      </c>
      <c r="HH21" s="1167">
        <f t="shared" si="47"/>
        <v>8</v>
      </c>
      <c r="HI21" s="1167">
        <f t="shared" si="47"/>
        <v>9</v>
      </c>
      <c r="HJ21" s="1167">
        <f t="shared" si="47"/>
        <v>10</v>
      </c>
      <c r="HK21" s="1167">
        <f t="shared" si="47"/>
        <v>11</v>
      </c>
      <c r="HL21" s="1167">
        <f t="shared" si="47"/>
        <v>12</v>
      </c>
      <c r="HM21" s="1167">
        <f t="shared" si="47"/>
        <v>13</v>
      </c>
      <c r="HN21" s="1167">
        <f t="shared" si="47"/>
        <v>14</v>
      </c>
      <c r="HO21" s="1167">
        <f t="shared" si="47"/>
        <v>15</v>
      </c>
      <c r="HP21" s="1167">
        <f t="shared" si="47"/>
        <v>16</v>
      </c>
      <c r="HQ21" s="1167">
        <f t="shared" si="47"/>
        <v>17</v>
      </c>
      <c r="HR21" s="1167">
        <f t="shared" si="47"/>
        <v>18</v>
      </c>
      <c r="HS21" s="1167">
        <f t="shared" si="47"/>
        <v>19</v>
      </c>
      <c r="HT21" s="1167">
        <f t="shared" si="47"/>
        <v>20</v>
      </c>
      <c r="HU21" s="1167">
        <f t="shared" si="47"/>
        <v>21</v>
      </c>
      <c r="HV21" s="1167">
        <f t="shared" si="47"/>
        <v>22</v>
      </c>
      <c r="HW21" s="1167">
        <f t="shared" si="47"/>
        <v>23</v>
      </c>
      <c r="HX21" s="1167">
        <f t="shared" si="47"/>
        <v>24</v>
      </c>
      <c r="HY21" s="1167">
        <f t="shared" si="47"/>
        <v>25</v>
      </c>
      <c r="HZ21" s="1167">
        <f t="shared" si="47"/>
        <v>26</v>
      </c>
      <c r="IA21" s="1169">
        <f t="shared" si="47"/>
        <v>27</v>
      </c>
      <c r="IB21" s="1169">
        <f t="shared" si="47"/>
        <v>28</v>
      </c>
      <c r="IC21" s="1169">
        <f t="shared" si="47"/>
        <v>29</v>
      </c>
      <c r="ID21" s="1169">
        <f t="shared" si="47"/>
        <v>30</v>
      </c>
      <c r="IE21" s="1242" t="s">
        <v>1404</v>
      </c>
      <c r="IF21" s="1243" t="s">
        <v>35</v>
      </c>
      <c r="IG21" s="1244">
        <v>8</v>
      </c>
      <c r="IH21" s="1245">
        <v>0</v>
      </c>
      <c r="II21" s="1243">
        <v>5</v>
      </c>
      <c r="IJ21" s="1244">
        <v>8</v>
      </c>
      <c r="IK21" s="1245">
        <v>0</v>
      </c>
      <c r="IL21" s="1243"/>
      <c r="IM21" s="1243"/>
      <c r="IN21" s="1243">
        <v>5</v>
      </c>
      <c r="IO21" s="1243">
        <v>13</v>
      </c>
      <c r="IP21" s="1243">
        <v>4</v>
      </c>
      <c r="IQ21" s="1243">
        <v>2</v>
      </c>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39"/>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2683" t="str">
        <f t="shared" si="14"/>
        <v>G9</v>
      </c>
      <c r="AC22" s="2691" t="str">
        <f t="shared" si="3"/>
        <v>B</v>
      </c>
      <c r="AD22" s="2686">
        <f t="shared" ca="1" si="40"/>
        <v>7</v>
      </c>
      <c r="AE22" s="2690">
        <f t="shared" ca="1" si="41"/>
        <v>10</v>
      </c>
      <c r="AF22" s="2691">
        <f t="shared" ca="1" si="42"/>
        <v>5</v>
      </c>
      <c r="AG22" s="2686">
        <f t="shared" ca="1" si="43"/>
        <v>8</v>
      </c>
      <c r="AH22" s="2690">
        <f t="shared" ca="1" si="44"/>
        <v>0</v>
      </c>
      <c r="AI22" s="2686">
        <f t="shared" ca="1" si="45"/>
        <v>3</v>
      </c>
      <c r="AJ22" s="2690">
        <f t="shared" ca="1" si="46"/>
        <v>3.625</v>
      </c>
      <c r="AK22" s="2732" t="str">
        <f t="shared" si="15"/>
        <v/>
      </c>
      <c r="AL22" s="2733" t="str">
        <f t="shared" si="4"/>
        <v/>
      </c>
      <c r="AM22" s="2734">
        <f t="shared" si="16"/>
        <v>5</v>
      </c>
      <c r="AN22" s="2691">
        <f t="shared" si="16"/>
        <v>13</v>
      </c>
      <c r="AO22" s="2735">
        <f t="shared" si="16"/>
        <v>4</v>
      </c>
      <c r="AP22" s="2693">
        <f t="shared" si="5"/>
        <v>1.75</v>
      </c>
      <c r="AQ22" s="2736" t="str">
        <f t="shared" si="5"/>
        <v/>
      </c>
      <c r="AR22" s="2689">
        <f t="shared" si="17"/>
        <v>1</v>
      </c>
      <c r="AS22" s="2690">
        <f t="shared" si="18"/>
        <v>0</v>
      </c>
      <c r="AT22" s="2737" t="str">
        <f t="shared" si="19"/>
        <v/>
      </c>
      <c r="AU22" s="2738" t="str">
        <f t="shared" si="6"/>
        <v>B</v>
      </c>
      <c r="AV22" s="2695" t="str">
        <f t="shared" si="20"/>
        <v/>
      </c>
      <c r="AW22" s="2690" t="str">
        <f t="shared" si="21"/>
        <v/>
      </c>
      <c r="AX22" s="2737" t="str">
        <f t="shared" si="22"/>
        <v/>
      </c>
      <c r="AY22" s="2738" t="str">
        <f t="shared" si="7"/>
        <v/>
      </c>
      <c r="AZ22" s="2695" t="str">
        <f t="shared" si="23"/>
        <v/>
      </c>
      <c r="BA22" s="2690" t="str">
        <f t="shared" si="24"/>
        <v/>
      </c>
      <c r="BB22" s="2737" t="str">
        <f t="shared" si="25"/>
        <v/>
      </c>
      <c r="BC22" s="2738" t="str">
        <f t="shared" si="8"/>
        <v/>
      </c>
      <c r="BD22" s="2695" t="str">
        <f t="shared" si="26"/>
        <v/>
      </c>
      <c r="BE22" s="2690" t="str">
        <f t="shared" si="27"/>
        <v/>
      </c>
      <c r="BF22" s="2737" t="str">
        <f t="shared" si="28"/>
        <v/>
      </c>
      <c r="BG22" s="2738" t="str">
        <f t="shared" si="9"/>
        <v/>
      </c>
      <c r="BH22" s="261"/>
      <c r="BJ22" s="143"/>
      <c r="BL22" s="1782"/>
      <c r="BW22" s="991">
        <f t="shared" ca="1" si="29"/>
        <v>16</v>
      </c>
      <c r="BX22" s="991" t="str">
        <f t="shared" ca="1" si="36"/>
        <v>G9</v>
      </c>
      <c r="BY22" s="991" t="b">
        <f t="shared" ca="1" si="30"/>
        <v>0</v>
      </c>
      <c r="BZ22" s="1304" t="b">
        <f t="shared" si="37"/>
        <v>0</v>
      </c>
      <c r="CB22" s="2155" t="s">
        <v>638</v>
      </c>
      <c r="CC22" s="2156"/>
      <c r="CD22" s="2156"/>
      <c r="CE22" s="2156"/>
      <c r="CF22" s="2156"/>
      <c r="CG22" s="2156"/>
      <c r="CH22" s="2156"/>
      <c r="CI22" s="2156"/>
      <c r="CJ22" s="2156"/>
      <c r="CK22" s="2156"/>
      <c r="CL22" s="2156"/>
      <c r="CM22" s="2156"/>
      <c r="CN22" s="2156"/>
      <c r="CO22" s="2156"/>
      <c r="CP22" s="2156"/>
      <c r="CQ22" s="2156"/>
      <c r="CR22" s="2156"/>
      <c r="CS22" s="2156"/>
      <c r="CT22" s="2156"/>
      <c r="CU22" s="2156"/>
      <c r="CV22" s="2156"/>
      <c r="CW22" s="2156"/>
      <c r="CX22" s="2156"/>
      <c r="CY22" s="2156"/>
      <c r="CZ22" s="2157"/>
      <c r="DA22" s="2157"/>
      <c r="DB22" s="2157"/>
      <c r="DC22" s="2157"/>
      <c r="DD22" s="2157"/>
      <c r="DE22" s="2158"/>
      <c r="DF22" s="141"/>
      <c r="DG22" s="141"/>
      <c r="DH22" s="672" t="s">
        <v>1405</v>
      </c>
      <c r="DI22" s="673" t="s">
        <v>35</v>
      </c>
      <c r="DJ22" s="692">
        <v>8</v>
      </c>
      <c r="DK22" s="1332">
        <v>0</v>
      </c>
      <c r="DL22" s="674">
        <v>5</v>
      </c>
      <c r="DM22" s="693">
        <v>8</v>
      </c>
      <c r="DN22" s="1335">
        <v>0</v>
      </c>
      <c r="DO22" s="675"/>
      <c r="DP22" s="676"/>
      <c r="DQ22" s="1420">
        <v>5</v>
      </c>
      <c r="DR22" s="677">
        <v>13</v>
      </c>
      <c r="DS22" s="1612">
        <v>4</v>
      </c>
      <c r="DT22" s="1607">
        <v>2</v>
      </c>
      <c r="DU22" s="1608"/>
      <c r="DV22" s="2661">
        <v>1</v>
      </c>
      <c r="DW22" s="2664">
        <v>0.25</v>
      </c>
      <c r="DX22" s="679"/>
      <c r="DY22" s="2665" t="s">
        <v>35</v>
      </c>
      <c r="DZ22" s="678"/>
      <c r="EA22" s="1337"/>
      <c r="EB22" s="679"/>
      <c r="EC22" s="674"/>
      <c r="ED22" s="678"/>
      <c r="EE22" s="1337"/>
      <c r="EF22" s="679"/>
      <c r="EG22" s="674"/>
      <c r="EH22" s="678"/>
      <c r="EI22" s="1337"/>
      <c r="EJ22" s="679"/>
      <c r="EK22" s="680"/>
      <c r="EL22" s="141"/>
      <c r="EM22" s="1004"/>
      <c r="EN22" s="930"/>
      <c r="EO22" s="931"/>
      <c r="EP22" s="141"/>
      <c r="EQ22" s="141"/>
      <c r="ER22" s="141"/>
      <c r="ES22" s="141"/>
      <c r="ET22" s="141"/>
      <c r="EU22" s="141"/>
      <c r="EX22" s="503" t="str">
        <f t="shared" ca="1" si="31"/>
        <v>G9B</v>
      </c>
      <c r="EY22" s="940" t="b">
        <f t="shared" ca="1" si="10"/>
        <v>1</v>
      </c>
      <c r="EZ22" s="940">
        <f t="shared" ca="1" si="32"/>
        <v>5</v>
      </c>
      <c r="FA22" s="958" t="b">
        <f t="shared" ca="1" si="38"/>
        <v>1</v>
      </c>
      <c r="FB22" s="134">
        <f t="shared" ca="1" si="33"/>
        <v>613.625</v>
      </c>
      <c r="FC22" s="134">
        <f t="shared" ca="1" si="11"/>
        <v>94</v>
      </c>
      <c r="FD22" s="134">
        <f t="shared" ca="1" si="12"/>
        <v>480</v>
      </c>
      <c r="FE22" s="134">
        <f t="shared" ca="1" si="13"/>
        <v>39.625</v>
      </c>
      <c r="FF22" s="134">
        <f t="shared" ca="1" si="34"/>
        <v>613.625</v>
      </c>
      <c r="FN22" s="754" t="b">
        <v>0</v>
      </c>
      <c r="FO22" s="754"/>
      <c r="FP22" s="754" t="b">
        <v>0</v>
      </c>
      <c r="FQ22" s="754" t="b">
        <f t="shared" si="35"/>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47"/>
        <v>4</v>
      </c>
      <c r="HE22" s="1167">
        <f t="shared" si="47"/>
        <v>5</v>
      </c>
      <c r="HF22" s="1167">
        <f t="shared" si="47"/>
        <v>6</v>
      </c>
      <c r="HG22" s="1167">
        <f t="shared" si="47"/>
        <v>7</v>
      </c>
      <c r="HH22" s="1167">
        <f t="shared" si="47"/>
        <v>8</v>
      </c>
      <c r="HI22" s="1167">
        <f t="shared" si="47"/>
        <v>9</v>
      </c>
      <c r="HJ22" s="1167">
        <f t="shared" si="47"/>
        <v>10</v>
      </c>
      <c r="HK22" s="1167">
        <f t="shared" si="47"/>
        <v>11</v>
      </c>
      <c r="HL22" s="1167">
        <f t="shared" si="47"/>
        <v>12</v>
      </c>
      <c r="HM22" s="1167">
        <f t="shared" si="47"/>
        <v>13</v>
      </c>
      <c r="HN22" s="1167">
        <f t="shared" si="47"/>
        <v>14</v>
      </c>
      <c r="HO22" s="1167">
        <f t="shared" si="47"/>
        <v>15</v>
      </c>
      <c r="HP22" s="1167">
        <f t="shared" si="47"/>
        <v>16</v>
      </c>
      <c r="HQ22" s="1167">
        <f t="shared" si="47"/>
        <v>17</v>
      </c>
      <c r="HR22" s="1167">
        <f t="shared" si="47"/>
        <v>18</v>
      </c>
      <c r="HS22" s="1167">
        <f t="shared" si="47"/>
        <v>19</v>
      </c>
      <c r="HT22" s="1167">
        <f t="shared" si="47"/>
        <v>20</v>
      </c>
      <c r="HU22" s="1167">
        <f t="shared" si="47"/>
        <v>21</v>
      </c>
      <c r="HV22" s="1167">
        <f t="shared" si="47"/>
        <v>22</v>
      </c>
      <c r="HW22" s="1167">
        <f t="shared" si="47"/>
        <v>23</v>
      </c>
      <c r="HX22" s="1167">
        <f t="shared" si="47"/>
        <v>24</v>
      </c>
      <c r="HY22" s="1167">
        <f>HX22+1</f>
        <v>25</v>
      </c>
      <c r="HZ22" s="1167">
        <f>HY22+1</f>
        <v>26</v>
      </c>
      <c r="IA22" s="1167">
        <f>HZ22+1</f>
        <v>27</v>
      </c>
      <c r="IB22" s="1167">
        <f>IA22+1</f>
        <v>28</v>
      </c>
      <c r="IC22" s="1167"/>
      <c r="ID22" s="1167"/>
      <c r="IE22" s="1242" t="s">
        <v>1405</v>
      </c>
      <c r="IF22" s="1243" t="s">
        <v>35</v>
      </c>
      <c r="IG22" s="1244">
        <v>8</v>
      </c>
      <c r="IH22" s="1245">
        <v>0</v>
      </c>
      <c r="II22" s="1243">
        <v>5</v>
      </c>
      <c r="IJ22" s="1244">
        <v>8</v>
      </c>
      <c r="IK22" s="1245">
        <v>0</v>
      </c>
      <c r="IL22" s="1243"/>
      <c r="IM22" s="1243"/>
      <c r="IN22" s="1243">
        <v>5</v>
      </c>
      <c r="IO22" s="1243">
        <v>13</v>
      </c>
      <c r="IP22" s="1243">
        <v>4</v>
      </c>
      <c r="IQ22" s="1243">
        <v>2</v>
      </c>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39"/>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2683" t="str">
        <f t="shared" si="14"/>
        <v>G10</v>
      </c>
      <c r="AC23" s="2691" t="str">
        <f t="shared" si="3"/>
        <v>B</v>
      </c>
      <c r="AD23" s="2686">
        <f t="shared" ca="1" si="40"/>
        <v>3</v>
      </c>
      <c r="AE23" s="2690">
        <f t="shared" ca="1" si="41"/>
        <v>10</v>
      </c>
      <c r="AF23" s="2691">
        <f t="shared" ca="1" si="42"/>
        <v>5</v>
      </c>
      <c r="AG23" s="2686">
        <f t="shared" ca="1" si="43"/>
        <v>8</v>
      </c>
      <c r="AH23" s="2690">
        <f t="shared" ca="1" si="44"/>
        <v>0</v>
      </c>
      <c r="AI23" s="2686">
        <f t="shared" ca="1" si="45"/>
        <v>7</v>
      </c>
      <c r="AJ23" s="2690">
        <f t="shared" ca="1" si="46"/>
        <v>10</v>
      </c>
      <c r="AK23" s="2732" t="str">
        <f t="shared" si="15"/>
        <v/>
      </c>
      <c r="AL23" s="2733" t="str">
        <f t="shared" si="4"/>
        <v/>
      </c>
      <c r="AM23" s="2734">
        <f t="shared" si="16"/>
        <v>5</v>
      </c>
      <c r="AN23" s="2691">
        <f t="shared" si="16"/>
        <v>13</v>
      </c>
      <c r="AO23" s="2735">
        <f t="shared" si="16"/>
        <v>4</v>
      </c>
      <c r="AP23" s="2693" t="str">
        <f t="shared" si="5"/>
        <v/>
      </c>
      <c r="AQ23" s="2736">
        <f t="shared" si="5"/>
        <v>1.75</v>
      </c>
      <c r="AR23" s="2689" t="str">
        <f t="shared" si="17"/>
        <v>P</v>
      </c>
      <c r="AS23" s="2690" t="str">
        <f t="shared" si="18"/>
        <v>#1</v>
      </c>
      <c r="AT23" s="2737" t="str">
        <f t="shared" si="19"/>
        <v/>
      </c>
      <c r="AU23" s="2738" t="str">
        <f t="shared" si="6"/>
        <v>B</v>
      </c>
      <c r="AV23" s="2695">
        <f t="shared" si="20"/>
        <v>51</v>
      </c>
      <c r="AW23" s="2690">
        <f t="shared" si="21"/>
        <v>0</v>
      </c>
      <c r="AX23" s="2737" t="str">
        <f t="shared" si="22"/>
        <v/>
      </c>
      <c r="AY23" s="2738" t="str">
        <f t="shared" si="7"/>
        <v>B</v>
      </c>
      <c r="AZ23" s="2695" t="str">
        <f t="shared" si="23"/>
        <v/>
      </c>
      <c r="BA23" s="2690" t="str">
        <f t="shared" si="24"/>
        <v/>
      </c>
      <c r="BB23" s="2737" t="str">
        <f t="shared" si="25"/>
        <v/>
      </c>
      <c r="BC23" s="2738" t="str">
        <f t="shared" si="8"/>
        <v/>
      </c>
      <c r="BD23" s="2695" t="str">
        <f t="shared" si="26"/>
        <v/>
      </c>
      <c r="BE23" s="2690" t="str">
        <f t="shared" si="27"/>
        <v/>
      </c>
      <c r="BF23" s="2737" t="str">
        <f t="shared" si="28"/>
        <v/>
      </c>
      <c r="BG23" s="2738" t="str">
        <f t="shared" si="9"/>
        <v/>
      </c>
      <c r="BH23" s="261"/>
      <c r="BJ23" s="143"/>
      <c r="BL23" s="1782"/>
      <c r="BW23" s="991">
        <f t="shared" ca="1" si="29"/>
        <v>19</v>
      </c>
      <c r="BX23" s="991" t="str">
        <f t="shared" ca="1" si="36"/>
        <v>G10</v>
      </c>
      <c r="BY23" s="991" t="b">
        <f t="shared" ca="1" si="30"/>
        <v>0</v>
      </c>
      <c r="BZ23" s="1304" t="b">
        <f t="shared" si="37"/>
        <v>0</v>
      </c>
      <c r="CB23" s="2159"/>
      <c r="CC23" s="2160"/>
      <c r="CD23" s="2160"/>
      <c r="CE23" s="2160"/>
      <c r="CF23" s="2160"/>
      <c r="CG23" s="2160"/>
      <c r="CH23" s="2160"/>
      <c r="CI23" s="2160"/>
      <c r="CJ23" s="2160"/>
      <c r="CK23" s="2160"/>
      <c r="CL23" s="2160"/>
      <c r="CM23" s="2160"/>
      <c r="CN23" s="2160"/>
      <c r="CO23" s="2160"/>
      <c r="CP23" s="2160"/>
      <c r="CQ23" s="2160"/>
      <c r="CR23" s="2160"/>
      <c r="CS23" s="2160"/>
      <c r="CT23" s="2160"/>
      <c r="CU23" s="2160"/>
      <c r="CV23" s="2160"/>
      <c r="CW23" s="2160"/>
      <c r="CX23" s="2160"/>
      <c r="CY23" s="2160"/>
      <c r="CZ23" s="1971"/>
      <c r="DA23" s="1971"/>
      <c r="DB23" s="1971"/>
      <c r="DC23" s="1971"/>
      <c r="DD23" s="1971"/>
      <c r="DE23" s="2161"/>
      <c r="DF23" s="141"/>
      <c r="DG23" s="141"/>
      <c r="DH23" s="672" t="s">
        <v>1406</v>
      </c>
      <c r="DI23" s="673" t="s">
        <v>35</v>
      </c>
      <c r="DJ23" s="692">
        <v>4</v>
      </c>
      <c r="DK23" s="1332">
        <v>0</v>
      </c>
      <c r="DL23" s="674">
        <v>5</v>
      </c>
      <c r="DM23" s="693">
        <v>8</v>
      </c>
      <c r="DN23" s="1335">
        <v>0</v>
      </c>
      <c r="DO23" s="675"/>
      <c r="DP23" s="676"/>
      <c r="DQ23" s="1420">
        <v>5</v>
      </c>
      <c r="DR23" s="677">
        <v>13</v>
      </c>
      <c r="DS23" s="1612">
        <v>4</v>
      </c>
      <c r="DT23" s="1607"/>
      <c r="DU23" s="1608">
        <v>2</v>
      </c>
      <c r="DV23" s="678" t="s">
        <v>1018</v>
      </c>
      <c r="DW23" s="1337" t="s">
        <v>1705</v>
      </c>
      <c r="DX23" s="679"/>
      <c r="DY23" s="674" t="s">
        <v>35</v>
      </c>
      <c r="DZ23" s="2661">
        <v>51</v>
      </c>
      <c r="EA23" s="2664">
        <v>0.25</v>
      </c>
      <c r="EB23" s="679"/>
      <c r="EC23" s="2665" t="s">
        <v>35</v>
      </c>
      <c r="ED23" s="678"/>
      <c r="EE23" s="1337"/>
      <c r="EF23" s="679"/>
      <c r="EG23" s="674"/>
      <c r="EH23" s="678"/>
      <c r="EI23" s="1337"/>
      <c r="EJ23" s="679"/>
      <c r="EK23" s="680"/>
      <c r="EL23" s="141"/>
      <c r="EM23" s="1004"/>
      <c r="EN23" s="930"/>
      <c r="EO23" s="931"/>
      <c r="EP23" s="141"/>
      <c r="EQ23" s="141"/>
      <c r="ER23" s="141"/>
      <c r="ES23" s="141"/>
      <c r="ET23" s="141"/>
      <c r="EU23" s="141"/>
      <c r="EX23" s="503" t="str">
        <f t="shared" ca="1" si="31"/>
        <v>G10B</v>
      </c>
      <c r="EY23" s="940" t="b">
        <f t="shared" ca="1" si="10"/>
        <v>1</v>
      </c>
      <c r="EZ23" s="940">
        <f t="shared" ca="1" si="32"/>
        <v>5</v>
      </c>
      <c r="FA23" s="958" t="b">
        <f t="shared" ca="1" si="38"/>
        <v>1</v>
      </c>
      <c r="FB23" s="134">
        <f t="shared" ca="1" si="33"/>
        <v>620</v>
      </c>
      <c r="FC23" s="134">
        <f t="shared" ca="1" si="11"/>
        <v>46</v>
      </c>
      <c r="FD23" s="134">
        <f t="shared" ca="1" si="12"/>
        <v>480</v>
      </c>
      <c r="FE23" s="134">
        <f t="shared" ca="1" si="13"/>
        <v>94</v>
      </c>
      <c r="FF23" s="134">
        <f t="shared" ca="1" si="34"/>
        <v>620</v>
      </c>
      <c r="FN23" s="754" t="b">
        <v>0</v>
      </c>
      <c r="FO23" s="754"/>
      <c r="FP23" s="754" t="b">
        <v>0</v>
      </c>
      <c r="FQ23" s="754" t="b">
        <f t="shared" si="35"/>
        <v>1</v>
      </c>
      <c r="FX23" s="197"/>
      <c r="FZ23" s="2"/>
      <c r="GA23" s="141"/>
      <c r="GB23" s="141"/>
      <c r="GC23" s="141"/>
      <c r="GD23" s="141"/>
      <c r="GE23" s="141"/>
      <c r="GF23" s="141"/>
      <c r="GG23" s="141"/>
      <c r="GH23" s="141"/>
      <c r="GI23" s="141"/>
      <c r="GJ23" s="141"/>
      <c r="GK23" s="2"/>
      <c r="ID23" s="781"/>
      <c r="IE23" s="1242" t="s">
        <v>1406</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39"/>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9">
        <f>B48+B49</f>
        <v>143</v>
      </c>
      <c r="Y24" s="2089"/>
      <c r="Z24" s="1093"/>
      <c r="AA24" s="1093"/>
      <c r="AB24" s="2683" t="str">
        <f t="shared" si="14"/>
        <v>G11</v>
      </c>
      <c r="AC24" s="2691" t="str">
        <f t="shared" si="3"/>
        <v>B</v>
      </c>
      <c r="AD24" s="2686">
        <f t="shared" ca="1" si="40"/>
        <v>7</v>
      </c>
      <c r="AE24" s="2690">
        <f t="shared" ca="1" si="41"/>
        <v>10</v>
      </c>
      <c r="AF24" s="2691">
        <f t="shared" ca="1" si="42"/>
        <v>5</v>
      </c>
      <c r="AG24" s="2686">
        <f t="shared" ca="1" si="43"/>
        <v>8</v>
      </c>
      <c r="AH24" s="2690">
        <f t="shared" ca="1" si="44"/>
        <v>0</v>
      </c>
      <c r="AI24" s="2686">
        <f t="shared" ca="1" si="45"/>
        <v>3</v>
      </c>
      <c r="AJ24" s="2690">
        <f t="shared" ca="1" si="46"/>
        <v>10</v>
      </c>
      <c r="AK24" s="2732" t="str">
        <f t="shared" si="15"/>
        <v/>
      </c>
      <c r="AL24" s="2733" t="str">
        <f t="shared" si="4"/>
        <v/>
      </c>
      <c r="AM24" s="2734">
        <f t="shared" si="16"/>
        <v>5</v>
      </c>
      <c r="AN24" s="2691">
        <f t="shared" si="16"/>
        <v>13</v>
      </c>
      <c r="AO24" s="2735">
        <f t="shared" si="16"/>
        <v>4</v>
      </c>
      <c r="AP24" s="2693">
        <f t="shared" si="5"/>
        <v>1.75</v>
      </c>
      <c r="AQ24" s="2736" t="str">
        <f t="shared" si="5"/>
        <v/>
      </c>
      <c r="AR24" s="2689" t="str">
        <f t="shared" si="17"/>
        <v>P</v>
      </c>
      <c r="AS24" s="2690" t="str">
        <f t="shared" si="18"/>
        <v>#6</v>
      </c>
      <c r="AT24" s="2737" t="str">
        <f t="shared" si="19"/>
        <v/>
      </c>
      <c r="AU24" s="2738" t="str">
        <f t="shared" si="6"/>
        <v>B</v>
      </c>
      <c r="AV24" s="2695">
        <f t="shared" si="20"/>
        <v>1</v>
      </c>
      <c r="AW24" s="2690">
        <f t="shared" si="21"/>
        <v>0</v>
      </c>
      <c r="AX24" s="2737" t="str">
        <f t="shared" si="22"/>
        <v/>
      </c>
      <c r="AY24" s="2738" t="str">
        <f t="shared" si="7"/>
        <v>B</v>
      </c>
      <c r="AZ24" s="2695" t="str">
        <f t="shared" si="23"/>
        <v/>
      </c>
      <c r="BA24" s="2690" t="str">
        <f t="shared" si="24"/>
        <v/>
      </c>
      <c r="BB24" s="2737" t="str">
        <f t="shared" si="25"/>
        <v/>
      </c>
      <c r="BC24" s="2738" t="str">
        <f t="shared" si="8"/>
        <v/>
      </c>
      <c r="BD24" s="2695" t="str">
        <f t="shared" si="26"/>
        <v/>
      </c>
      <c r="BE24" s="2690" t="str">
        <f t="shared" si="27"/>
        <v/>
      </c>
      <c r="BF24" s="2737" t="str">
        <f t="shared" si="28"/>
        <v/>
      </c>
      <c r="BG24" s="2738" t="str">
        <f t="shared" si="9"/>
        <v/>
      </c>
      <c r="BH24" s="261"/>
      <c r="BJ24" s="143"/>
      <c r="BL24" s="1782"/>
      <c r="BW24" s="991">
        <f t="shared" ca="1" si="29"/>
        <v>19</v>
      </c>
      <c r="BX24" s="991" t="str">
        <f t="shared" ca="1" si="36"/>
        <v>G11</v>
      </c>
      <c r="BY24" s="991" t="b">
        <f t="shared" ca="1" si="30"/>
        <v>0</v>
      </c>
      <c r="BZ24" s="1304" t="b">
        <f t="shared" si="37"/>
        <v>0</v>
      </c>
      <c r="CB24" s="2219"/>
      <c r="CC24" s="1971"/>
      <c r="CD24" s="1971"/>
      <c r="CE24" s="1971"/>
      <c r="CF24" s="2161"/>
      <c r="CG24" s="2215" t="s">
        <v>469</v>
      </c>
      <c r="CH24" s="2216"/>
      <c r="CI24" s="2216"/>
      <c r="CJ24" s="2216"/>
      <c r="CK24" s="2216"/>
      <c r="CL24" s="2216"/>
      <c r="CM24" s="2216"/>
      <c r="CN24" s="2157"/>
      <c r="CO24" s="2157"/>
      <c r="CP24" s="2158"/>
      <c r="CQ24" s="2215" t="s">
        <v>470</v>
      </c>
      <c r="CR24" s="2216"/>
      <c r="CS24" s="2216"/>
      <c r="CT24" s="2216"/>
      <c r="CU24" s="2216"/>
      <c r="CV24" s="2216"/>
      <c r="CW24" s="2216"/>
      <c r="CX24" s="2157"/>
      <c r="CY24" s="2157"/>
      <c r="CZ24" s="2158"/>
      <c r="DA24" s="1577"/>
      <c r="DB24" s="2237"/>
      <c r="DC24" s="2238"/>
      <c r="DD24" s="2238"/>
      <c r="DE24" s="2239"/>
      <c r="DF24" s="141"/>
      <c r="DG24" s="141"/>
      <c r="DH24" s="672" t="s">
        <v>1407</v>
      </c>
      <c r="DI24" s="673" t="s">
        <v>35</v>
      </c>
      <c r="DJ24" s="692">
        <v>8</v>
      </c>
      <c r="DK24" s="1332">
        <v>0</v>
      </c>
      <c r="DL24" s="674">
        <v>5</v>
      </c>
      <c r="DM24" s="693">
        <v>8</v>
      </c>
      <c r="DN24" s="1335">
        <v>0</v>
      </c>
      <c r="DO24" s="675"/>
      <c r="DP24" s="676"/>
      <c r="DQ24" s="1420">
        <v>5</v>
      </c>
      <c r="DR24" s="677">
        <v>13</v>
      </c>
      <c r="DS24" s="1612">
        <v>4</v>
      </c>
      <c r="DT24" s="1607">
        <v>2</v>
      </c>
      <c r="DU24" s="1608"/>
      <c r="DV24" s="678" t="s">
        <v>1018</v>
      </c>
      <c r="DW24" s="1337" t="s">
        <v>1706</v>
      </c>
      <c r="DX24" s="679"/>
      <c r="DY24" s="674" t="s">
        <v>35</v>
      </c>
      <c r="DZ24" s="2661">
        <v>1</v>
      </c>
      <c r="EA24" s="2664">
        <v>0.25</v>
      </c>
      <c r="EB24" s="679"/>
      <c r="EC24" s="2665" t="s">
        <v>35</v>
      </c>
      <c r="ED24" s="678"/>
      <c r="EE24" s="1337"/>
      <c r="EF24" s="679"/>
      <c r="EG24" s="674"/>
      <c r="EH24" s="678"/>
      <c r="EI24" s="1337"/>
      <c r="EJ24" s="679"/>
      <c r="EK24" s="680"/>
      <c r="EL24" s="141"/>
      <c r="EM24" s="1004"/>
      <c r="EN24" s="930"/>
      <c r="EO24" s="931"/>
      <c r="EP24" s="141"/>
      <c r="EQ24" s="141"/>
      <c r="ER24" s="141"/>
      <c r="ES24" s="141"/>
      <c r="ET24" s="2098" t="s">
        <v>615</v>
      </c>
      <c r="EU24" s="2099"/>
      <c r="EX24" s="503" t="str">
        <f t="shared" ca="1" si="31"/>
        <v>G11B</v>
      </c>
      <c r="EY24" s="940" t="b">
        <f t="shared" ca="1" si="10"/>
        <v>1</v>
      </c>
      <c r="EZ24" s="940">
        <f t="shared" ca="1" si="32"/>
        <v>5</v>
      </c>
      <c r="FA24" s="958" t="b">
        <f t="shared" ca="1" si="38"/>
        <v>1</v>
      </c>
      <c r="FB24" s="134">
        <f t="shared" ca="1" si="33"/>
        <v>620</v>
      </c>
      <c r="FC24" s="134">
        <f t="shared" ca="1" si="11"/>
        <v>94</v>
      </c>
      <c r="FD24" s="134">
        <f t="shared" ca="1" si="12"/>
        <v>480</v>
      </c>
      <c r="FE24" s="134">
        <f t="shared" ca="1" si="13"/>
        <v>46</v>
      </c>
      <c r="FF24" s="134">
        <f t="shared" ca="1" si="34"/>
        <v>620</v>
      </c>
      <c r="FN24" s="754" t="b">
        <v>0</v>
      </c>
      <c r="FO24" s="754"/>
      <c r="FP24" s="754" t="b">
        <v>0</v>
      </c>
      <c r="FQ24" s="754" t="b">
        <f t="shared" si="35"/>
        <v>1</v>
      </c>
      <c r="FX24" s="197"/>
      <c r="FZ24" s="2"/>
      <c r="GA24" s="141"/>
      <c r="GB24" s="141"/>
      <c r="GC24" s="141"/>
      <c r="GD24" s="141"/>
      <c r="GE24" s="141"/>
      <c r="GF24" s="141"/>
      <c r="GG24" s="141"/>
      <c r="GH24" s="141"/>
      <c r="GI24" s="141"/>
      <c r="GJ24" s="141"/>
      <c r="GK24" s="2"/>
      <c r="ID24" s="781"/>
      <c r="IE24" s="1242" t="s">
        <v>1407</v>
      </c>
      <c r="IF24" s="1243" t="s">
        <v>35</v>
      </c>
      <c r="IG24" s="1244">
        <v>8</v>
      </c>
      <c r="IH24" s="1245">
        <v>0</v>
      </c>
      <c r="II24" s="1243">
        <v>5</v>
      </c>
      <c r="IJ24" s="1244">
        <v>8</v>
      </c>
      <c r="IK24" s="1245">
        <v>0</v>
      </c>
      <c r="IL24" s="1243"/>
      <c r="IM24" s="1243"/>
      <c r="IN24" s="1243">
        <v>5</v>
      </c>
      <c r="IO24" s="1243">
        <v>13</v>
      </c>
      <c r="IP24" s="1243">
        <v>4</v>
      </c>
      <c r="IQ24" s="1243">
        <v>2</v>
      </c>
      <c r="IR24" s="1243"/>
      <c r="IS24" s="1244" t="s">
        <v>1018</v>
      </c>
      <c r="IT24" s="1245" t="s">
        <v>1706</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39"/>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2683" t="str">
        <f t="shared" si="14"/>
        <v>G12</v>
      </c>
      <c r="AC25" s="2691" t="str">
        <f t="shared" si="3"/>
        <v>B</v>
      </c>
      <c r="AD25" s="2686">
        <f t="shared" ca="1" si="40"/>
        <v>3</v>
      </c>
      <c r="AE25" s="2690">
        <f t="shared" ca="1" si="41"/>
        <v>10</v>
      </c>
      <c r="AF25" s="2691">
        <f t="shared" ca="1" si="42"/>
        <v>5</v>
      </c>
      <c r="AG25" s="2686">
        <f t="shared" ca="1" si="43"/>
        <v>8</v>
      </c>
      <c r="AH25" s="2690">
        <f t="shared" ca="1" si="44"/>
        <v>0</v>
      </c>
      <c r="AI25" s="2686">
        <f t="shared" ca="1" si="45"/>
        <v>7</v>
      </c>
      <c r="AJ25" s="2690">
        <f t="shared" ca="1" si="46"/>
        <v>10</v>
      </c>
      <c r="AK25" s="2732" t="str">
        <f t="shared" si="15"/>
        <v/>
      </c>
      <c r="AL25" s="2733" t="str">
        <f t="shared" si="4"/>
        <v/>
      </c>
      <c r="AM25" s="2734">
        <f t="shared" si="16"/>
        <v>5</v>
      </c>
      <c r="AN25" s="2691">
        <f t="shared" si="16"/>
        <v>13</v>
      </c>
      <c r="AO25" s="2735">
        <f t="shared" si="16"/>
        <v>4</v>
      </c>
      <c r="AP25" s="2693" t="str">
        <f t="shared" si="5"/>
        <v/>
      </c>
      <c r="AQ25" s="2736">
        <f t="shared" si="5"/>
        <v>1.75</v>
      </c>
      <c r="AR25" s="2689" t="str">
        <f t="shared" si="17"/>
        <v>P</v>
      </c>
      <c r="AS25" s="2690" t="str">
        <f t="shared" si="18"/>
        <v>#1</v>
      </c>
      <c r="AT25" s="2737" t="str">
        <f t="shared" si="19"/>
        <v/>
      </c>
      <c r="AU25" s="2738" t="str">
        <f t="shared" si="6"/>
        <v>B</v>
      </c>
      <c r="AV25" s="2695">
        <f t="shared" si="20"/>
        <v>51</v>
      </c>
      <c r="AW25" s="2690">
        <f t="shared" si="21"/>
        <v>0</v>
      </c>
      <c r="AX25" s="2737" t="str">
        <f t="shared" si="22"/>
        <v/>
      </c>
      <c r="AY25" s="2738" t="str">
        <f t="shared" si="7"/>
        <v>B</v>
      </c>
      <c r="AZ25" s="2695" t="str">
        <f t="shared" si="23"/>
        <v/>
      </c>
      <c r="BA25" s="2690" t="str">
        <f t="shared" si="24"/>
        <v/>
      </c>
      <c r="BB25" s="2737" t="str">
        <f t="shared" si="25"/>
        <v/>
      </c>
      <c r="BC25" s="2738" t="str">
        <f t="shared" si="8"/>
        <v/>
      </c>
      <c r="BD25" s="2695" t="str">
        <f t="shared" si="26"/>
        <v/>
      </c>
      <c r="BE25" s="2690" t="str">
        <f t="shared" si="27"/>
        <v/>
      </c>
      <c r="BF25" s="2737" t="str">
        <f t="shared" si="28"/>
        <v/>
      </c>
      <c r="BG25" s="2738" t="str">
        <f t="shared" si="9"/>
        <v/>
      </c>
      <c r="BH25" s="261"/>
      <c r="BJ25" s="143"/>
      <c r="BL25" s="1782"/>
      <c r="BW25" s="991">
        <f t="shared" ca="1" si="29"/>
        <v>19</v>
      </c>
      <c r="BX25" s="991" t="str">
        <f t="shared" ca="1" si="36"/>
        <v>G12</v>
      </c>
      <c r="BY25" s="991" t="b">
        <f t="shared" ca="1" si="30"/>
        <v>0</v>
      </c>
      <c r="BZ25" s="1304" t="b">
        <f t="shared" si="37"/>
        <v>0</v>
      </c>
      <c r="CB25" s="2220"/>
      <c r="CC25" s="2221"/>
      <c r="CD25" s="2221"/>
      <c r="CE25" s="2221"/>
      <c r="CF25" s="2222"/>
      <c r="CG25" s="2217"/>
      <c r="CH25" s="2218"/>
      <c r="CI25" s="2218"/>
      <c r="CJ25" s="2218"/>
      <c r="CK25" s="2218"/>
      <c r="CL25" s="2218"/>
      <c r="CM25" s="2218"/>
      <c r="CN25" s="1971"/>
      <c r="CO25" s="1971"/>
      <c r="CP25" s="2161"/>
      <c r="CQ25" s="2229"/>
      <c r="CR25" s="2230"/>
      <c r="CS25" s="2230"/>
      <c r="CT25" s="2230"/>
      <c r="CU25" s="2230"/>
      <c r="CV25" s="2230"/>
      <c r="CW25" s="2230"/>
      <c r="CX25" s="2231"/>
      <c r="CY25" s="2231"/>
      <c r="CZ25" s="2232"/>
      <c r="DA25" s="1577"/>
      <c r="DB25" s="2233"/>
      <c r="DC25" s="2158"/>
      <c r="DD25" s="2235"/>
      <c r="DE25" s="2236"/>
      <c r="DF25" s="141"/>
      <c r="DG25" s="141"/>
      <c r="DH25" s="672" t="s">
        <v>1408</v>
      </c>
      <c r="DI25" s="673" t="s">
        <v>35</v>
      </c>
      <c r="DJ25" s="692">
        <v>4</v>
      </c>
      <c r="DK25" s="1332">
        <v>0</v>
      </c>
      <c r="DL25" s="674">
        <v>5</v>
      </c>
      <c r="DM25" s="693">
        <v>8</v>
      </c>
      <c r="DN25" s="1335">
        <v>0</v>
      </c>
      <c r="DO25" s="675"/>
      <c r="DP25" s="676"/>
      <c r="DQ25" s="1420">
        <v>5</v>
      </c>
      <c r="DR25" s="677">
        <v>13</v>
      </c>
      <c r="DS25" s="1612">
        <v>4</v>
      </c>
      <c r="DT25" s="1607"/>
      <c r="DU25" s="1608">
        <v>2</v>
      </c>
      <c r="DV25" s="678" t="s">
        <v>1018</v>
      </c>
      <c r="DW25" s="1337" t="s">
        <v>1705</v>
      </c>
      <c r="DX25" s="679"/>
      <c r="DY25" s="674" t="s">
        <v>35</v>
      </c>
      <c r="DZ25" s="2661">
        <v>51</v>
      </c>
      <c r="EA25" s="2664">
        <v>0.25</v>
      </c>
      <c r="EB25" s="679"/>
      <c r="EC25" s="2665" t="s">
        <v>35</v>
      </c>
      <c r="ED25" s="678"/>
      <c r="EE25" s="1337"/>
      <c r="EF25" s="679"/>
      <c r="EG25" s="674"/>
      <c r="EH25" s="678"/>
      <c r="EI25" s="1337"/>
      <c r="EJ25" s="679"/>
      <c r="EK25" s="680"/>
      <c r="EL25" s="141"/>
      <c r="EM25" s="1004"/>
      <c r="EN25" s="930"/>
      <c r="EO25" s="931"/>
      <c r="EP25" s="141"/>
      <c r="EQ25" s="141"/>
      <c r="ER25" s="141"/>
      <c r="ES25" s="141"/>
      <c r="ET25" s="2100"/>
      <c r="EU25" s="2101"/>
      <c r="EX25" s="503" t="str">
        <f t="shared" ca="1" si="31"/>
        <v>G12B</v>
      </c>
      <c r="EY25" s="940" t="b">
        <f t="shared" ca="1" si="10"/>
        <v>1</v>
      </c>
      <c r="EZ25" s="940">
        <f t="shared" ca="1" si="32"/>
        <v>5</v>
      </c>
      <c r="FA25" s="958" t="b">
        <f t="shared" ca="1" si="38"/>
        <v>1</v>
      </c>
      <c r="FB25" s="134">
        <f t="shared" ca="1" si="33"/>
        <v>620</v>
      </c>
      <c r="FC25" s="134">
        <f t="shared" ca="1" si="11"/>
        <v>46</v>
      </c>
      <c r="FD25" s="134">
        <f t="shared" ca="1" si="12"/>
        <v>480</v>
      </c>
      <c r="FE25" s="134">
        <f t="shared" ca="1" si="13"/>
        <v>94</v>
      </c>
      <c r="FF25" s="134">
        <f t="shared" ca="1" si="34"/>
        <v>620</v>
      </c>
      <c r="FN25" s="754" t="b">
        <v>0</v>
      </c>
      <c r="FO25" s="754"/>
      <c r="FP25" s="754" t="b">
        <v>0</v>
      </c>
      <c r="FQ25" s="754" t="b">
        <f t="shared" si="35"/>
        <v>1</v>
      </c>
      <c r="FX25" s="197"/>
      <c r="FZ25" s="2"/>
      <c r="GA25" s="1970" t="s">
        <v>1140</v>
      </c>
      <c r="GB25" s="1970"/>
      <c r="GC25" s="1970"/>
      <c r="GD25" s="1970"/>
      <c r="GE25" s="1970"/>
      <c r="GF25" s="1970"/>
      <c r="GG25" s="1971"/>
      <c r="GH25" s="1971"/>
      <c r="GI25" s="1971"/>
      <c r="GJ25" s="1971"/>
      <c r="GK25" s="2"/>
      <c r="ID25" s="781"/>
      <c r="IE25" s="1242" t="s">
        <v>1408</v>
      </c>
      <c r="IF25" s="1243" t="s">
        <v>35</v>
      </c>
      <c r="IG25" s="1244">
        <v>4</v>
      </c>
      <c r="IH25" s="1245">
        <v>0</v>
      </c>
      <c r="II25" s="1243">
        <v>5</v>
      </c>
      <c r="IJ25" s="1244">
        <v>8</v>
      </c>
      <c r="IK25" s="1245">
        <v>0</v>
      </c>
      <c r="IL25" s="1243"/>
      <c r="IM25" s="1243"/>
      <c r="IN25" s="1243">
        <v>5</v>
      </c>
      <c r="IO25" s="1243">
        <v>13</v>
      </c>
      <c r="IP25" s="1243">
        <v>4</v>
      </c>
      <c r="IQ25" s="1243"/>
      <c r="IR25" s="1243">
        <v>2</v>
      </c>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39"/>
        <v>1</v>
      </c>
    </row>
    <row r="26" spans="1:274" ht="12.6" customHeight="1" thickTop="1" thickBot="1" x14ac:dyDescent="0.25">
      <c r="A26" s="1934" t="s">
        <v>40</v>
      </c>
      <c r="B26" s="1935" t="s">
        <v>130</v>
      </c>
      <c r="C26" s="1935" t="s">
        <v>31</v>
      </c>
      <c r="D26" s="1935" t="s">
        <v>25</v>
      </c>
      <c r="E26" s="1936"/>
      <c r="F26" s="1937" t="s">
        <v>88</v>
      </c>
      <c r="G26" s="1910" t="s">
        <v>9</v>
      </c>
      <c r="H26" s="1908"/>
      <c r="I26" s="1908"/>
      <c r="J26" s="1908" t="s">
        <v>10</v>
      </c>
      <c r="K26" s="1908"/>
      <c r="L26" s="1911"/>
      <c r="M26" s="1938" t="s">
        <v>11</v>
      </c>
      <c r="N26" s="1939"/>
      <c r="O26" s="1940" t="s">
        <v>12</v>
      </c>
      <c r="P26" s="1905"/>
      <c r="Q26" s="1905" t="s">
        <v>13</v>
      </c>
      <c r="R26" s="1906"/>
      <c r="S26" s="1907" t="s">
        <v>14</v>
      </c>
      <c r="T26" s="1908"/>
      <c r="U26" s="1908"/>
      <c r="V26" s="1908"/>
      <c r="W26" s="1909"/>
      <c r="X26" s="1910" t="s">
        <v>111</v>
      </c>
      <c r="Y26" s="1911"/>
      <c r="Z26" s="1117" t="s">
        <v>15</v>
      </c>
      <c r="AA26" s="1912" t="s">
        <v>939</v>
      </c>
      <c r="AB26" s="2683" t="str">
        <f t="shared" si="14"/>
        <v>G13</v>
      </c>
      <c r="AC26" s="2691" t="str">
        <f t="shared" si="3"/>
        <v>B</v>
      </c>
      <c r="AD26" s="2686">
        <f t="shared" ca="1" si="40"/>
        <v>7</v>
      </c>
      <c r="AE26" s="2690">
        <f t="shared" ca="1" si="41"/>
        <v>10</v>
      </c>
      <c r="AF26" s="2691">
        <f t="shared" ca="1" si="42"/>
        <v>5</v>
      </c>
      <c r="AG26" s="2686">
        <f t="shared" ca="1" si="43"/>
        <v>8</v>
      </c>
      <c r="AH26" s="2690">
        <f t="shared" ca="1" si="44"/>
        <v>0</v>
      </c>
      <c r="AI26" s="2686">
        <f t="shared" ca="1" si="45"/>
        <v>3</v>
      </c>
      <c r="AJ26" s="2690">
        <f t="shared" ca="1" si="46"/>
        <v>10</v>
      </c>
      <c r="AK26" s="2732" t="str">
        <f t="shared" si="15"/>
        <v/>
      </c>
      <c r="AL26" s="2733" t="str">
        <f t="shared" si="4"/>
        <v/>
      </c>
      <c r="AM26" s="2734">
        <f t="shared" si="16"/>
        <v>5</v>
      </c>
      <c r="AN26" s="2691">
        <f t="shared" si="16"/>
        <v>13</v>
      </c>
      <c r="AO26" s="2735">
        <f t="shared" si="16"/>
        <v>4</v>
      </c>
      <c r="AP26" s="2693">
        <f t="shared" si="5"/>
        <v>1.75</v>
      </c>
      <c r="AQ26" s="2736" t="str">
        <f t="shared" si="5"/>
        <v/>
      </c>
      <c r="AR26" s="2689" t="str">
        <f t="shared" si="17"/>
        <v>P</v>
      </c>
      <c r="AS26" s="2690" t="str">
        <f t="shared" si="18"/>
        <v>#6</v>
      </c>
      <c r="AT26" s="2737" t="str">
        <f t="shared" si="19"/>
        <v/>
      </c>
      <c r="AU26" s="2738" t="str">
        <f t="shared" si="6"/>
        <v>B</v>
      </c>
      <c r="AV26" s="2695">
        <f t="shared" si="20"/>
        <v>1</v>
      </c>
      <c r="AW26" s="2690">
        <f t="shared" si="21"/>
        <v>0</v>
      </c>
      <c r="AX26" s="2737" t="str">
        <f t="shared" si="22"/>
        <v/>
      </c>
      <c r="AY26" s="2738" t="str">
        <f t="shared" si="7"/>
        <v>B</v>
      </c>
      <c r="AZ26" s="2695" t="str">
        <f t="shared" si="23"/>
        <v/>
      </c>
      <c r="BA26" s="2690" t="str">
        <f t="shared" si="24"/>
        <v/>
      </c>
      <c r="BB26" s="2737" t="str">
        <f t="shared" si="25"/>
        <v/>
      </c>
      <c r="BC26" s="2738" t="str">
        <f t="shared" si="8"/>
        <v/>
      </c>
      <c r="BD26" s="2695" t="str">
        <f t="shared" si="26"/>
        <v/>
      </c>
      <c r="BE26" s="2690" t="str">
        <f t="shared" si="27"/>
        <v/>
      </c>
      <c r="BF26" s="2737" t="str">
        <f t="shared" si="28"/>
        <v/>
      </c>
      <c r="BG26" s="2738" t="str">
        <f t="shared" si="9"/>
        <v/>
      </c>
      <c r="BH26" s="261"/>
      <c r="BJ26" s="143"/>
      <c r="BL26" s="1782"/>
      <c r="BW26" s="991">
        <f t="shared" ca="1" si="29"/>
        <v>19</v>
      </c>
      <c r="BX26" s="991" t="str">
        <f t="shared" ca="1" si="36"/>
        <v>G13</v>
      </c>
      <c r="BY26" s="991" t="b">
        <f t="shared" ca="1" si="30"/>
        <v>0</v>
      </c>
      <c r="BZ26" s="1304" t="b">
        <f t="shared" si="37"/>
        <v>0</v>
      </c>
      <c r="CB26" s="2079" t="s">
        <v>613</v>
      </c>
      <c r="CC26" s="2153" t="s">
        <v>130</v>
      </c>
      <c r="CD26" s="2081" t="s">
        <v>478</v>
      </c>
      <c r="CE26" s="2147" t="s">
        <v>1291</v>
      </c>
      <c r="CF26" s="2148"/>
      <c r="CG26" s="1943" t="s">
        <v>1282</v>
      </c>
      <c r="CH26" s="1945" t="s">
        <v>595</v>
      </c>
      <c r="CI26" s="1946"/>
      <c r="CJ26" s="1945" t="s">
        <v>596</v>
      </c>
      <c r="CK26" s="1946"/>
      <c r="CL26" s="1962" t="s">
        <v>488</v>
      </c>
      <c r="CM26" s="1964" t="s">
        <v>790</v>
      </c>
      <c r="CN26" s="2223" t="s">
        <v>1276</v>
      </c>
      <c r="CO26" s="2224"/>
      <c r="CP26" s="2225"/>
      <c r="CQ26" s="1949" t="s">
        <v>1282</v>
      </c>
      <c r="CR26" s="1951" t="s">
        <v>595</v>
      </c>
      <c r="CS26" s="1952"/>
      <c r="CT26" s="1951" t="s">
        <v>596</v>
      </c>
      <c r="CU26" s="1952"/>
      <c r="CV26" s="2151" t="s">
        <v>488</v>
      </c>
      <c r="CW26" s="1960" t="s">
        <v>790</v>
      </c>
      <c r="CX26" s="2226" t="s">
        <v>1276</v>
      </c>
      <c r="CY26" s="2227"/>
      <c r="CZ26" s="2228"/>
      <c r="DA26" s="1941" t="s">
        <v>806</v>
      </c>
      <c r="DB26" s="2234"/>
      <c r="DC26" s="2161"/>
      <c r="DD26" s="1957" t="s">
        <v>1284</v>
      </c>
      <c r="DE26" s="1959" t="s">
        <v>1285</v>
      </c>
      <c r="DF26" s="141"/>
      <c r="DG26" s="141"/>
      <c r="DH26" s="672" t="s">
        <v>1409</v>
      </c>
      <c r="DI26" s="673" t="s">
        <v>35</v>
      </c>
      <c r="DJ26" s="692">
        <v>8</v>
      </c>
      <c r="DK26" s="1332">
        <v>0</v>
      </c>
      <c r="DL26" s="674">
        <v>5</v>
      </c>
      <c r="DM26" s="693">
        <v>8</v>
      </c>
      <c r="DN26" s="1335">
        <v>0</v>
      </c>
      <c r="DO26" s="675"/>
      <c r="DP26" s="676"/>
      <c r="DQ26" s="1420">
        <v>5</v>
      </c>
      <c r="DR26" s="677">
        <v>13</v>
      </c>
      <c r="DS26" s="1612">
        <v>4</v>
      </c>
      <c r="DT26" s="1607">
        <v>2</v>
      </c>
      <c r="DU26" s="1608"/>
      <c r="DV26" s="678" t="s">
        <v>1018</v>
      </c>
      <c r="DW26" s="1337" t="s">
        <v>1706</v>
      </c>
      <c r="DX26" s="679"/>
      <c r="DY26" s="674" t="s">
        <v>35</v>
      </c>
      <c r="DZ26" s="2661">
        <v>1</v>
      </c>
      <c r="EA26" s="2664">
        <v>0.25</v>
      </c>
      <c r="EB26" s="679"/>
      <c r="EC26" s="2665" t="s">
        <v>35</v>
      </c>
      <c r="ED26" s="678"/>
      <c r="EE26" s="1337"/>
      <c r="EF26" s="679"/>
      <c r="EG26" s="674"/>
      <c r="EH26" s="678"/>
      <c r="EI26" s="1337"/>
      <c r="EJ26" s="679"/>
      <c r="EK26" s="680"/>
      <c r="EL26" s="141"/>
      <c r="EM26" s="1966" t="s">
        <v>613</v>
      </c>
      <c r="EN26" s="1968" t="s">
        <v>588</v>
      </c>
      <c r="EO26" s="1969"/>
      <c r="EP26" s="1969"/>
      <c r="EQ26" s="1966" t="s">
        <v>589</v>
      </c>
      <c r="ER26" s="1955" t="s">
        <v>1286</v>
      </c>
      <c r="ES26" s="1956"/>
      <c r="ET26" s="2102"/>
      <c r="EU26" s="2103"/>
      <c r="EX26" s="503" t="str">
        <f t="shared" ca="1" si="31"/>
        <v>G13B</v>
      </c>
      <c r="EY26" s="940" t="b">
        <f t="shared" ca="1" si="10"/>
        <v>1</v>
      </c>
      <c r="EZ26" s="940">
        <f t="shared" ca="1" si="32"/>
        <v>5</v>
      </c>
      <c r="FA26" s="958" t="b">
        <f t="shared" ca="1" si="38"/>
        <v>1</v>
      </c>
      <c r="FB26" s="134">
        <f t="shared" ca="1" si="33"/>
        <v>620</v>
      </c>
      <c r="FC26" s="134">
        <f t="shared" ca="1" si="11"/>
        <v>94</v>
      </c>
      <c r="FD26" s="134">
        <f t="shared" ca="1" si="12"/>
        <v>480</v>
      </c>
      <c r="FE26" s="134">
        <f t="shared" ca="1" si="13"/>
        <v>46</v>
      </c>
      <c r="FF26" s="134">
        <f t="shared" ca="1" si="34"/>
        <v>620</v>
      </c>
      <c r="FN26" s="754" t="b">
        <v>0</v>
      </c>
      <c r="FO26" s="754"/>
      <c r="FP26" s="754" t="b">
        <v>0</v>
      </c>
      <c r="FQ26" s="754" t="b">
        <f t="shared" si="35"/>
        <v>1</v>
      </c>
      <c r="FX26" s="197"/>
      <c r="FZ26" s="2"/>
      <c r="GA26" s="2028" t="s">
        <v>708</v>
      </c>
      <c r="GB26" s="2029"/>
      <c r="GC26" s="2028" t="s">
        <v>558</v>
      </c>
      <c r="GD26" s="2029"/>
      <c r="GE26" s="2072" t="s">
        <v>711</v>
      </c>
      <c r="GF26" s="2074" t="s">
        <v>632</v>
      </c>
      <c r="GG26" s="2028" t="s">
        <v>1142</v>
      </c>
      <c r="GH26" s="2029"/>
      <c r="GI26" s="2028" t="s">
        <v>1141</v>
      </c>
      <c r="GJ26" s="2029"/>
      <c r="GK26" s="2032" t="s">
        <v>712</v>
      </c>
      <c r="GL26" s="2032" t="s">
        <v>713</v>
      </c>
      <c r="GM26" s="2032" t="s">
        <v>714</v>
      </c>
      <c r="GZ26" s="145"/>
      <c r="HA26" s="2038" t="s">
        <v>632</v>
      </c>
      <c r="HB26" s="2014" t="s">
        <v>1134</v>
      </c>
      <c r="HC26" s="2014" t="s">
        <v>1159</v>
      </c>
      <c r="HD26" s="2014" t="str">
        <f>IF($HA$1,"Bay Length","Overall Length")</f>
        <v>Bay Length</v>
      </c>
      <c r="HE26" s="2015"/>
      <c r="HF26" s="2014" t="str">
        <f>IF($HA$1,"L Sect #","TC Width")</f>
        <v>L Sect #</v>
      </c>
      <c r="HG26" s="1972" t="str">
        <f>IF($HA$1,"L Min Sup Wid","TCXL Feet")</f>
        <v>L Min Sup Wid</v>
      </c>
      <c r="HH26" s="1972" t="str">
        <f>IF($HA$1,"L Max Sup Wid","TCXL Inch")</f>
        <v>L Max Sup Wid</v>
      </c>
      <c r="HI26" s="1972" t="str">
        <f>IF($HA$1,"L Min Flg Ga","TCXL Type")</f>
        <v>L Min Flg Ga</v>
      </c>
      <c r="HJ26" s="1972" t="str">
        <f>IF($HA$1,"L Max Flg Ga","TCXR Feet")</f>
        <v>L Max Flg Ga</v>
      </c>
      <c r="HK26" s="1972" t="str">
        <f>IF($HA$1,"L Skew","TCXR Inch")</f>
        <v>L Skew</v>
      </c>
      <c r="HL26" s="1972" t="str">
        <f>IF($HA$1,"L Brg Slp","TCXR Type")</f>
        <v>L Brg Slp</v>
      </c>
      <c r="HM26" s="2014" t="str">
        <f>IF($HA$1,"R Sect #","BDL")</f>
        <v>R Sect #</v>
      </c>
      <c r="HN26" s="1972" t="str">
        <f>IF($HA$1,"R Min Sup Wid","BDR")</f>
        <v>R Min Sup Wid</v>
      </c>
      <c r="HO26" s="1972" t="str">
        <f>IF($HA$1,"R Max Sup Wid","BCXL Feet")</f>
        <v>R Max Sup Wid</v>
      </c>
      <c r="HP26" s="1972" t="str">
        <f>IF($HA$1,"R Min Flg Ga","BCXL Inch")</f>
        <v>R Min Flg Ga</v>
      </c>
      <c r="HQ26" s="1972" t="str">
        <f>IF($HA$1,"R Max Flg Ga","BCXR Feet")</f>
        <v>R Max Flg Ga</v>
      </c>
      <c r="HR26" s="1972" t="str">
        <f>IF($HA$1,"R Skew","BCXR Inch")</f>
        <v>R Skew</v>
      </c>
      <c r="HS26" s="1972" t="str">
        <f>IF($HA$1,"R Brg Slp","HL Feet")</f>
        <v>R Brg Slp</v>
      </c>
      <c r="HT26" s="1972" t="str">
        <f>IF($HA$1,"TC Slope","HL Inch")</f>
        <v>TC Slope</v>
      </c>
      <c r="HU26" s="1972" t="str">
        <f>IF($HA$1,"Load Notes","HR Feet")</f>
        <v>Load Notes</v>
      </c>
      <c r="HV26" s="1972" t="str">
        <f>IF($HA$1,"Spcl Notes","HR Inch")</f>
        <v>Spcl Notes</v>
      </c>
      <c r="HW26" s="1972" t="str">
        <f>IF($HA$1,"# KB","Slot Ga")</f>
        <v># KB</v>
      </c>
      <c r="HX26" s="1972" t="str">
        <f>IF($HA$1,"TC Width","L Seat Slp")</f>
        <v>TC Width</v>
      </c>
      <c r="HY26" s="1972" t="str">
        <f>IF($HA$1,"TCL Override","R Seat Slp")</f>
        <v>TCL Override</v>
      </c>
      <c r="HZ26" s="1972" t="str">
        <f>IF($HA$1,"TCR Override","Load Notes")</f>
        <v>TCR Override</v>
      </c>
      <c r="IA26" s="1972" t="str">
        <f>IF($HA$1,"L-BL Override","Spcl Notes")</f>
        <v>L-BL Override</v>
      </c>
      <c r="IB26" s="1974" t="str">
        <f>IF($HA$1,"R-BL Override","# KB")</f>
        <v>R-BL Override</v>
      </c>
      <c r="IC26" s="1972" t="str">
        <f>IF($HA$1,"BDL Override","-")</f>
        <v>BDL Override</v>
      </c>
      <c r="ID26" s="1999" t="str">
        <f>IF($HA$1,"BDR Override","-")</f>
        <v>BDR Override</v>
      </c>
      <c r="IE26" s="1242" t="s">
        <v>1409</v>
      </c>
      <c r="IF26" s="1243" t="s">
        <v>35</v>
      </c>
      <c r="IG26" s="1244">
        <v>8</v>
      </c>
      <c r="IH26" s="1245">
        <v>0</v>
      </c>
      <c r="II26" s="1243">
        <v>5</v>
      </c>
      <c r="IJ26" s="1244">
        <v>8</v>
      </c>
      <c r="IK26" s="1245">
        <v>0</v>
      </c>
      <c r="IL26" s="1243"/>
      <c r="IM26" s="1243"/>
      <c r="IN26" s="1243">
        <v>5</v>
      </c>
      <c r="IO26" s="1243">
        <v>13</v>
      </c>
      <c r="IP26" s="1243">
        <v>4</v>
      </c>
      <c r="IQ26" s="1243">
        <v>2</v>
      </c>
      <c r="IR26" s="1243"/>
      <c r="IS26" s="1244" t="s">
        <v>1018</v>
      </c>
      <c r="IT26" s="1245" t="s">
        <v>1706</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39"/>
        <v>1</v>
      </c>
    </row>
    <row r="27" spans="1:274" ht="12.6" customHeight="1" thickTop="1" thickBot="1" x14ac:dyDescent="0.25">
      <c r="A27" s="1934"/>
      <c r="B27" s="1935"/>
      <c r="C27" s="1935"/>
      <c r="D27" s="1935"/>
      <c r="E27" s="1936"/>
      <c r="F27" s="1937"/>
      <c r="G27" s="1914" t="s">
        <v>16</v>
      </c>
      <c r="H27" s="1915"/>
      <c r="I27" s="1103" t="s">
        <v>732</v>
      </c>
      <c r="J27" s="1915" t="s">
        <v>16</v>
      </c>
      <c r="K27" s="1915"/>
      <c r="L27" s="1065" t="s">
        <v>732</v>
      </c>
      <c r="M27" s="1107" t="s">
        <v>18</v>
      </c>
      <c r="N27" s="461" t="s">
        <v>19</v>
      </c>
      <c r="O27" s="1940"/>
      <c r="P27" s="1905"/>
      <c r="Q27" s="1905"/>
      <c r="R27" s="1906"/>
      <c r="S27" s="1916" t="s">
        <v>80</v>
      </c>
      <c r="T27" s="1915"/>
      <c r="U27" s="1915" t="s">
        <v>81</v>
      </c>
      <c r="V27" s="1915"/>
      <c r="W27" s="461" t="s">
        <v>27</v>
      </c>
      <c r="X27" s="1102" t="s">
        <v>112</v>
      </c>
      <c r="Y27" s="1065" t="s">
        <v>113</v>
      </c>
      <c r="Z27" s="1118" t="s">
        <v>57</v>
      </c>
      <c r="AA27" s="1913"/>
      <c r="AB27" s="2683" t="str">
        <f t="shared" si="14"/>
        <v>G14</v>
      </c>
      <c r="AC27" s="2691" t="str">
        <f t="shared" si="3"/>
        <v>B</v>
      </c>
      <c r="AD27" s="2686">
        <f t="shared" ca="1" si="40"/>
        <v>3</v>
      </c>
      <c r="AE27" s="2690">
        <f t="shared" ca="1" si="41"/>
        <v>10</v>
      </c>
      <c r="AF27" s="2691">
        <f t="shared" ca="1" si="42"/>
        <v>5</v>
      </c>
      <c r="AG27" s="2686">
        <f t="shared" ca="1" si="43"/>
        <v>8</v>
      </c>
      <c r="AH27" s="2690">
        <f t="shared" ca="1" si="44"/>
        <v>0</v>
      </c>
      <c r="AI27" s="2686">
        <f t="shared" ca="1" si="45"/>
        <v>7</v>
      </c>
      <c r="AJ27" s="2690">
        <f t="shared" ca="1" si="46"/>
        <v>10</v>
      </c>
      <c r="AK27" s="2732" t="str">
        <f t="shared" si="15"/>
        <v/>
      </c>
      <c r="AL27" s="2733" t="str">
        <f t="shared" si="4"/>
        <v/>
      </c>
      <c r="AM27" s="2734">
        <f t="shared" si="16"/>
        <v>5</v>
      </c>
      <c r="AN27" s="2691">
        <f t="shared" si="16"/>
        <v>13</v>
      </c>
      <c r="AO27" s="2735">
        <f t="shared" si="16"/>
        <v>4</v>
      </c>
      <c r="AP27" s="2693" t="str">
        <f t="shared" si="5"/>
        <v/>
      </c>
      <c r="AQ27" s="2736">
        <f t="shared" si="5"/>
        <v>1.75</v>
      </c>
      <c r="AR27" s="2689" t="str">
        <f t="shared" si="17"/>
        <v>P</v>
      </c>
      <c r="AS27" s="2690" t="str">
        <f t="shared" si="18"/>
        <v>#1</v>
      </c>
      <c r="AT27" s="2737" t="str">
        <f t="shared" si="19"/>
        <v/>
      </c>
      <c r="AU27" s="2738" t="str">
        <f t="shared" si="6"/>
        <v>B</v>
      </c>
      <c r="AV27" s="2695">
        <f t="shared" si="20"/>
        <v>51</v>
      </c>
      <c r="AW27" s="2690">
        <f t="shared" si="21"/>
        <v>0</v>
      </c>
      <c r="AX27" s="2737" t="str">
        <f t="shared" si="22"/>
        <v/>
      </c>
      <c r="AY27" s="2738" t="str">
        <f t="shared" si="7"/>
        <v>B</v>
      </c>
      <c r="AZ27" s="2695" t="str">
        <f t="shared" si="23"/>
        <v/>
      </c>
      <c r="BA27" s="2690" t="str">
        <f t="shared" si="24"/>
        <v/>
      </c>
      <c r="BB27" s="2737" t="str">
        <f t="shared" si="25"/>
        <v/>
      </c>
      <c r="BC27" s="2738" t="str">
        <f t="shared" si="8"/>
        <v/>
      </c>
      <c r="BD27" s="2695" t="str">
        <f t="shared" si="26"/>
        <v/>
      </c>
      <c r="BE27" s="2690" t="str">
        <f t="shared" si="27"/>
        <v/>
      </c>
      <c r="BF27" s="2737" t="str">
        <f t="shared" si="28"/>
        <v/>
      </c>
      <c r="BG27" s="2738" t="str">
        <f t="shared" si="9"/>
        <v/>
      </c>
      <c r="BH27" s="261"/>
      <c r="BJ27" s="517" t="s">
        <v>632</v>
      </c>
      <c r="BK27" s="518" t="s">
        <v>788</v>
      </c>
      <c r="BL27" s="1783"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29"/>
        <v>19</v>
      </c>
      <c r="BX27" s="991" t="str">
        <f t="shared" ca="1" si="36"/>
        <v>G14</v>
      </c>
      <c r="BY27" s="991" t="b">
        <f t="shared" ca="1" si="30"/>
        <v>0</v>
      </c>
      <c r="BZ27" s="1304" t="b">
        <f t="shared" si="37"/>
        <v>0</v>
      </c>
      <c r="CB27" s="2080"/>
      <c r="CC27" s="2152"/>
      <c r="CD27" s="1953"/>
      <c r="CE27" s="2149"/>
      <c r="CF27" s="2150"/>
      <c r="CG27" s="1944"/>
      <c r="CH27" s="1947"/>
      <c r="CI27" s="1948"/>
      <c r="CJ27" s="1947"/>
      <c r="CK27" s="1948"/>
      <c r="CL27" s="1963"/>
      <c r="CM27" s="1965"/>
      <c r="CN27" s="1547" t="s">
        <v>1283</v>
      </c>
      <c r="CO27" s="1548" t="s">
        <v>1278</v>
      </c>
      <c r="CP27" s="1549" t="s">
        <v>501</v>
      </c>
      <c r="CQ27" s="1950"/>
      <c r="CR27" s="1953"/>
      <c r="CS27" s="1954"/>
      <c r="CT27" s="1953"/>
      <c r="CU27" s="1954"/>
      <c r="CV27" s="2152"/>
      <c r="CW27" s="1961"/>
      <c r="CX27" s="1547" t="s">
        <v>1283</v>
      </c>
      <c r="CY27" s="1548" t="s">
        <v>1278</v>
      </c>
      <c r="CZ27" s="1549" t="s">
        <v>501</v>
      </c>
      <c r="DA27" s="1942"/>
      <c r="DB27" s="431" t="s">
        <v>418</v>
      </c>
      <c r="DC27" s="432" t="s">
        <v>553</v>
      </c>
      <c r="DD27" s="1958"/>
      <c r="DE27" s="1958"/>
      <c r="DF27" s="141"/>
      <c r="DG27" s="141"/>
      <c r="DH27" s="672" t="s">
        <v>1410</v>
      </c>
      <c r="DI27" s="673" t="s">
        <v>35</v>
      </c>
      <c r="DJ27" s="692">
        <v>4</v>
      </c>
      <c r="DK27" s="1332">
        <v>0</v>
      </c>
      <c r="DL27" s="674">
        <v>5</v>
      </c>
      <c r="DM27" s="693">
        <v>8</v>
      </c>
      <c r="DN27" s="1335">
        <v>0</v>
      </c>
      <c r="DO27" s="675"/>
      <c r="DP27" s="676"/>
      <c r="DQ27" s="1420">
        <v>5</v>
      </c>
      <c r="DR27" s="677">
        <v>13</v>
      </c>
      <c r="DS27" s="1612">
        <v>4</v>
      </c>
      <c r="DT27" s="1607"/>
      <c r="DU27" s="1608">
        <v>2</v>
      </c>
      <c r="DV27" s="678" t="s">
        <v>1018</v>
      </c>
      <c r="DW27" s="1337" t="s">
        <v>1705</v>
      </c>
      <c r="DX27" s="679"/>
      <c r="DY27" s="674" t="s">
        <v>35</v>
      </c>
      <c r="DZ27" s="2661">
        <v>51</v>
      </c>
      <c r="EA27" s="2664">
        <v>0.25</v>
      </c>
      <c r="EB27" s="679"/>
      <c r="EC27" s="2665" t="s">
        <v>35</v>
      </c>
      <c r="ED27" s="678"/>
      <c r="EE27" s="1337"/>
      <c r="EF27" s="679"/>
      <c r="EG27" s="674"/>
      <c r="EH27" s="678"/>
      <c r="EI27" s="1337"/>
      <c r="EJ27" s="679"/>
      <c r="EK27" s="680"/>
      <c r="EL27" s="141"/>
      <c r="EM27" s="2027"/>
      <c r="EN27" s="522" t="s">
        <v>585</v>
      </c>
      <c r="EO27" s="433" t="s">
        <v>586</v>
      </c>
      <c r="EP27" s="434" t="s">
        <v>587</v>
      </c>
      <c r="EQ27" s="1967"/>
      <c r="ER27" s="536" t="s">
        <v>606</v>
      </c>
      <c r="ES27" s="537" t="s">
        <v>607</v>
      </c>
      <c r="ET27" s="538" t="s">
        <v>520</v>
      </c>
      <c r="EU27" s="539" t="s">
        <v>169</v>
      </c>
      <c r="EX27" s="503" t="str">
        <f t="shared" ca="1" si="31"/>
        <v>G14B</v>
      </c>
      <c r="EY27" s="940" t="b">
        <f t="shared" ca="1" si="10"/>
        <v>1</v>
      </c>
      <c r="EZ27" s="940">
        <f t="shared" ca="1" si="32"/>
        <v>5</v>
      </c>
      <c r="FA27" s="958" t="b">
        <f t="shared" ca="1" si="38"/>
        <v>1</v>
      </c>
      <c r="FB27" s="134">
        <f t="shared" ca="1" si="33"/>
        <v>620</v>
      </c>
      <c r="FC27" s="134">
        <f t="shared" ca="1" si="11"/>
        <v>46</v>
      </c>
      <c r="FD27" s="134">
        <f t="shared" ca="1" si="12"/>
        <v>480</v>
      </c>
      <c r="FE27" s="134">
        <f t="shared" ca="1" si="13"/>
        <v>94</v>
      </c>
      <c r="FF27" s="134">
        <f t="shared" ca="1" si="34"/>
        <v>620</v>
      </c>
      <c r="FN27" s="754" t="b">
        <v>0</v>
      </c>
      <c r="FO27" s="754"/>
      <c r="FP27" s="754" t="b">
        <v>0</v>
      </c>
      <c r="FQ27" s="754" t="b">
        <f t="shared" si="35"/>
        <v>1</v>
      </c>
      <c r="FX27" s="197"/>
      <c r="FZ27" s="2"/>
      <c r="GA27" s="542" t="s">
        <v>709</v>
      </c>
      <c r="GB27" s="543" t="s">
        <v>710</v>
      </c>
      <c r="GC27" s="542" t="s">
        <v>606</v>
      </c>
      <c r="GD27" s="543" t="s">
        <v>607</v>
      </c>
      <c r="GE27" s="2073"/>
      <c r="GF27" s="2073"/>
      <c r="GG27" s="542" t="s">
        <v>709</v>
      </c>
      <c r="GH27" s="543" t="s">
        <v>710</v>
      </c>
      <c r="GI27" s="542" t="s">
        <v>709</v>
      </c>
      <c r="GJ27" s="543" t="s">
        <v>710</v>
      </c>
      <c r="GK27" s="2033"/>
      <c r="GL27" s="2033"/>
      <c r="GM27" s="2033"/>
      <c r="GZ27" s="145"/>
      <c r="HA27" s="2039"/>
      <c r="HB27" s="1973"/>
      <c r="HC27" s="1973"/>
      <c r="HD27" s="1973"/>
      <c r="HE27" s="1973"/>
      <c r="HF27" s="1973"/>
      <c r="HG27" s="1973"/>
      <c r="HH27" s="1973"/>
      <c r="HI27" s="1973"/>
      <c r="HJ27" s="1973"/>
      <c r="HK27" s="1973"/>
      <c r="HL27" s="1973"/>
      <c r="HM27" s="1973"/>
      <c r="HN27" s="1973"/>
      <c r="HO27" s="1973"/>
      <c r="HP27" s="1973"/>
      <c r="HQ27" s="1973"/>
      <c r="HR27" s="1973"/>
      <c r="HS27" s="1973"/>
      <c r="HT27" s="1973"/>
      <c r="HU27" s="1973"/>
      <c r="HV27" s="1973"/>
      <c r="HW27" s="1973"/>
      <c r="HX27" s="1973"/>
      <c r="HY27" s="1973"/>
      <c r="HZ27" s="1973"/>
      <c r="IA27" s="1973"/>
      <c r="IB27" s="1975"/>
      <c r="IC27" s="1973"/>
      <c r="ID27" s="2000"/>
      <c r="IE27" s="1242" t="s">
        <v>1410</v>
      </c>
      <c r="IF27" s="1243" t="s">
        <v>35</v>
      </c>
      <c r="IG27" s="1244">
        <v>4</v>
      </c>
      <c r="IH27" s="1245">
        <v>0</v>
      </c>
      <c r="II27" s="1243">
        <v>5</v>
      </c>
      <c r="IJ27" s="1244">
        <v>8</v>
      </c>
      <c r="IK27" s="1245">
        <v>0</v>
      </c>
      <c r="IL27" s="1243"/>
      <c r="IM27" s="1243"/>
      <c r="IN27" s="1243">
        <v>5</v>
      </c>
      <c r="IO27" s="1243">
        <v>13</v>
      </c>
      <c r="IP27" s="1243">
        <v>4</v>
      </c>
      <c r="IQ27" s="1243"/>
      <c r="IR27" s="1243">
        <v>2</v>
      </c>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39"/>
        <v>1</v>
      </c>
    </row>
    <row r="28" spans="1:274" ht="12.6" customHeight="1" thickTop="1" x14ac:dyDescent="0.3">
      <c r="A28" s="2666" t="str">
        <f t="shared" ref="A28:C45" si="48">IF(ISBLANK(CB28),"",CB28)</f>
        <v>G1</v>
      </c>
      <c r="B28" s="2667">
        <f t="shared" si="48"/>
        <v>1</v>
      </c>
      <c r="C28" s="2668" t="s">
        <v>1702</v>
      </c>
      <c r="D28" s="2669">
        <f t="shared" ref="D28:D44" si="49">IF(CV68="","",TRUNC(CV68/12))</f>
        <v>50</v>
      </c>
      <c r="E28" s="2670">
        <f t="shared" ref="E28:E44" si="50">IF(CV68="","",CV68-(D28*12))</f>
        <v>9.25</v>
      </c>
      <c r="F28" s="2671">
        <f t="shared" ref="F28:F45" si="51">IF(ISBLANK(DE28),"",DE28)</f>
        <v>11.125</v>
      </c>
      <c r="G28" s="2672">
        <f t="shared" ref="G28:G44" si="52">IF(DD68=0,"",TRUNC(DD68/12))</f>
        <v>0</v>
      </c>
      <c r="H28" s="2673">
        <f t="shared" ref="H28:H44" si="53">IF(DD68=0,"",DD68-(G28*12))</f>
        <v>1.75</v>
      </c>
      <c r="I28" s="2674" t="str">
        <f t="shared" ref="I28:I44" si="54">IF(DD68=0,"",CE68)</f>
        <v>R</v>
      </c>
      <c r="J28" s="2669">
        <f t="shared" ref="J28:J44" si="55">IF(DJ68=0,"",TRUNC(DJ68/12))</f>
        <v>0</v>
      </c>
      <c r="K28" s="2673">
        <f t="shared" ref="K28:K44" si="56">IF(DJ68=0,"",DJ68-(J28*12))</f>
        <v>4</v>
      </c>
      <c r="L28" s="2675" t="str">
        <f t="shared" ref="L28:L44" si="57">IF(DJ68=0,"",CN68)</f>
        <v>R</v>
      </c>
      <c r="M28" s="2676">
        <f t="shared" ref="M28:N45" si="58">IF(CW68="","",CW68)</f>
        <v>7.5</v>
      </c>
      <c r="N28" s="2677">
        <f t="shared" si="58"/>
        <v>7.5</v>
      </c>
      <c r="O28" s="2672">
        <f t="shared" ref="O28:O44" si="59">IF(DZ68="","",IF(AND(DZ68&gt;-12,DZ68&lt;0),-0.000001,TRUNC(DZ68/12)))</f>
        <v>0</v>
      </c>
      <c r="P28" s="2673">
        <f t="shared" ref="P28:P44" si="60">IF(DZ68="","",IF(AND(DZ68&lt;0,DZ68-(O28*12)=0),-0.00001,DZ68-(O28*12)))</f>
        <v>6.75</v>
      </c>
      <c r="Q28" s="2669">
        <f t="shared" ref="Q28:Q44" si="61">IF(EA68="","",IF(AND(EA68&gt;-12,EA68&lt;0),-0.000001,TRUNC(EA68/12)))</f>
        <v>0</v>
      </c>
      <c r="R28" s="2670">
        <f t="shared" ref="R28:R44" si="62">IF(EA68="","",IF(AND(EA68&lt;0,EA68-(Q28*12)=0),-0.00001,EA68-(Q28*12)))</f>
        <v>3</v>
      </c>
      <c r="S28" s="2678">
        <f t="shared" ref="S28:S44" si="63">IF(DR68="","",IF(DR68="ERR",TRUNC(DQ68/12),TRUNC(DR68/12)))</f>
        <v>0</v>
      </c>
      <c r="T28" s="2673">
        <f t="shared" ref="T28:T44" si="64">IF(DR68="","",IF(DR68="ERR",DQ68-(S28*12),DR68-(S28*12)))</f>
        <v>6.25</v>
      </c>
      <c r="U28" s="2669" t="str">
        <f t="shared" ref="U28:U44" si="65">IF(DY68="","",IF(DY68="ERR",TRUNC(DX68/12),TRUNC(DY68/12)))</f>
        <v/>
      </c>
      <c r="V28" s="2673" t="str">
        <f t="shared" ref="V28:V44" si="66">IF(DY68="","",IF(DY68="ERR",DX68-(U28*12),DY68-(U28*12)))</f>
        <v/>
      </c>
      <c r="W28" s="2677">
        <f t="shared" ref="W28:W44" si="67">IF(EC68="",0,EC68)</f>
        <v>5</v>
      </c>
      <c r="X28" s="2679" t="str">
        <f t="shared" ref="X28:X44" si="68">IF(EN68="","",EN68)</f>
        <v/>
      </c>
      <c r="Y28" s="2680" t="str">
        <f t="shared" ref="Y28:Y44" si="69">IF(ES68="","",ES68)</f>
        <v/>
      </c>
      <c r="Z28" s="2681" t="s">
        <v>1864</v>
      </c>
      <c r="AA28" s="2682" t="str">
        <f t="shared" ref="AA28:AA45" si="70">IF(ISBLANK(DD28),"",DD28)</f>
        <v/>
      </c>
      <c r="AB28" s="2683" t="str">
        <f t="shared" si="14"/>
        <v>G15</v>
      </c>
      <c r="AC28" s="2691" t="str">
        <f t="shared" si="3"/>
        <v>B</v>
      </c>
      <c r="AD28" s="2686">
        <f t="shared" ca="1" si="40"/>
        <v>3</v>
      </c>
      <c r="AE28" s="2690">
        <f t="shared" ca="1" si="41"/>
        <v>10</v>
      </c>
      <c r="AF28" s="2691">
        <f t="shared" ca="1" si="42"/>
        <v>5</v>
      </c>
      <c r="AG28" s="2686">
        <f t="shared" ca="1" si="43"/>
        <v>8</v>
      </c>
      <c r="AH28" s="2690">
        <f t="shared" ca="1" si="44"/>
        <v>0</v>
      </c>
      <c r="AI28" s="2686">
        <f t="shared" ca="1" si="45"/>
        <v>7</v>
      </c>
      <c r="AJ28" s="2690">
        <f t="shared" ca="1" si="46"/>
        <v>2</v>
      </c>
      <c r="AK28" s="2732" t="str">
        <f t="shared" si="15"/>
        <v/>
      </c>
      <c r="AL28" s="2733" t="str">
        <f t="shared" si="4"/>
        <v/>
      </c>
      <c r="AM28" s="2734">
        <f t="shared" si="16"/>
        <v>5</v>
      </c>
      <c r="AN28" s="2691">
        <f t="shared" si="16"/>
        <v>13</v>
      </c>
      <c r="AO28" s="2735">
        <f t="shared" si="16"/>
        <v>4</v>
      </c>
      <c r="AP28" s="2693" t="str">
        <f t="shared" si="5"/>
        <v/>
      </c>
      <c r="AQ28" s="2736" t="str">
        <f t="shared" si="5"/>
        <v/>
      </c>
      <c r="AR28" s="2689" t="str">
        <f t="shared" si="17"/>
        <v>P</v>
      </c>
      <c r="AS28" s="2690" t="str">
        <f t="shared" si="18"/>
        <v>#1</v>
      </c>
      <c r="AT28" s="2737" t="str">
        <f t="shared" si="19"/>
        <v/>
      </c>
      <c r="AU28" s="2738" t="str">
        <f t="shared" si="6"/>
        <v>B</v>
      </c>
      <c r="AV28" s="2695" t="str">
        <f t="shared" si="20"/>
        <v/>
      </c>
      <c r="AW28" s="2690" t="str">
        <f t="shared" si="21"/>
        <v/>
      </c>
      <c r="AX28" s="2737" t="str">
        <f t="shared" si="22"/>
        <v/>
      </c>
      <c r="AY28" s="2738" t="str">
        <f t="shared" si="7"/>
        <v/>
      </c>
      <c r="AZ28" s="2695" t="str">
        <f t="shared" si="23"/>
        <v/>
      </c>
      <c r="BA28" s="2690" t="str">
        <f t="shared" si="24"/>
        <v/>
      </c>
      <c r="BB28" s="2737" t="str">
        <f t="shared" si="25"/>
        <v/>
      </c>
      <c r="BC28" s="2738" t="str">
        <f t="shared" si="8"/>
        <v/>
      </c>
      <c r="BD28" s="2695" t="str">
        <f t="shared" si="26"/>
        <v/>
      </c>
      <c r="BE28" s="2690" t="str">
        <f t="shared" si="27"/>
        <v/>
      </c>
      <c r="BF28" s="2737" t="str">
        <f t="shared" si="28"/>
        <v/>
      </c>
      <c r="BG28" s="2738" t="str">
        <f t="shared" si="9"/>
        <v/>
      </c>
      <c r="BH28" s="261"/>
      <c r="BJ28" s="1302" t="str">
        <f>IF(OR(ISBLANK(A28),A28=""),"",A28)</f>
        <v>G1</v>
      </c>
      <c r="BK28" s="988" t="b">
        <f>IF($BK$1,IF(AND(BJ28&lt;&gt;"",OR(B28=0,B28="")),TRUE,FALSE),FALSE)</f>
        <v>0</v>
      </c>
      <c r="BL28" s="1784" t="b">
        <v>0</v>
      </c>
      <c r="BM28" s="989">
        <f>IF(C28="",0,VALUE(IF(BN28="","",LEFT(C28,SEARCH(BN28,C28)-1))))</f>
        <v>52</v>
      </c>
      <c r="BN28" s="989" t="str">
        <f>IF(C28="",0,IF(NOT(ISERROR(SEARCH("VG",C28))),"VG",IF(NOT(ISERROR(SEARCH("BG",C28))),"BG",IF(NOT(ISERROR(SEARCH("G",C28))),"G"))))</f>
        <v>G</v>
      </c>
      <c r="BO28" s="989">
        <f>IF(C28="",0,VALUE(MID(C28,SEARCH(BN28,C28)+LEN(BN28),SEARCH("N",C28)-SEARCH(BN28,C28)-LEN(BN28))))</f>
        <v>7</v>
      </c>
      <c r="BP28" s="989" t="str">
        <f t="shared" ref="BP28:BP45" si="7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12/5.5</v>
      </c>
      <c r="BQ28" s="989">
        <f>IF(ISERROR(SEARCH("F",C28)),IF(C28="",0,IF(SEARCH("K",C28)=LEN(C28),0,VALUE(MID(C28,SEARCH("K",C28)+1,LEN(C28))))),IF(C28="",0,IF(SEARCH("F",C28)=LEN(C28),0,VALUE(MID(C28,SEARCH("F",C28)+1,LEN(C28))))))</f>
        <v>2.4</v>
      </c>
      <c r="BR28" s="989" t="b">
        <f>IF(OR(ISERROR(BM28),ISERROR(BN28),ISERROR(BO28),ISERROR(BP28),ISERROR(BQ28)),FALSE,TRUE)</f>
        <v>1</v>
      </c>
      <c r="BS28" s="1303">
        <f>6+IF(LEFT(I28,1)="R",IF(ISNUMBER(G28),G28*12,0)+IF(ISNUMBER(H28),H28,0),0)</f>
        <v>7.75</v>
      </c>
      <c r="BT28" s="990" t="str">
        <f>IF(IF(ISNUMBER(S28),S28*12,0)+IF(ISNUMBER(T28),T28,0)&gt;0,IF(AND(IF(ISNUMBER(S28),S28*12,0)+IF(ISNUMBER(T28),T28,0)&gt;=$FE$4/2+$EX$6,IF(ISNUMBER(S28),S28*12,0)+IF(ISNUMBER(T28),T28,0)&lt;=(BS28-($FE$4/2+$EX$6))+IF(I28="X",2,0)),"Yes","No"),"No")</f>
        <v>Yes</v>
      </c>
      <c r="BU28" s="1303">
        <f>6+IF(LEFT(L28,1)="R",IF(ISNUMBER(J28),J28*12,0)+IF(ISNUMBER(K28),K28,0),0)</f>
        <v>10</v>
      </c>
      <c r="BV28" s="990" t="str">
        <f>IF(IF(ISNUMBER(U28),U28*12,0)+IF(ISNUMBER(V28),V28,0)&gt;0,IF(AND(IF(ISNUMBER(U28),U28*12,0)+IF(ISNUMBER(V28),V28,0)&gt;=$FE$4/2+$EX$6,IF(ISNUMBER(U28),U28*12,0)+IF(ISNUMBER(V28),V28,0)&lt;=(BU28-($FE$4/2+$EX$6))+IF(L28="X",2,0)),"Yes","No"),"No")</f>
        <v>No</v>
      </c>
      <c r="BW28" s="991">
        <f t="shared" ca="1" si="29"/>
        <v>15</v>
      </c>
      <c r="BX28" s="991" t="str">
        <f t="shared" ca="1" si="36"/>
        <v>G15</v>
      </c>
      <c r="BY28" s="991" t="b">
        <f t="shared" ca="1" si="30"/>
        <v>0</v>
      </c>
      <c r="BZ28" s="1304" t="b">
        <f t="shared" si="37"/>
        <v>0</v>
      </c>
      <c r="CB28" s="664" t="s">
        <v>1396</v>
      </c>
      <c r="CC28" s="1684">
        <v>1</v>
      </c>
      <c r="CD28" s="696" t="s">
        <v>1702</v>
      </c>
      <c r="CE28" s="697">
        <v>50</v>
      </c>
      <c r="CF28" s="1328">
        <v>11</v>
      </c>
      <c r="CG28" s="664">
        <v>6</v>
      </c>
      <c r="CH28" s="709"/>
      <c r="CI28" s="710"/>
      <c r="CJ28" s="709"/>
      <c r="CK28" s="710"/>
      <c r="CL28" s="711"/>
      <c r="CM28" s="742"/>
      <c r="CN28" s="1578"/>
      <c r="CO28" s="1579"/>
      <c r="CP28" s="1580"/>
      <c r="CQ28" s="2659" t="s">
        <v>1861</v>
      </c>
      <c r="CR28" s="709"/>
      <c r="CS28" s="710"/>
      <c r="CT28" s="709"/>
      <c r="CU28" s="710"/>
      <c r="CV28" s="711">
        <v>-46</v>
      </c>
      <c r="CW28" s="742"/>
      <c r="CX28" s="1578"/>
      <c r="CY28" s="1579"/>
      <c r="CZ28" s="1580"/>
      <c r="DA28" s="712"/>
      <c r="DB28" s="954" t="s">
        <v>1703</v>
      </c>
      <c r="DC28" s="955" t="s">
        <v>1704</v>
      </c>
      <c r="DD28" s="1597"/>
      <c r="DE28" s="1598">
        <v>11.125</v>
      </c>
      <c r="DF28" s="141"/>
      <c r="DG28" s="141"/>
      <c r="DH28" s="672" t="s">
        <v>1411</v>
      </c>
      <c r="DI28" s="673" t="s">
        <v>35</v>
      </c>
      <c r="DJ28" s="692">
        <v>4</v>
      </c>
      <c r="DK28" s="1332">
        <v>0</v>
      </c>
      <c r="DL28" s="674">
        <v>5</v>
      </c>
      <c r="DM28" s="693">
        <v>8</v>
      </c>
      <c r="DN28" s="1335">
        <v>0</v>
      </c>
      <c r="DO28" s="675"/>
      <c r="DP28" s="676"/>
      <c r="DQ28" s="1420">
        <v>5</v>
      </c>
      <c r="DR28" s="677">
        <v>13</v>
      </c>
      <c r="DS28" s="1612">
        <v>4</v>
      </c>
      <c r="DT28" s="1607"/>
      <c r="DU28" s="1608"/>
      <c r="DV28" s="678" t="s">
        <v>1018</v>
      </c>
      <c r="DW28" s="1337" t="s">
        <v>1705</v>
      </c>
      <c r="DX28" s="679"/>
      <c r="DY28" s="674" t="s">
        <v>35</v>
      </c>
      <c r="DZ28" s="678"/>
      <c r="EA28" s="1337"/>
      <c r="EB28" s="679"/>
      <c r="EC28" s="674"/>
      <c r="ED28" s="678"/>
      <c r="EE28" s="1337"/>
      <c r="EF28" s="679"/>
      <c r="EG28" s="674"/>
      <c r="EH28" s="678"/>
      <c r="EI28" s="1337"/>
      <c r="EJ28" s="679"/>
      <c r="EK28" s="680"/>
      <c r="EL28" s="141"/>
      <c r="EM28" s="1630" t="str">
        <f>IF(ISBLANK(CB28),"",CB28)</f>
        <v>G1</v>
      </c>
      <c r="EN28" s="1631" t="str">
        <f t="shared" ref="EN28:EN45" si="72">IF(DQ68=DR68,"",CONCATENATE(IF(CL28&lt;0,"NS ","FS "),IF(DR68="ERR","Slot Only",CONCATENATE("Slot @ ",DQ68))))</f>
        <v/>
      </c>
      <c r="EO28" s="646" t="str">
        <f t="shared" ref="EO28:EO45" si="73">IF(DX68=DY68,"",CONCATENATE(IF(CV28&lt;0,"FS ","NS "),IF(DY68="ERR","Slot Only",CONCATENATE("Slot @ ",DX68))))</f>
        <v/>
      </c>
      <c r="EP28" s="647" t="str">
        <f t="shared" ref="EP28:EP45" si="74">IF(EC68="","",IF(CI68&lt;&gt;EC68,CONCATENATE("LE slots @ ",CI68," Ga."),IF(CR68&lt;&gt;EC68,CONCATENATE("RE slots @ ",CR68," Ga."),"")))</f>
        <v/>
      </c>
      <c r="EQ28" s="812" t="str">
        <f t="shared" ref="EQ28:EQ45" si="75">IF(AND(ET28&lt;&gt;"",CL28&lt;&gt;"",EU28&lt;&gt;"",CV28&lt;&gt;""),"BE",IF(AND(ET28&lt;&gt;"",CL28&lt;&gt;""),"LE",IF(AND(EU28&lt;&gt;"",CV28&lt;&gt;""),"RE","")))</f>
        <v/>
      </c>
      <c r="ER28" s="1583" t="str">
        <f t="shared" ref="ER28:ER45" si="76">IF(ISBLANK(CO28),"",IF(CEILING(DB68,0.125)&lt;=DC68+$FA$4,"",CEILING(DB68,0.125)))</f>
        <v/>
      </c>
      <c r="ES28" s="1584" t="str">
        <f t="shared" ref="ES28:ES45" si="77">IF(ISBLANK(CY28),"",IF(CEILING(DH68,0.125)&lt;=DI68+$FA$4,"",CEILING(DH68,0.125)))</f>
        <v/>
      </c>
      <c r="ET28" s="1585" t="str">
        <f t="shared" ref="ET28:ET45" si="78">IF(CG28="","",IF($FB$4&gt;EV68,EV68,""))</f>
        <v/>
      </c>
      <c r="EU28" s="1586" t="str">
        <f t="shared" ref="EU28:EU45" si="79">IF(CQ28="","",IF($FB$4&gt;EW68,EW68,""))</f>
        <v/>
      </c>
      <c r="EX28" s="503" t="str">
        <f t="shared" ca="1" si="31"/>
        <v>G15B</v>
      </c>
      <c r="EY28" s="940" t="b">
        <f t="shared" ca="1" si="10"/>
        <v>1</v>
      </c>
      <c r="EZ28" s="940">
        <f t="shared" ca="1" si="32"/>
        <v>5</v>
      </c>
      <c r="FA28" s="958" t="b">
        <f t="shared" ca="1" si="38"/>
        <v>1</v>
      </c>
      <c r="FB28" s="134">
        <f t="shared" ca="1" si="33"/>
        <v>612</v>
      </c>
      <c r="FC28" s="134">
        <f t="shared" ca="1" si="11"/>
        <v>46</v>
      </c>
      <c r="FD28" s="134">
        <f t="shared" ca="1" si="12"/>
        <v>480</v>
      </c>
      <c r="FE28" s="134">
        <f t="shared" ca="1" si="13"/>
        <v>86</v>
      </c>
      <c r="FF28" s="134">
        <f t="shared" ca="1" si="34"/>
        <v>612</v>
      </c>
      <c r="FN28" s="993" t="b">
        <v>0</v>
      </c>
      <c r="FO28" s="754" t="b">
        <f>NOT(ISERROR(VLOOKUP(A28,$AB$14:$AB$45,1,FALSE)))</f>
        <v>1</v>
      </c>
      <c r="FP28" s="754" t="b">
        <v>0</v>
      </c>
      <c r="FQ28" s="754" t="b">
        <f t="shared" si="35"/>
        <v>1</v>
      </c>
      <c r="FX28" s="197"/>
      <c r="FZ28" s="2"/>
      <c r="GA28" s="581">
        <f t="shared" ref="GA28:GA45" si="80">IF(GF28="","",CE28)</f>
        <v>50</v>
      </c>
      <c r="GB28" s="623">
        <f t="shared" ref="GB28:GB45" si="81">IF(GF28="","",CF28)</f>
        <v>11</v>
      </c>
      <c r="GC28" s="625">
        <f t="shared" ref="GC28:GC45" si="82">IF(GF28="","",IF(CD68="",0,CD68))</f>
        <v>-0.25</v>
      </c>
      <c r="GD28" s="626">
        <f t="shared" ref="GD28:GD45" si="83">IF(GF28="","",IF(CM68="",0,CM68))</f>
        <v>-1.5</v>
      </c>
      <c r="GE28" s="624">
        <f t="shared" ref="GE28:GE45" si="84">IF(GF28="","",IF(ISBLANK(DA28),IF(X28=Y28,0,MAX(ABS(X28),ABS(Y28))*IF(X28&lt;0,-1,1)),DA28))</f>
        <v>0</v>
      </c>
      <c r="GF28" s="582" t="str">
        <f t="shared" ref="GF28:GF45" si="85">IF(A28=0,"",A28)</f>
        <v>G1</v>
      </c>
      <c r="GG28" s="692">
        <v>0</v>
      </c>
      <c r="GH28" s="1135">
        <v>0</v>
      </c>
      <c r="GI28" s="692"/>
      <c r="GJ28" s="1135"/>
      <c r="GK28" s="1641">
        <f t="shared" ref="GK28:GK45" si="86">IF(D28="",0,D28*12+E28)</f>
        <v>609.25</v>
      </c>
      <c r="GL28" s="1641">
        <f t="shared" ref="GL28:GL45" si="87">(GA28*12+GB28+GC28+GD28)/COS(ATAN(ABS(GE28/12)))</f>
        <v>609.25</v>
      </c>
      <c r="GM28" s="1642">
        <f>IF(ABS(GK28-GL28)&gt;='Job Info.'!$L$22,ABS(GK28-GL28),0)</f>
        <v>0</v>
      </c>
      <c r="GZ28" s="144"/>
      <c r="HA28" s="1236" t="s">
        <v>1396</v>
      </c>
      <c r="HB28" s="1237">
        <v>1</v>
      </c>
      <c r="HC28" s="1237" t="s">
        <v>1702</v>
      </c>
      <c r="HD28" s="1238">
        <v>50</v>
      </c>
      <c r="HE28" s="1239">
        <v>11</v>
      </c>
      <c r="HF28" s="1237">
        <v>6</v>
      </c>
      <c r="HG28" s="1237"/>
      <c r="HH28" s="1237"/>
      <c r="HI28" s="1237"/>
      <c r="HJ28" s="1237"/>
      <c r="HK28" s="1237"/>
      <c r="HL28" s="1237"/>
      <c r="HM28" s="1237"/>
      <c r="HN28" s="1237"/>
      <c r="HO28" s="1237"/>
      <c r="HP28" s="1237">
        <v>3</v>
      </c>
      <c r="HQ28" s="1237"/>
      <c r="HR28" s="1237"/>
      <c r="HS28" s="1237"/>
      <c r="HT28" s="1237"/>
      <c r="HU28" s="1237">
        <v>-46</v>
      </c>
      <c r="HV28" s="1237"/>
      <c r="HW28" s="1237"/>
      <c r="HX28" s="1237"/>
      <c r="HY28" s="1240"/>
      <c r="HZ28" s="1240"/>
      <c r="IA28" s="1240" t="s">
        <v>1703</v>
      </c>
      <c r="IB28" s="1240" t="s">
        <v>1704</v>
      </c>
      <c r="IC28" s="1240"/>
      <c r="ID28" s="1241">
        <v>11.125</v>
      </c>
      <c r="IE28" s="1242" t="s">
        <v>1411</v>
      </c>
      <c r="IF28" s="1243" t="s">
        <v>35</v>
      </c>
      <c r="IG28" s="1244">
        <v>4</v>
      </c>
      <c r="IH28" s="1245">
        <v>0</v>
      </c>
      <c r="II28" s="1243">
        <v>5</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39"/>
        <v>1</v>
      </c>
    </row>
    <row r="29" spans="1:274" ht="12.6" customHeight="1" x14ac:dyDescent="0.25">
      <c r="A29" s="2683" t="str">
        <f t="shared" si="48"/>
        <v>G2</v>
      </c>
      <c r="B29" s="2684">
        <f t="shared" si="48"/>
        <v>1</v>
      </c>
      <c r="C29" s="2685" t="s">
        <v>1702</v>
      </c>
      <c r="D29" s="2686">
        <f t="shared" si="49"/>
        <v>51</v>
      </c>
      <c r="E29" s="2687">
        <f t="shared" si="50"/>
        <v>1.75</v>
      </c>
      <c r="F29" s="2688">
        <f t="shared" si="51"/>
        <v>11.125</v>
      </c>
      <c r="G29" s="2689" t="str">
        <f t="shared" si="52"/>
        <v/>
      </c>
      <c r="H29" s="2690" t="str">
        <f t="shared" si="53"/>
        <v/>
      </c>
      <c r="I29" s="2691" t="str">
        <f t="shared" si="54"/>
        <v/>
      </c>
      <c r="J29" s="2686">
        <f t="shared" si="55"/>
        <v>0</v>
      </c>
      <c r="K29" s="2690">
        <f t="shared" si="56"/>
        <v>1.75</v>
      </c>
      <c r="L29" s="2692" t="str">
        <f t="shared" si="57"/>
        <v>R</v>
      </c>
      <c r="M29" s="2693">
        <f t="shared" si="58"/>
        <v>7.5</v>
      </c>
      <c r="N29" s="2694">
        <f t="shared" si="58"/>
        <v>7.5</v>
      </c>
      <c r="O29" s="2689">
        <f t="shared" si="59"/>
        <v>0</v>
      </c>
      <c r="P29" s="2690">
        <f t="shared" si="60"/>
        <v>1.5</v>
      </c>
      <c r="Q29" s="2686">
        <f t="shared" si="61"/>
        <v>0</v>
      </c>
      <c r="R29" s="2687">
        <f t="shared" si="62"/>
        <v>6.75</v>
      </c>
      <c r="S29" s="2695">
        <f t="shared" si="63"/>
        <v>0</v>
      </c>
      <c r="T29" s="2690">
        <f t="shared" si="64"/>
        <v>3</v>
      </c>
      <c r="U29" s="2686">
        <f t="shared" si="65"/>
        <v>0</v>
      </c>
      <c r="V29" s="2690">
        <f t="shared" si="66"/>
        <v>6.25</v>
      </c>
      <c r="W29" s="2694">
        <f t="shared" si="67"/>
        <v>5</v>
      </c>
      <c r="X29" s="2696" t="str">
        <f t="shared" si="68"/>
        <v/>
      </c>
      <c r="Y29" s="2697" t="str">
        <f t="shared" si="69"/>
        <v/>
      </c>
      <c r="Z29" s="2698" t="s">
        <v>1865</v>
      </c>
      <c r="AA29" s="2699" t="str">
        <f t="shared" si="70"/>
        <v/>
      </c>
      <c r="AB29" s="2683" t="str">
        <f t="shared" si="14"/>
        <v>G16</v>
      </c>
      <c r="AC29" s="2691" t="str">
        <f t="shared" si="3"/>
        <v>B</v>
      </c>
      <c r="AD29" s="2686">
        <f t="shared" ca="1" si="40"/>
        <v>7</v>
      </c>
      <c r="AE29" s="2690">
        <f t="shared" ca="1" si="41"/>
        <v>2</v>
      </c>
      <c r="AF29" s="2691">
        <f t="shared" ca="1" si="42"/>
        <v>5</v>
      </c>
      <c r="AG29" s="2686">
        <f t="shared" ca="1" si="43"/>
        <v>8</v>
      </c>
      <c r="AH29" s="2690">
        <f t="shared" ca="1" si="44"/>
        <v>0</v>
      </c>
      <c r="AI29" s="2686">
        <f t="shared" ca="1" si="45"/>
        <v>2</v>
      </c>
      <c r="AJ29" s="2690">
        <f t="shared" ca="1" si="46"/>
        <v>5.5</v>
      </c>
      <c r="AK29" s="2732" t="str">
        <f t="shared" si="15"/>
        <v/>
      </c>
      <c r="AL29" s="2733" t="str">
        <f t="shared" si="4"/>
        <v/>
      </c>
      <c r="AM29" s="2734">
        <f t="shared" si="16"/>
        <v>5</v>
      </c>
      <c r="AN29" s="2691">
        <f t="shared" si="16"/>
        <v>13</v>
      </c>
      <c r="AO29" s="2735">
        <f t="shared" si="16"/>
        <v>4</v>
      </c>
      <c r="AP29" s="2693" t="str">
        <f t="shared" si="5"/>
        <v/>
      </c>
      <c r="AQ29" s="2736" t="str">
        <f t="shared" si="5"/>
        <v/>
      </c>
      <c r="AR29" s="2689" t="str">
        <f t="shared" si="17"/>
        <v>P</v>
      </c>
      <c r="AS29" s="2690" t="str">
        <f t="shared" si="18"/>
        <v>#6</v>
      </c>
      <c r="AT29" s="2737" t="str">
        <f t="shared" si="19"/>
        <v/>
      </c>
      <c r="AU29" s="2738" t="str">
        <f t="shared" si="6"/>
        <v>F</v>
      </c>
      <c r="AV29" s="2695" t="str">
        <f t="shared" si="20"/>
        <v/>
      </c>
      <c r="AW29" s="2690" t="str">
        <f t="shared" si="21"/>
        <v/>
      </c>
      <c r="AX29" s="2737" t="str">
        <f t="shared" si="22"/>
        <v/>
      </c>
      <c r="AY29" s="2738" t="str">
        <f t="shared" si="7"/>
        <v/>
      </c>
      <c r="AZ29" s="2695" t="str">
        <f t="shared" si="23"/>
        <v/>
      </c>
      <c r="BA29" s="2690" t="str">
        <f t="shared" si="24"/>
        <v/>
      </c>
      <c r="BB29" s="2737" t="str">
        <f t="shared" si="25"/>
        <v/>
      </c>
      <c r="BC29" s="2738" t="str">
        <f t="shared" si="8"/>
        <v/>
      </c>
      <c r="BD29" s="2695" t="str">
        <f t="shared" si="26"/>
        <v/>
      </c>
      <c r="BE29" s="2690" t="str">
        <f t="shared" si="27"/>
        <v/>
      </c>
      <c r="BF29" s="2737" t="str">
        <f t="shared" si="28"/>
        <v/>
      </c>
      <c r="BG29" s="2738" t="str">
        <f t="shared" si="9"/>
        <v/>
      </c>
      <c r="BH29" s="261"/>
      <c r="BJ29" s="1302" t="str">
        <f>IF(AND(OR(ISBLANK(A29),A29=""),Z29&lt;&gt;""),BJ28,IF(OR(ISBLANK(A29),A29=""),"",A29))</f>
        <v>G2</v>
      </c>
      <c r="BK29" s="993" t="b">
        <f>IF($BK$1,IF(BJ29=BJ28,BK28,IF(AND(BJ29&lt;&gt;"",OR(B29=0,B29="")),TRUE,FALSE)),FALSE)</f>
        <v>0</v>
      </c>
      <c r="BL29" s="1784" t="b">
        <v>0</v>
      </c>
      <c r="BM29" s="989">
        <f t="shared" ref="BM29:BM45" si="88">IF(C29="",0,VALUE(IF(BN29="","",LEFT(C29,SEARCH(BN29,C29)-1))))</f>
        <v>52</v>
      </c>
      <c r="BN29" s="989" t="str">
        <f t="shared" ref="BN29:BN45" si="89">IF(C29="",0,IF(NOT(ISERROR(SEARCH("VG",C29))),"VG",IF(NOT(ISERROR(SEARCH("BG",C29))),"BG",IF(NOT(ISERROR(SEARCH("G",C29))),"G"))))</f>
        <v>G</v>
      </c>
      <c r="BO29" s="989">
        <f t="shared" ref="BO29:BO45" si="90">IF(C29="",0,VALUE(MID(C29,SEARCH(BN29,C29)+LEN(BN29),SEARCH("N",C29)-SEARCH(BN29,C29)-LEN(BN29))))</f>
        <v>7</v>
      </c>
      <c r="BP29" s="989" t="str">
        <f t="shared" si="71"/>
        <v>12/5.5</v>
      </c>
      <c r="BQ29" s="989">
        <f t="shared" ref="BQ29:BQ45" si="91">IF(ISERROR(SEARCH("F",C29)),IF(C29="",0,IF(SEARCH("K",C29)=LEN(C29),0,VALUE(MID(C29,SEARCH("K",C29)+1,LEN(C29))))),IF(C29="",0,IF(SEARCH("F",C29)=LEN(C29),0,VALUE(MID(C29,SEARCH("F",C29)+1,LEN(C29))))))</f>
        <v>2.4</v>
      </c>
      <c r="BR29" s="989" t="b">
        <f t="shared" ref="BR29:BR45" si="92">IF(OR(ISERROR(BM29),ISERROR(BN29),ISERROR(BO29),ISERROR(BP29),ISERROR(BQ29)),FALSE,TRUE)</f>
        <v>1</v>
      </c>
      <c r="BS29" s="1303">
        <f t="shared" ref="BS29:BS45" si="93">6+IF(LEFT(I29,1)="R",IF(ISNUMBER(G29),G29*12,0)+IF(ISNUMBER(H29),H29,0),0)</f>
        <v>6</v>
      </c>
      <c r="BT29" s="990" t="str">
        <f t="shared" ref="BT29:BT45" si="94">IF(IF(ISNUMBER(S29),S29*12,0)+IF(ISNUMBER(T29),T29,0)&gt;0,IF(AND(IF(ISNUMBER(S29),S29*12,0)+IF(ISNUMBER(T29),T29,0)&gt;=$FE$4/2+$EX$6,IF(ISNUMBER(S29),S29*12,0)+IF(ISNUMBER(T29),T29,0)&lt;=(BS29-($FE$4/2+$EX$6))+IF(I29="X",2,0)),"Yes","No"),"No")</f>
        <v>Yes</v>
      </c>
      <c r="BU29" s="1303">
        <f t="shared" ref="BU29:BU45" si="95">6+IF(LEFT(L29,1)="R",IF(ISNUMBER(J29),J29*12,0)+IF(ISNUMBER(K29),K29,0),0)</f>
        <v>7.75</v>
      </c>
      <c r="BV29" s="990" t="str">
        <f t="shared" ref="BV29:BV45" si="96">IF(IF(ISNUMBER(U29),U29*12,0)+IF(ISNUMBER(V29),V29,0)&gt;0,IF(AND(IF(ISNUMBER(U29),U29*12,0)+IF(ISNUMBER(V29),V29,0)&gt;=$FE$4/2+$EX$6,IF(ISNUMBER(U29),U29*12,0)+IF(ISNUMBER(V29),V29,0)&lt;=(BU29-($FE$4/2+$EX$6))+IF(L29="X",2,0)),"Yes","No"),"No")</f>
        <v>Yes</v>
      </c>
      <c r="BW29" s="991">
        <f t="shared" ca="1" si="29"/>
        <v>15</v>
      </c>
      <c r="BX29" s="991" t="str">
        <f t="shared" ca="1" si="36"/>
        <v>G16</v>
      </c>
      <c r="BY29" s="991" t="b">
        <f t="shared" ca="1" si="30"/>
        <v>0</v>
      </c>
      <c r="BZ29" s="1304" t="b">
        <f t="shared" si="37"/>
        <v>0</v>
      </c>
      <c r="CB29" s="672" t="s">
        <v>1398</v>
      </c>
      <c r="CC29" s="1685">
        <v>1</v>
      </c>
      <c r="CD29" s="699" t="s">
        <v>1702</v>
      </c>
      <c r="CE29" s="700">
        <v>51</v>
      </c>
      <c r="CF29" s="1329">
        <v>7.5</v>
      </c>
      <c r="CG29" s="672">
        <v>17</v>
      </c>
      <c r="CH29" s="713"/>
      <c r="CI29" s="714"/>
      <c r="CJ29" s="713"/>
      <c r="CK29" s="714"/>
      <c r="CL29" s="715"/>
      <c r="CM29" s="743"/>
      <c r="CN29" s="738"/>
      <c r="CO29" s="1552"/>
      <c r="CP29" s="910"/>
      <c r="CQ29" s="672">
        <v>6</v>
      </c>
      <c r="CR29" s="713"/>
      <c r="CS29" s="714"/>
      <c r="CT29" s="713"/>
      <c r="CU29" s="714"/>
      <c r="CV29" s="715"/>
      <c r="CW29" s="743"/>
      <c r="CX29" s="738"/>
      <c r="CY29" s="1552"/>
      <c r="CZ29" s="910"/>
      <c r="DA29" s="717"/>
      <c r="DB29" s="702">
        <v>8</v>
      </c>
      <c r="DC29" s="703" t="s">
        <v>113</v>
      </c>
      <c r="DD29" s="1599"/>
      <c r="DE29" s="1600">
        <v>11.125</v>
      </c>
      <c r="DF29" s="141"/>
      <c r="DG29" s="141"/>
      <c r="DH29" s="672" t="s">
        <v>1412</v>
      </c>
      <c r="DI29" s="673" t="s">
        <v>35</v>
      </c>
      <c r="DJ29" s="692">
        <v>7</v>
      </c>
      <c r="DK29" s="1332">
        <v>7.5</v>
      </c>
      <c r="DL29" s="674">
        <v>5</v>
      </c>
      <c r="DM29" s="693">
        <v>8</v>
      </c>
      <c r="DN29" s="1335">
        <v>0</v>
      </c>
      <c r="DO29" s="675"/>
      <c r="DP29" s="676"/>
      <c r="DQ29" s="1420">
        <v>5</v>
      </c>
      <c r="DR29" s="677">
        <v>13</v>
      </c>
      <c r="DS29" s="1612">
        <v>4</v>
      </c>
      <c r="DT29" s="1607"/>
      <c r="DU29" s="1608"/>
      <c r="DV29" s="678" t="s">
        <v>1018</v>
      </c>
      <c r="DW29" s="1337" t="s">
        <v>1706</v>
      </c>
      <c r="DX29" s="679"/>
      <c r="DY29" s="674" t="s">
        <v>1707</v>
      </c>
      <c r="DZ29" s="678"/>
      <c r="EA29" s="1337"/>
      <c r="EB29" s="679"/>
      <c r="EC29" s="674"/>
      <c r="ED29" s="678"/>
      <c r="EE29" s="1337"/>
      <c r="EF29" s="679"/>
      <c r="EG29" s="674"/>
      <c r="EH29" s="678"/>
      <c r="EI29" s="1337"/>
      <c r="EJ29" s="679"/>
      <c r="EK29" s="680"/>
      <c r="EL29" s="141"/>
      <c r="EM29" s="1632" t="str">
        <f t="shared" ref="EM29:EM45" si="97">IF(ISBLANK(CB29),"",CB29)</f>
        <v>G2</v>
      </c>
      <c r="EN29" s="1633" t="str">
        <f t="shared" si="72"/>
        <v/>
      </c>
      <c r="EO29" s="648" t="str">
        <f t="shared" si="73"/>
        <v/>
      </c>
      <c r="EP29" s="649" t="str">
        <f t="shared" si="74"/>
        <v/>
      </c>
      <c r="EQ29" s="813" t="str">
        <f t="shared" si="75"/>
        <v/>
      </c>
      <c r="ER29" s="1587" t="str">
        <f t="shared" si="76"/>
        <v/>
      </c>
      <c r="ES29" s="1588" t="str">
        <f t="shared" si="77"/>
        <v/>
      </c>
      <c r="ET29" s="1589" t="str">
        <f t="shared" si="78"/>
        <v/>
      </c>
      <c r="EU29" s="1590" t="str">
        <f t="shared" si="79"/>
        <v/>
      </c>
      <c r="EX29" s="503" t="str">
        <f t="shared" ca="1" si="31"/>
        <v>G16B</v>
      </c>
      <c r="EY29" s="940" t="b">
        <f t="shared" ca="1" si="10"/>
        <v>1</v>
      </c>
      <c r="EZ29" s="940">
        <f t="shared" ca="1" si="32"/>
        <v>5</v>
      </c>
      <c r="FA29" s="958" t="b">
        <f t="shared" ca="1" si="38"/>
        <v>1</v>
      </c>
      <c r="FB29" s="134">
        <f t="shared" ca="1" si="33"/>
        <v>595.5</v>
      </c>
      <c r="FC29" s="134">
        <f t="shared" ca="1" si="11"/>
        <v>86</v>
      </c>
      <c r="FD29" s="134">
        <f t="shared" ca="1" si="12"/>
        <v>480</v>
      </c>
      <c r="FE29" s="134">
        <f t="shared" ca="1" si="13"/>
        <v>29.5</v>
      </c>
      <c r="FF29" s="134">
        <f t="shared" ca="1" si="34"/>
        <v>595.5</v>
      </c>
      <c r="FN29" s="993" t="b">
        <v>0</v>
      </c>
      <c r="FO29" s="754" t="b">
        <f t="shared" ref="FO29:FO45" si="98">NOT(ISERROR(VLOOKUP(A29,$AB$14:$AB$45,1,FALSE)))</f>
        <v>1</v>
      </c>
      <c r="FP29" s="754" t="b">
        <v>0</v>
      </c>
      <c r="FQ29" s="754" t="b">
        <f t="shared" si="35"/>
        <v>1</v>
      </c>
      <c r="FX29" s="197"/>
      <c r="FZ29" s="2"/>
      <c r="GA29" s="581">
        <f t="shared" si="80"/>
        <v>51</v>
      </c>
      <c r="GB29" s="623">
        <f t="shared" si="81"/>
        <v>7.5</v>
      </c>
      <c r="GC29" s="625">
        <f t="shared" si="82"/>
        <v>-5.5</v>
      </c>
      <c r="GD29" s="626">
        <f t="shared" si="83"/>
        <v>-0.25</v>
      </c>
      <c r="GE29" s="624">
        <f t="shared" si="84"/>
        <v>0</v>
      </c>
      <c r="GF29" s="582" t="str">
        <f t="shared" si="85"/>
        <v>G2</v>
      </c>
      <c r="GG29" s="692">
        <v>0</v>
      </c>
      <c r="GH29" s="1136">
        <v>0</v>
      </c>
      <c r="GI29" s="692"/>
      <c r="GJ29" s="1136"/>
      <c r="GK29" s="1641">
        <f t="shared" si="86"/>
        <v>613.75</v>
      </c>
      <c r="GL29" s="1641">
        <f t="shared" si="87"/>
        <v>613.75</v>
      </c>
      <c r="GM29" s="1642">
        <f>IF(ABS(GK29-GL29)&gt;='Job Info.'!$L$22,ABS(GK29-GL29),0)</f>
        <v>0</v>
      </c>
      <c r="HA29" s="1242" t="s">
        <v>1398</v>
      </c>
      <c r="HB29" s="1243">
        <v>1</v>
      </c>
      <c r="HC29" s="1243" t="s">
        <v>1702</v>
      </c>
      <c r="HD29" s="1244">
        <v>51</v>
      </c>
      <c r="HE29" s="1245">
        <v>7.5</v>
      </c>
      <c r="HF29" s="1243">
        <v>17</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8</v>
      </c>
      <c r="IB29" s="1247" t="s">
        <v>113</v>
      </c>
      <c r="IC29" s="1247"/>
      <c r="ID29" s="1248">
        <v>11.125</v>
      </c>
      <c r="IE29" s="1242" t="s">
        <v>1412</v>
      </c>
      <c r="IF29" s="1243" t="s">
        <v>35</v>
      </c>
      <c r="IG29" s="1244">
        <v>7</v>
      </c>
      <c r="IH29" s="1245">
        <v>7.5</v>
      </c>
      <c r="II29" s="1243">
        <v>5</v>
      </c>
      <c r="IJ29" s="1244">
        <v>8</v>
      </c>
      <c r="IK29" s="1245">
        <v>0</v>
      </c>
      <c r="IL29" s="1243"/>
      <c r="IM29" s="1243"/>
      <c r="IN29" s="1243">
        <v>5</v>
      </c>
      <c r="IO29" s="1243">
        <v>13</v>
      </c>
      <c r="IP29" s="1243">
        <v>4</v>
      </c>
      <c r="IQ29" s="1243"/>
      <c r="IR29" s="1243"/>
      <c r="IS29" s="1244" t="s">
        <v>1018</v>
      </c>
      <c r="IT29" s="1245" t="s">
        <v>1706</v>
      </c>
      <c r="IU29" s="1243"/>
      <c r="IV29" s="1243" t="s">
        <v>1707</v>
      </c>
      <c r="IW29" s="1244"/>
      <c r="IX29" s="1245"/>
      <c r="IY29" s="1243"/>
      <c r="IZ29" s="1243"/>
      <c r="JA29" s="1244"/>
      <c r="JB29" s="1245"/>
      <c r="JC29" s="1243"/>
      <c r="JD29" s="1243"/>
      <c r="JE29" s="1244"/>
      <c r="JF29" s="1245"/>
      <c r="JG29" s="1243"/>
      <c r="JH29" s="1243"/>
      <c r="JI29" s="1243"/>
      <c r="JJ29" s="1246"/>
      <c r="JK29" s="1243">
        <v>1</v>
      </c>
      <c r="JL29" s="1172">
        <f t="shared" ca="1" si="39"/>
        <v>1</v>
      </c>
    </row>
    <row r="30" spans="1:274" s="145" customFormat="1" ht="12.6" customHeight="1" x14ac:dyDescent="0.25">
      <c r="A30" s="2683" t="str">
        <f t="shared" si="48"/>
        <v>G3</v>
      </c>
      <c r="B30" s="2684">
        <f t="shared" si="48"/>
        <v>1</v>
      </c>
      <c r="C30" s="2685" t="s">
        <v>1702</v>
      </c>
      <c r="D30" s="2686">
        <f t="shared" si="49"/>
        <v>51</v>
      </c>
      <c r="E30" s="2687">
        <f t="shared" si="50"/>
        <v>10.75</v>
      </c>
      <c r="F30" s="2688">
        <f t="shared" si="51"/>
        <v>11.125</v>
      </c>
      <c r="G30" s="2689">
        <f t="shared" si="52"/>
        <v>0</v>
      </c>
      <c r="H30" s="2690">
        <f t="shared" si="53"/>
        <v>1.75</v>
      </c>
      <c r="I30" s="2691" t="str">
        <f t="shared" si="54"/>
        <v>R</v>
      </c>
      <c r="J30" s="2686" t="str">
        <f t="shared" si="55"/>
        <v/>
      </c>
      <c r="K30" s="2690" t="str">
        <f t="shared" si="56"/>
        <v/>
      </c>
      <c r="L30" s="2692" t="str">
        <f t="shared" si="57"/>
        <v/>
      </c>
      <c r="M30" s="2693">
        <f t="shared" si="58"/>
        <v>7.5</v>
      </c>
      <c r="N30" s="2694">
        <f t="shared" si="58"/>
        <v>7.5</v>
      </c>
      <c r="O30" s="2689">
        <f t="shared" si="59"/>
        <v>0</v>
      </c>
      <c r="P30" s="2690">
        <f t="shared" si="60"/>
        <v>6.75</v>
      </c>
      <c r="Q30" s="2686">
        <f t="shared" si="61"/>
        <v>0</v>
      </c>
      <c r="R30" s="2687">
        <f t="shared" si="62"/>
        <v>1.5</v>
      </c>
      <c r="S30" s="2695">
        <f t="shared" si="63"/>
        <v>0</v>
      </c>
      <c r="T30" s="2690">
        <f t="shared" si="64"/>
        <v>6.25</v>
      </c>
      <c r="U30" s="2686">
        <f t="shared" si="65"/>
        <v>0</v>
      </c>
      <c r="V30" s="2690">
        <f t="shared" si="66"/>
        <v>3</v>
      </c>
      <c r="W30" s="2694">
        <f t="shared" si="67"/>
        <v>5</v>
      </c>
      <c r="X30" s="2696" t="str">
        <f t="shared" si="68"/>
        <v/>
      </c>
      <c r="Y30" s="2697" t="str">
        <f t="shared" si="69"/>
        <v/>
      </c>
      <c r="Z30" s="2698" t="s">
        <v>1866</v>
      </c>
      <c r="AA30" s="2699" t="str">
        <f t="shared" si="70"/>
        <v/>
      </c>
      <c r="AB30" s="2683" t="str">
        <f t="shared" si="14"/>
        <v/>
      </c>
      <c r="AC30" s="2691" t="str">
        <f t="shared" si="3"/>
        <v/>
      </c>
      <c r="AD30" s="2686" t="str">
        <f t="shared" ca="1" si="40"/>
        <v/>
      </c>
      <c r="AE30" s="2690" t="str">
        <f t="shared" ca="1" si="41"/>
        <v/>
      </c>
      <c r="AF30" s="2691" t="str">
        <f t="shared" ca="1" si="42"/>
        <v/>
      </c>
      <c r="AG30" s="2686" t="str">
        <f t="shared" ca="1" si="43"/>
        <v/>
      </c>
      <c r="AH30" s="2690" t="str">
        <f t="shared" ca="1" si="44"/>
        <v/>
      </c>
      <c r="AI30" s="2686" t="str">
        <f t="shared" ca="1" si="45"/>
        <v/>
      </c>
      <c r="AJ30" s="2690" t="str">
        <f t="shared" ca="1" si="46"/>
        <v/>
      </c>
      <c r="AK30" s="2732" t="str">
        <f t="shared" si="15"/>
        <v/>
      </c>
      <c r="AL30" s="2733" t="str">
        <f t="shared" si="4"/>
        <v/>
      </c>
      <c r="AM30" s="2734" t="str">
        <f t="shared" si="16"/>
        <v/>
      </c>
      <c r="AN30" s="2691" t="str">
        <f t="shared" si="16"/>
        <v/>
      </c>
      <c r="AO30" s="2735" t="str">
        <f t="shared" si="16"/>
        <v/>
      </c>
      <c r="AP30" s="2693" t="str">
        <f t="shared" si="5"/>
        <v/>
      </c>
      <c r="AQ30" s="2736" t="str">
        <f t="shared" si="5"/>
        <v/>
      </c>
      <c r="AR30" s="2689" t="str">
        <f t="shared" si="17"/>
        <v/>
      </c>
      <c r="AS30" s="2690" t="str">
        <f t="shared" si="18"/>
        <v/>
      </c>
      <c r="AT30" s="2737" t="str">
        <f t="shared" si="19"/>
        <v/>
      </c>
      <c r="AU30" s="2738" t="str">
        <f t="shared" si="6"/>
        <v/>
      </c>
      <c r="AV30" s="2695" t="str">
        <f t="shared" si="20"/>
        <v/>
      </c>
      <c r="AW30" s="2690" t="str">
        <f t="shared" si="21"/>
        <v/>
      </c>
      <c r="AX30" s="2737" t="str">
        <f t="shared" si="22"/>
        <v/>
      </c>
      <c r="AY30" s="2738" t="str">
        <f t="shared" si="7"/>
        <v/>
      </c>
      <c r="AZ30" s="2695" t="str">
        <f t="shared" si="23"/>
        <v/>
      </c>
      <c r="BA30" s="2690" t="str">
        <f t="shared" si="24"/>
        <v/>
      </c>
      <c r="BB30" s="2737" t="str">
        <f t="shared" si="25"/>
        <v/>
      </c>
      <c r="BC30" s="2738" t="str">
        <f t="shared" si="8"/>
        <v/>
      </c>
      <c r="BD30" s="2695" t="str">
        <f t="shared" si="26"/>
        <v/>
      </c>
      <c r="BE30" s="2690" t="str">
        <f t="shared" si="27"/>
        <v/>
      </c>
      <c r="BF30" s="2737" t="str">
        <f t="shared" si="28"/>
        <v/>
      </c>
      <c r="BG30" s="2738" t="str">
        <f t="shared" si="9"/>
        <v/>
      </c>
      <c r="BH30" s="262"/>
      <c r="BJ30" s="1302" t="str">
        <f t="shared" ref="BJ30:BJ45" si="99">IF(AND(OR(ISBLANK(A30),A30=""),Z30&lt;&gt;""),BJ29,IF(OR(ISBLANK(A30),A30=""),"",A30))</f>
        <v>G3</v>
      </c>
      <c r="BK30" s="993" t="b">
        <f>IF($BK$1,IF(BJ30=BJ29,BK29,IF(AND(BJ30&lt;&gt;"",OR(B30=0,B30="")),TRUE,FALSE)),FALSE)</f>
        <v>0</v>
      </c>
      <c r="BL30" s="1784" t="b">
        <v>0</v>
      </c>
      <c r="BM30" s="989">
        <f t="shared" si="88"/>
        <v>52</v>
      </c>
      <c r="BN30" s="989" t="str">
        <f t="shared" si="89"/>
        <v>G</v>
      </c>
      <c r="BO30" s="989">
        <f t="shared" si="90"/>
        <v>7</v>
      </c>
      <c r="BP30" s="989" t="str">
        <f t="shared" si="71"/>
        <v>12/5.5</v>
      </c>
      <c r="BQ30" s="989">
        <f t="shared" si="91"/>
        <v>2.4</v>
      </c>
      <c r="BR30" s="989" t="b">
        <f t="shared" si="92"/>
        <v>1</v>
      </c>
      <c r="BS30" s="1303">
        <f t="shared" si="93"/>
        <v>7.75</v>
      </c>
      <c r="BT30" s="990" t="str">
        <f t="shared" si="94"/>
        <v>Yes</v>
      </c>
      <c r="BU30" s="1303">
        <f t="shared" si="95"/>
        <v>6</v>
      </c>
      <c r="BV30" s="990" t="str">
        <f t="shared" si="96"/>
        <v>Yes</v>
      </c>
      <c r="BW30" s="991">
        <f t="shared" ca="1" si="29"/>
        <v>0</v>
      </c>
      <c r="BX30" s="991" t="str">
        <f t="shared" ca="1" si="36"/>
        <v/>
      </c>
      <c r="BY30" s="991" t="b">
        <f t="shared" ca="1" si="30"/>
        <v>0</v>
      </c>
      <c r="BZ30" s="1304" t="b">
        <f t="shared" si="37"/>
        <v>0</v>
      </c>
      <c r="CB30" s="672" t="s">
        <v>1399</v>
      </c>
      <c r="CC30" s="1685">
        <v>1</v>
      </c>
      <c r="CD30" s="699" t="s">
        <v>1702</v>
      </c>
      <c r="CE30" s="700">
        <v>52</v>
      </c>
      <c r="CF30" s="1329">
        <v>4.5</v>
      </c>
      <c r="CG30" s="672">
        <v>6</v>
      </c>
      <c r="CH30" s="713"/>
      <c r="CI30" s="714"/>
      <c r="CJ30" s="713"/>
      <c r="CK30" s="714"/>
      <c r="CL30" s="715"/>
      <c r="CM30" s="743"/>
      <c r="CN30" s="738"/>
      <c r="CO30" s="1552"/>
      <c r="CP30" s="910"/>
      <c r="CQ30" s="672">
        <v>17</v>
      </c>
      <c r="CR30" s="713"/>
      <c r="CS30" s="714"/>
      <c r="CT30" s="713"/>
      <c r="CU30" s="714"/>
      <c r="CV30" s="715"/>
      <c r="CW30" s="743"/>
      <c r="CX30" s="738"/>
      <c r="CY30" s="1552"/>
      <c r="CZ30" s="910"/>
      <c r="DA30" s="717"/>
      <c r="DB30" s="702" t="s">
        <v>1708</v>
      </c>
      <c r="DC30" s="703" t="s">
        <v>158</v>
      </c>
      <c r="DD30" s="1599"/>
      <c r="DE30" s="1600">
        <v>11.125</v>
      </c>
      <c r="DF30" s="141"/>
      <c r="DG30" s="141"/>
      <c r="DH30" s="672"/>
      <c r="DI30" s="673"/>
      <c r="DJ30" s="692"/>
      <c r="DK30" s="1332"/>
      <c r="DL30" s="674"/>
      <c r="DM30" s="693"/>
      <c r="DN30" s="1335"/>
      <c r="DO30" s="675"/>
      <c r="DP30" s="676"/>
      <c r="DQ30" s="1420"/>
      <c r="DR30" s="677"/>
      <c r="DS30" s="1612"/>
      <c r="DT30" s="1607"/>
      <c r="DU30" s="1608"/>
      <c r="DV30" s="678"/>
      <c r="DW30" s="1337"/>
      <c r="DX30" s="679"/>
      <c r="DY30" s="674"/>
      <c r="DZ30" s="678"/>
      <c r="EA30" s="1337"/>
      <c r="EB30" s="679"/>
      <c r="EC30" s="674"/>
      <c r="ED30" s="678"/>
      <c r="EE30" s="1337"/>
      <c r="EF30" s="679"/>
      <c r="EG30" s="674"/>
      <c r="EH30" s="678"/>
      <c r="EI30" s="1337"/>
      <c r="EJ30" s="679"/>
      <c r="EK30" s="680"/>
      <c r="EL30" s="141"/>
      <c r="EM30" s="1632" t="str">
        <f t="shared" si="97"/>
        <v>G3</v>
      </c>
      <c r="EN30" s="1633" t="str">
        <f t="shared" si="72"/>
        <v/>
      </c>
      <c r="EO30" s="648" t="str">
        <f t="shared" si="73"/>
        <v/>
      </c>
      <c r="EP30" s="649" t="str">
        <f t="shared" si="74"/>
        <v/>
      </c>
      <c r="EQ30" s="813" t="str">
        <f t="shared" si="75"/>
        <v/>
      </c>
      <c r="ER30" s="1591" t="str">
        <f t="shared" si="76"/>
        <v/>
      </c>
      <c r="ES30" s="1592" t="str">
        <f t="shared" si="77"/>
        <v/>
      </c>
      <c r="ET30" s="1589" t="str">
        <f t="shared" si="78"/>
        <v/>
      </c>
      <c r="EU30" s="1590" t="str">
        <f t="shared" si="79"/>
        <v/>
      </c>
      <c r="EV30" s="130"/>
      <c r="EW30" s="130"/>
      <c r="EX30" s="503" t="str">
        <f t="shared" ca="1" si="31"/>
        <v/>
      </c>
      <c r="EY30" s="940" t="str">
        <f t="shared" si="10"/>
        <v/>
      </c>
      <c r="EZ30" s="940" t="str">
        <f t="shared" si="32"/>
        <v/>
      </c>
      <c r="FA30" s="958" t="str">
        <f t="shared" ca="1" si="38"/>
        <v/>
      </c>
      <c r="FB30" s="134" t="str">
        <f t="shared" ca="1" si="33"/>
        <v/>
      </c>
      <c r="FC30" s="134">
        <f t="shared" ca="1" si="11"/>
        <v>0</v>
      </c>
      <c r="FD30" s="134">
        <f t="shared" ca="1" si="12"/>
        <v>0</v>
      </c>
      <c r="FE30" s="134">
        <f t="shared" ca="1" si="13"/>
        <v>0</v>
      </c>
      <c r="FF30" s="134">
        <f t="shared" ca="1" si="34"/>
        <v>0</v>
      </c>
      <c r="FN30" s="993" t="b">
        <v>0</v>
      </c>
      <c r="FO30" s="755" t="b">
        <f t="shared" si="98"/>
        <v>1</v>
      </c>
      <c r="FP30" s="754" t="b">
        <v>0</v>
      </c>
      <c r="FQ30" s="755" t="b">
        <f t="shared" si="35"/>
        <v>1</v>
      </c>
      <c r="FX30" s="197"/>
      <c r="FZ30" s="2"/>
      <c r="GA30" s="581">
        <f t="shared" si="80"/>
        <v>52</v>
      </c>
      <c r="GB30" s="623">
        <f t="shared" si="81"/>
        <v>4.5</v>
      </c>
      <c r="GC30" s="625">
        <f t="shared" si="82"/>
        <v>-0.25</v>
      </c>
      <c r="GD30" s="626">
        <f t="shared" si="83"/>
        <v>-5.5</v>
      </c>
      <c r="GE30" s="624">
        <f t="shared" si="84"/>
        <v>0</v>
      </c>
      <c r="GF30" s="582" t="str">
        <f t="shared" si="85"/>
        <v>G3</v>
      </c>
      <c r="GG30" s="692">
        <v>0</v>
      </c>
      <c r="GH30" s="1136">
        <v>0</v>
      </c>
      <c r="GI30" s="692"/>
      <c r="GJ30" s="1136"/>
      <c r="GK30" s="1641">
        <f t="shared" si="86"/>
        <v>622.75</v>
      </c>
      <c r="GL30" s="1641">
        <f t="shared" si="87"/>
        <v>622.75</v>
      </c>
      <c r="GM30" s="1642">
        <f>IF(ABS(GK30-GL30)&gt;='Job Info.'!$L$22,ABS(GK30-GL30),0)</f>
        <v>0</v>
      </c>
      <c r="GZ30" s="130"/>
      <c r="HA30" s="1242" t="s">
        <v>1399</v>
      </c>
      <c r="HB30" s="1243">
        <v>1</v>
      </c>
      <c r="HC30" s="1243" t="s">
        <v>1702</v>
      </c>
      <c r="HD30" s="1244">
        <v>52</v>
      </c>
      <c r="HE30" s="1245">
        <v>4.5</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9"/>
      <c r="HZ30" s="1249"/>
      <c r="IA30" s="1249" t="s">
        <v>1708</v>
      </c>
      <c r="IB30" s="1249" t="s">
        <v>158</v>
      </c>
      <c r="IC30" s="1249"/>
      <c r="ID30" s="1248">
        <v>11.125</v>
      </c>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39"/>
        <v>0</v>
      </c>
    </row>
    <row r="31" spans="1:274" s="145" customFormat="1" ht="12.6" customHeight="1" x14ac:dyDescent="0.25">
      <c r="A31" s="2683" t="str">
        <f t="shared" si="48"/>
        <v>G4</v>
      </c>
      <c r="B31" s="2684">
        <f t="shared" si="48"/>
        <v>2</v>
      </c>
      <c r="C31" s="2685" t="s">
        <v>1702</v>
      </c>
      <c r="D31" s="2686">
        <f t="shared" si="49"/>
        <v>51</v>
      </c>
      <c r="E31" s="2687">
        <f t="shared" si="50"/>
        <v>11.5</v>
      </c>
      <c r="F31" s="2688">
        <f t="shared" si="51"/>
        <v>11.125</v>
      </c>
      <c r="G31" s="2689">
        <f t="shared" si="52"/>
        <v>0</v>
      </c>
      <c r="H31" s="2690">
        <f t="shared" si="53"/>
        <v>1.75</v>
      </c>
      <c r="I31" s="2691" t="str">
        <f t="shared" si="54"/>
        <v>R</v>
      </c>
      <c r="J31" s="2686">
        <f t="shared" si="55"/>
        <v>0</v>
      </c>
      <c r="K31" s="2690">
        <f t="shared" si="56"/>
        <v>1.75</v>
      </c>
      <c r="L31" s="2692" t="str">
        <f t="shared" si="57"/>
        <v>R</v>
      </c>
      <c r="M31" s="2693">
        <f t="shared" si="58"/>
        <v>7.5</v>
      </c>
      <c r="N31" s="2694">
        <f t="shared" si="58"/>
        <v>7.5</v>
      </c>
      <c r="O31" s="2689">
        <f t="shared" si="59"/>
        <v>0</v>
      </c>
      <c r="P31" s="2690">
        <f t="shared" si="60"/>
        <v>6.75</v>
      </c>
      <c r="Q31" s="2686">
        <f t="shared" si="61"/>
        <v>0</v>
      </c>
      <c r="R31" s="2687">
        <f t="shared" si="62"/>
        <v>6.75</v>
      </c>
      <c r="S31" s="2695">
        <f t="shared" si="63"/>
        <v>0</v>
      </c>
      <c r="T31" s="2690">
        <f t="shared" si="64"/>
        <v>6.25</v>
      </c>
      <c r="U31" s="2686">
        <f t="shared" si="65"/>
        <v>0</v>
      </c>
      <c r="V31" s="2690">
        <f t="shared" si="66"/>
        <v>6.25</v>
      </c>
      <c r="W31" s="2694">
        <f t="shared" si="67"/>
        <v>5</v>
      </c>
      <c r="X31" s="2696" t="str">
        <f t="shared" si="68"/>
        <v/>
      </c>
      <c r="Y31" s="2697" t="str">
        <f t="shared" si="69"/>
        <v/>
      </c>
      <c r="Z31" s="2698" t="s">
        <v>1867</v>
      </c>
      <c r="AA31" s="2699" t="str">
        <f t="shared" si="70"/>
        <v/>
      </c>
      <c r="AB31" s="2683" t="str">
        <f t="shared" si="14"/>
        <v/>
      </c>
      <c r="AC31" s="2691" t="str">
        <f t="shared" si="3"/>
        <v/>
      </c>
      <c r="AD31" s="2686" t="str">
        <f t="shared" ca="1" si="40"/>
        <v/>
      </c>
      <c r="AE31" s="2690" t="str">
        <f t="shared" ca="1" si="41"/>
        <v/>
      </c>
      <c r="AF31" s="2691" t="str">
        <f t="shared" ca="1" si="42"/>
        <v/>
      </c>
      <c r="AG31" s="2686" t="str">
        <f t="shared" ca="1" si="43"/>
        <v/>
      </c>
      <c r="AH31" s="2690" t="str">
        <f t="shared" ca="1" si="44"/>
        <v/>
      </c>
      <c r="AI31" s="2686" t="str">
        <f t="shared" ca="1" si="45"/>
        <v/>
      </c>
      <c r="AJ31" s="2690" t="str">
        <f t="shared" ca="1" si="46"/>
        <v/>
      </c>
      <c r="AK31" s="2732" t="str">
        <f t="shared" si="15"/>
        <v/>
      </c>
      <c r="AL31" s="2733" t="str">
        <f t="shared" si="4"/>
        <v/>
      </c>
      <c r="AM31" s="2734" t="str">
        <f t="shared" ref="AM31:AO45" si="100">IF(ISBLANK(DQ31),"",DQ31)</f>
        <v/>
      </c>
      <c r="AN31" s="2691" t="str">
        <f t="shared" si="100"/>
        <v/>
      </c>
      <c r="AO31" s="2735" t="str">
        <f t="shared" si="100"/>
        <v/>
      </c>
      <c r="AP31" s="2693" t="str">
        <f t="shared" si="5"/>
        <v/>
      </c>
      <c r="AQ31" s="2736" t="str">
        <f t="shared" si="5"/>
        <v/>
      </c>
      <c r="AR31" s="2689" t="str">
        <f t="shared" si="17"/>
        <v/>
      </c>
      <c r="AS31" s="2690" t="str">
        <f t="shared" si="18"/>
        <v/>
      </c>
      <c r="AT31" s="2737" t="str">
        <f t="shared" si="19"/>
        <v/>
      </c>
      <c r="AU31" s="2738" t="str">
        <f t="shared" si="6"/>
        <v/>
      </c>
      <c r="AV31" s="2695" t="str">
        <f t="shared" si="20"/>
        <v/>
      </c>
      <c r="AW31" s="2690" t="str">
        <f t="shared" si="21"/>
        <v/>
      </c>
      <c r="AX31" s="2737" t="str">
        <f t="shared" si="22"/>
        <v/>
      </c>
      <c r="AY31" s="2738" t="str">
        <f t="shared" si="7"/>
        <v/>
      </c>
      <c r="AZ31" s="2695" t="str">
        <f t="shared" si="23"/>
        <v/>
      </c>
      <c r="BA31" s="2690" t="str">
        <f t="shared" si="24"/>
        <v/>
      </c>
      <c r="BB31" s="2737" t="str">
        <f t="shared" si="25"/>
        <v/>
      </c>
      <c r="BC31" s="2738" t="str">
        <f t="shared" si="8"/>
        <v/>
      </c>
      <c r="BD31" s="2695" t="str">
        <f t="shared" si="26"/>
        <v/>
      </c>
      <c r="BE31" s="2690" t="str">
        <f t="shared" si="27"/>
        <v/>
      </c>
      <c r="BF31" s="2737" t="str">
        <f t="shared" si="28"/>
        <v/>
      </c>
      <c r="BG31" s="2738" t="str">
        <f t="shared" si="9"/>
        <v/>
      </c>
      <c r="BH31" s="262"/>
      <c r="BJ31" s="1302" t="str">
        <f t="shared" si="99"/>
        <v>G4</v>
      </c>
      <c r="BK31" s="993" t="b">
        <f t="shared" ref="BK31:BK45" si="101">IF($BK$1,IF(BJ31=BJ30,BK30,IF(AND(BJ31&lt;&gt;"",OR(B31=0,B31="")),TRUE,FALSE)),FALSE)</f>
        <v>0</v>
      </c>
      <c r="BL31" s="1784" t="b">
        <v>0</v>
      </c>
      <c r="BM31" s="989">
        <f t="shared" si="88"/>
        <v>52</v>
      </c>
      <c r="BN31" s="989" t="str">
        <f t="shared" si="89"/>
        <v>G</v>
      </c>
      <c r="BO31" s="989">
        <f t="shared" si="90"/>
        <v>7</v>
      </c>
      <c r="BP31" s="989" t="str">
        <f t="shared" si="71"/>
        <v>12/5.5</v>
      </c>
      <c r="BQ31" s="989">
        <f t="shared" si="91"/>
        <v>2.4</v>
      </c>
      <c r="BR31" s="989" t="b">
        <f t="shared" si="92"/>
        <v>1</v>
      </c>
      <c r="BS31" s="1303">
        <f t="shared" si="93"/>
        <v>7.75</v>
      </c>
      <c r="BT31" s="990" t="str">
        <f t="shared" si="94"/>
        <v>Yes</v>
      </c>
      <c r="BU31" s="1303">
        <f t="shared" si="95"/>
        <v>7.75</v>
      </c>
      <c r="BV31" s="990" t="str">
        <f t="shared" si="96"/>
        <v>Yes</v>
      </c>
      <c r="BW31" s="991">
        <f t="shared" ca="1" si="29"/>
        <v>0</v>
      </c>
      <c r="BX31" s="991" t="str">
        <f t="shared" ca="1" si="36"/>
        <v/>
      </c>
      <c r="BY31" s="991" t="b">
        <f t="shared" ca="1" si="30"/>
        <v>0</v>
      </c>
      <c r="BZ31" s="1304" t="b">
        <f t="shared" si="37"/>
        <v>0</v>
      </c>
      <c r="CB31" s="672" t="s">
        <v>1400</v>
      </c>
      <c r="CC31" s="1685">
        <v>2</v>
      </c>
      <c r="CD31" s="699" t="s">
        <v>1702</v>
      </c>
      <c r="CE31" s="700">
        <v>52</v>
      </c>
      <c r="CF31" s="1329">
        <v>0</v>
      </c>
      <c r="CG31" s="672">
        <v>6</v>
      </c>
      <c r="CH31" s="713"/>
      <c r="CI31" s="714"/>
      <c r="CJ31" s="713"/>
      <c r="CK31" s="714"/>
      <c r="CL31" s="715"/>
      <c r="CM31" s="743"/>
      <c r="CN31" s="738"/>
      <c r="CO31" s="1552"/>
      <c r="CP31" s="910"/>
      <c r="CQ31" s="672">
        <v>6</v>
      </c>
      <c r="CR31" s="713"/>
      <c r="CS31" s="714"/>
      <c r="CT31" s="713"/>
      <c r="CU31" s="714"/>
      <c r="CV31" s="715"/>
      <c r="CW31" s="743"/>
      <c r="CX31" s="738"/>
      <c r="CY31" s="1552"/>
      <c r="CZ31" s="910"/>
      <c r="DA31" s="717"/>
      <c r="DB31" s="702" t="s">
        <v>1709</v>
      </c>
      <c r="DC31" s="703"/>
      <c r="DD31" s="1599"/>
      <c r="DE31" s="1600">
        <v>11.125</v>
      </c>
      <c r="DF31" s="141"/>
      <c r="DG31" s="141"/>
      <c r="DH31" s="672"/>
      <c r="DI31" s="673"/>
      <c r="DJ31" s="692"/>
      <c r="DK31" s="1332"/>
      <c r="DL31" s="674"/>
      <c r="DM31" s="693"/>
      <c r="DN31" s="1335"/>
      <c r="DO31" s="675"/>
      <c r="DP31" s="676"/>
      <c r="DQ31" s="1420"/>
      <c r="DR31" s="677"/>
      <c r="DS31" s="1612"/>
      <c r="DT31" s="1607"/>
      <c r="DU31" s="1608"/>
      <c r="DV31" s="678"/>
      <c r="DW31" s="1337"/>
      <c r="DX31" s="679"/>
      <c r="DY31" s="674"/>
      <c r="DZ31" s="678"/>
      <c r="EA31" s="1337"/>
      <c r="EB31" s="679"/>
      <c r="EC31" s="674"/>
      <c r="ED31" s="678"/>
      <c r="EE31" s="1337"/>
      <c r="EF31" s="679"/>
      <c r="EG31" s="674"/>
      <c r="EH31" s="678"/>
      <c r="EI31" s="1337"/>
      <c r="EJ31" s="679"/>
      <c r="EK31" s="680"/>
      <c r="EL31" s="141"/>
      <c r="EM31" s="1632" t="str">
        <f t="shared" si="97"/>
        <v>G4</v>
      </c>
      <c r="EN31" s="1633" t="str">
        <f t="shared" si="72"/>
        <v/>
      </c>
      <c r="EO31" s="648" t="str">
        <f t="shared" si="73"/>
        <v/>
      </c>
      <c r="EP31" s="649" t="str">
        <f t="shared" si="74"/>
        <v/>
      </c>
      <c r="EQ31" s="813" t="str">
        <f t="shared" si="75"/>
        <v/>
      </c>
      <c r="ER31" s="1591" t="str">
        <f t="shared" si="76"/>
        <v/>
      </c>
      <c r="ES31" s="1592" t="str">
        <f t="shared" si="77"/>
        <v/>
      </c>
      <c r="ET31" s="1589" t="str">
        <f t="shared" si="78"/>
        <v/>
      </c>
      <c r="EU31" s="1590" t="str">
        <f t="shared" si="79"/>
        <v/>
      </c>
      <c r="EV31" s="130"/>
      <c r="EW31" s="130"/>
      <c r="EX31" s="503" t="str">
        <f t="shared" ca="1" si="31"/>
        <v/>
      </c>
      <c r="EY31" s="940" t="str">
        <f t="shared" si="10"/>
        <v/>
      </c>
      <c r="EZ31" s="940" t="str">
        <f t="shared" si="32"/>
        <v/>
      </c>
      <c r="FA31" s="958" t="str">
        <f t="shared" ca="1" si="38"/>
        <v/>
      </c>
      <c r="FB31" s="134" t="str">
        <f t="shared" ca="1" si="33"/>
        <v/>
      </c>
      <c r="FC31" s="134">
        <f t="shared" ca="1" si="11"/>
        <v>0</v>
      </c>
      <c r="FD31" s="134">
        <f t="shared" ca="1" si="12"/>
        <v>0</v>
      </c>
      <c r="FE31" s="134">
        <f t="shared" ca="1" si="13"/>
        <v>0</v>
      </c>
      <c r="FF31" s="134">
        <f t="shared" ca="1" si="34"/>
        <v>0</v>
      </c>
      <c r="FN31" s="993" t="b">
        <v>0</v>
      </c>
      <c r="FO31" s="755" t="b">
        <f t="shared" si="98"/>
        <v>1</v>
      </c>
      <c r="FP31" s="754" t="b">
        <v>0</v>
      </c>
      <c r="FQ31" s="755" t="b">
        <f t="shared" si="35"/>
        <v>1</v>
      </c>
      <c r="FX31" s="197"/>
      <c r="FZ31" s="2"/>
      <c r="GA31" s="581">
        <f t="shared" si="80"/>
        <v>52</v>
      </c>
      <c r="GB31" s="623">
        <f t="shared" si="81"/>
        <v>0</v>
      </c>
      <c r="GC31" s="625">
        <f t="shared" si="82"/>
        <v>-0.25</v>
      </c>
      <c r="GD31" s="626">
        <f t="shared" si="83"/>
        <v>-0.25</v>
      </c>
      <c r="GE31" s="624">
        <f t="shared" si="84"/>
        <v>0</v>
      </c>
      <c r="GF31" s="582" t="str">
        <f t="shared" si="85"/>
        <v>G4</v>
      </c>
      <c r="GG31" s="692">
        <v>0</v>
      </c>
      <c r="GH31" s="1136">
        <v>0</v>
      </c>
      <c r="GI31" s="692"/>
      <c r="GJ31" s="1136"/>
      <c r="GK31" s="1641">
        <f t="shared" si="86"/>
        <v>623.5</v>
      </c>
      <c r="GL31" s="1641">
        <f t="shared" si="87"/>
        <v>623.5</v>
      </c>
      <c r="GM31" s="1642">
        <f>IF(ABS(GK31-GL31)&gt;='Job Info.'!$L$22,ABS(GK31-GL31),0)</f>
        <v>0</v>
      </c>
      <c r="GZ31" s="130"/>
      <c r="HA31" s="1242" t="s">
        <v>1400</v>
      </c>
      <c r="HB31" s="1243">
        <v>2</v>
      </c>
      <c r="HC31" s="1243" t="s">
        <v>1702</v>
      </c>
      <c r="HD31" s="1244">
        <v>52</v>
      </c>
      <c r="HE31" s="1245">
        <v>0</v>
      </c>
      <c r="HF31" s="1243">
        <v>6</v>
      </c>
      <c r="HG31" s="1243"/>
      <c r="HH31" s="1243"/>
      <c r="HI31" s="1243"/>
      <c r="HJ31" s="1243"/>
      <c r="HK31" s="1243"/>
      <c r="HL31" s="1243"/>
      <c r="HM31" s="1243"/>
      <c r="HN31" s="1243"/>
      <c r="HO31" s="1243"/>
      <c r="HP31" s="1243">
        <v>6</v>
      </c>
      <c r="HQ31" s="1243"/>
      <c r="HR31" s="1243"/>
      <c r="HS31" s="1243"/>
      <c r="HT31" s="1243"/>
      <c r="HU31" s="1243"/>
      <c r="HV31" s="1243"/>
      <c r="HW31" s="1243"/>
      <c r="HX31" s="1243"/>
      <c r="HY31" s="1249"/>
      <c r="HZ31" s="1249"/>
      <c r="IA31" s="1249" t="s">
        <v>1709</v>
      </c>
      <c r="IB31" s="1249"/>
      <c r="IC31" s="1249"/>
      <c r="ID31" s="1248">
        <v>11.125</v>
      </c>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39"/>
        <v>0</v>
      </c>
    </row>
    <row r="32" spans="1:274" ht="12.6" customHeight="1" x14ac:dyDescent="0.25">
      <c r="A32" s="2683" t="str">
        <f t="shared" si="48"/>
        <v>G5</v>
      </c>
      <c r="B32" s="2684">
        <f t="shared" si="48"/>
        <v>2</v>
      </c>
      <c r="C32" s="2685" t="s">
        <v>1702</v>
      </c>
      <c r="D32" s="2686">
        <f t="shared" si="49"/>
        <v>51</v>
      </c>
      <c r="E32" s="2687">
        <f t="shared" si="50"/>
        <v>11.5</v>
      </c>
      <c r="F32" s="2688">
        <f t="shared" si="51"/>
        <v>11.125</v>
      </c>
      <c r="G32" s="2689">
        <f t="shared" si="52"/>
        <v>0</v>
      </c>
      <c r="H32" s="2690">
        <f t="shared" si="53"/>
        <v>1.75</v>
      </c>
      <c r="I32" s="2691" t="str">
        <f t="shared" si="54"/>
        <v>R</v>
      </c>
      <c r="J32" s="2686">
        <f t="shared" si="55"/>
        <v>0</v>
      </c>
      <c r="K32" s="2690">
        <f t="shared" si="56"/>
        <v>1.75</v>
      </c>
      <c r="L32" s="2692" t="str">
        <f t="shared" si="57"/>
        <v>R</v>
      </c>
      <c r="M32" s="2693">
        <f t="shared" si="58"/>
        <v>7.5</v>
      </c>
      <c r="N32" s="2694">
        <f t="shared" si="58"/>
        <v>7.5</v>
      </c>
      <c r="O32" s="2689">
        <f t="shared" si="59"/>
        <v>0</v>
      </c>
      <c r="P32" s="2690">
        <f t="shared" si="60"/>
        <v>6.75</v>
      </c>
      <c r="Q32" s="2686">
        <f t="shared" si="61"/>
        <v>0</v>
      </c>
      <c r="R32" s="2687">
        <f t="shared" si="62"/>
        <v>6.75</v>
      </c>
      <c r="S32" s="2695">
        <f t="shared" si="63"/>
        <v>0</v>
      </c>
      <c r="T32" s="2690">
        <f t="shared" si="64"/>
        <v>6.25</v>
      </c>
      <c r="U32" s="2686">
        <f t="shared" si="65"/>
        <v>0</v>
      </c>
      <c r="V32" s="2690">
        <f t="shared" si="66"/>
        <v>6.25</v>
      </c>
      <c r="W32" s="2694">
        <f t="shared" si="67"/>
        <v>5</v>
      </c>
      <c r="X32" s="2696" t="str">
        <f t="shared" si="68"/>
        <v/>
      </c>
      <c r="Y32" s="2697" t="str">
        <f t="shared" si="69"/>
        <v/>
      </c>
      <c r="Z32" s="2698" t="s">
        <v>1868</v>
      </c>
      <c r="AA32" s="2699" t="str">
        <f t="shared" si="70"/>
        <v/>
      </c>
      <c r="AB32" s="2683" t="str">
        <f t="shared" si="14"/>
        <v/>
      </c>
      <c r="AC32" s="2691" t="str">
        <f t="shared" si="3"/>
        <v/>
      </c>
      <c r="AD32" s="2686" t="str">
        <f t="shared" ca="1" si="40"/>
        <v/>
      </c>
      <c r="AE32" s="2690" t="str">
        <f t="shared" ca="1" si="41"/>
        <v/>
      </c>
      <c r="AF32" s="2691" t="str">
        <f t="shared" ca="1" si="42"/>
        <v/>
      </c>
      <c r="AG32" s="2686" t="str">
        <f t="shared" ca="1" si="43"/>
        <v/>
      </c>
      <c r="AH32" s="2690" t="str">
        <f t="shared" ca="1" si="44"/>
        <v/>
      </c>
      <c r="AI32" s="2686" t="str">
        <f t="shared" ca="1" si="45"/>
        <v/>
      </c>
      <c r="AJ32" s="2690" t="str">
        <f t="shared" ca="1" si="46"/>
        <v/>
      </c>
      <c r="AK32" s="2732" t="str">
        <f t="shared" si="15"/>
        <v/>
      </c>
      <c r="AL32" s="2733" t="str">
        <f t="shared" si="4"/>
        <v/>
      </c>
      <c r="AM32" s="2734" t="str">
        <f t="shared" si="100"/>
        <v/>
      </c>
      <c r="AN32" s="2691" t="str">
        <f t="shared" si="100"/>
        <v/>
      </c>
      <c r="AO32" s="2735" t="str">
        <f t="shared" si="100"/>
        <v/>
      </c>
      <c r="AP32" s="2693" t="str">
        <f t="shared" si="5"/>
        <v/>
      </c>
      <c r="AQ32" s="2736" t="str">
        <f t="shared" si="5"/>
        <v/>
      </c>
      <c r="AR32" s="2689" t="str">
        <f t="shared" si="17"/>
        <v/>
      </c>
      <c r="AS32" s="2690" t="str">
        <f t="shared" si="18"/>
        <v/>
      </c>
      <c r="AT32" s="2737" t="str">
        <f t="shared" si="19"/>
        <v/>
      </c>
      <c r="AU32" s="2738" t="str">
        <f t="shared" si="6"/>
        <v/>
      </c>
      <c r="AV32" s="2695" t="str">
        <f t="shared" si="20"/>
        <v/>
      </c>
      <c r="AW32" s="2690" t="str">
        <f t="shared" si="21"/>
        <v/>
      </c>
      <c r="AX32" s="2737" t="str">
        <f t="shared" si="22"/>
        <v/>
      </c>
      <c r="AY32" s="2738" t="str">
        <f t="shared" si="7"/>
        <v/>
      </c>
      <c r="AZ32" s="2695" t="str">
        <f t="shared" si="23"/>
        <v/>
      </c>
      <c r="BA32" s="2690" t="str">
        <f t="shared" si="24"/>
        <v/>
      </c>
      <c r="BB32" s="2737" t="str">
        <f t="shared" si="25"/>
        <v/>
      </c>
      <c r="BC32" s="2738" t="str">
        <f t="shared" si="8"/>
        <v/>
      </c>
      <c r="BD32" s="2695" t="str">
        <f t="shared" si="26"/>
        <v/>
      </c>
      <c r="BE32" s="2690" t="str">
        <f t="shared" si="27"/>
        <v/>
      </c>
      <c r="BF32" s="2737" t="str">
        <f t="shared" si="28"/>
        <v/>
      </c>
      <c r="BG32" s="2738" t="str">
        <f t="shared" si="9"/>
        <v/>
      </c>
      <c r="BH32" s="261"/>
      <c r="BJ32" s="1302" t="str">
        <f t="shared" si="99"/>
        <v>G5</v>
      </c>
      <c r="BK32" s="993" t="b">
        <f t="shared" si="101"/>
        <v>0</v>
      </c>
      <c r="BL32" s="1784" t="b">
        <v>0</v>
      </c>
      <c r="BM32" s="989">
        <f t="shared" si="88"/>
        <v>52</v>
      </c>
      <c r="BN32" s="989" t="str">
        <f t="shared" si="89"/>
        <v>G</v>
      </c>
      <c r="BO32" s="989">
        <f t="shared" si="90"/>
        <v>7</v>
      </c>
      <c r="BP32" s="989" t="str">
        <f t="shared" si="71"/>
        <v>12/5.5</v>
      </c>
      <c r="BQ32" s="989">
        <f t="shared" si="91"/>
        <v>2.4</v>
      </c>
      <c r="BR32" s="989" t="b">
        <f t="shared" si="92"/>
        <v>1</v>
      </c>
      <c r="BS32" s="1303">
        <f t="shared" si="93"/>
        <v>7.75</v>
      </c>
      <c r="BT32" s="990" t="str">
        <f t="shared" si="94"/>
        <v>Yes</v>
      </c>
      <c r="BU32" s="1303">
        <f t="shared" si="95"/>
        <v>7.75</v>
      </c>
      <c r="BV32" s="990" t="str">
        <f t="shared" si="96"/>
        <v>Yes</v>
      </c>
      <c r="BW32" s="991">
        <f t="shared" ca="1" si="29"/>
        <v>0</v>
      </c>
      <c r="BX32" s="991" t="str">
        <f t="shared" ca="1" si="36"/>
        <v/>
      </c>
      <c r="BY32" s="991" t="b">
        <f t="shared" ca="1" si="30"/>
        <v>0</v>
      </c>
      <c r="BZ32" s="1304" t="b">
        <f t="shared" si="37"/>
        <v>0</v>
      </c>
      <c r="CB32" s="672" t="s">
        <v>1401</v>
      </c>
      <c r="CC32" s="1685">
        <v>2</v>
      </c>
      <c r="CD32" s="699" t="s">
        <v>1702</v>
      </c>
      <c r="CE32" s="700">
        <v>52</v>
      </c>
      <c r="CF32" s="1329">
        <v>0</v>
      </c>
      <c r="CG32" s="672">
        <v>6</v>
      </c>
      <c r="CH32" s="713"/>
      <c r="CI32" s="714"/>
      <c r="CJ32" s="713"/>
      <c r="CK32" s="714"/>
      <c r="CL32" s="715"/>
      <c r="CM32" s="743"/>
      <c r="CN32" s="738"/>
      <c r="CO32" s="1552"/>
      <c r="CP32" s="910"/>
      <c r="CQ32" s="672">
        <v>6</v>
      </c>
      <c r="CR32" s="713"/>
      <c r="CS32" s="714"/>
      <c r="CT32" s="713"/>
      <c r="CU32" s="714"/>
      <c r="CV32" s="715"/>
      <c r="CW32" s="743"/>
      <c r="CX32" s="738"/>
      <c r="CY32" s="1552"/>
      <c r="CZ32" s="910"/>
      <c r="DA32" s="717"/>
      <c r="DB32" s="702" t="s">
        <v>1710</v>
      </c>
      <c r="DC32" s="703"/>
      <c r="DD32" s="1599"/>
      <c r="DE32" s="1600">
        <v>11.125</v>
      </c>
      <c r="DF32" s="141"/>
      <c r="DG32" s="141"/>
      <c r="DH32" s="672"/>
      <c r="DI32" s="673"/>
      <c r="DJ32" s="692"/>
      <c r="DK32" s="1332"/>
      <c r="DL32" s="674"/>
      <c r="DM32" s="693"/>
      <c r="DN32" s="1335"/>
      <c r="DO32" s="675"/>
      <c r="DP32" s="676"/>
      <c r="DQ32" s="1420"/>
      <c r="DR32" s="677"/>
      <c r="DS32" s="1612"/>
      <c r="DT32" s="1607"/>
      <c r="DU32" s="1608"/>
      <c r="DV32" s="678"/>
      <c r="DW32" s="1337"/>
      <c r="DX32" s="679"/>
      <c r="DY32" s="674"/>
      <c r="DZ32" s="678"/>
      <c r="EA32" s="1337"/>
      <c r="EB32" s="679"/>
      <c r="EC32" s="674"/>
      <c r="ED32" s="678"/>
      <c r="EE32" s="1337"/>
      <c r="EF32" s="679"/>
      <c r="EG32" s="674"/>
      <c r="EH32" s="678"/>
      <c r="EI32" s="1337"/>
      <c r="EJ32" s="679"/>
      <c r="EK32" s="680"/>
      <c r="EL32" s="141"/>
      <c r="EM32" s="1632" t="str">
        <f t="shared" si="97"/>
        <v>G5</v>
      </c>
      <c r="EN32" s="1633" t="str">
        <f t="shared" si="72"/>
        <v/>
      </c>
      <c r="EO32" s="648" t="str">
        <f t="shared" si="73"/>
        <v/>
      </c>
      <c r="EP32" s="649" t="str">
        <f t="shared" si="74"/>
        <v/>
      </c>
      <c r="EQ32" s="813" t="str">
        <f t="shared" si="75"/>
        <v/>
      </c>
      <c r="ER32" s="1587" t="str">
        <f t="shared" si="76"/>
        <v/>
      </c>
      <c r="ES32" s="1588" t="str">
        <f t="shared" si="77"/>
        <v/>
      </c>
      <c r="ET32" s="1589" t="str">
        <f t="shared" si="78"/>
        <v/>
      </c>
      <c r="EU32" s="1590" t="str">
        <f t="shared" si="79"/>
        <v/>
      </c>
      <c r="EX32" s="503" t="str">
        <f t="shared" ca="1" si="31"/>
        <v/>
      </c>
      <c r="EY32" s="940" t="str">
        <f t="shared" si="10"/>
        <v/>
      </c>
      <c r="EZ32" s="940" t="str">
        <f t="shared" si="32"/>
        <v/>
      </c>
      <c r="FA32" s="958" t="str">
        <f t="shared" ca="1" si="38"/>
        <v/>
      </c>
      <c r="FB32" s="134" t="str">
        <f t="shared" ca="1" si="33"/>
        <v/>
      </c>
      <c r="FC32" s="134">
        <f t="shared" ca="1" si="11"/>
        <v>0</v>
      </c>
      <c r="FD32" s="134">
        <f t="shared" ca="1" si="12"/>
        <v>0</v>
      </c>
      <c r="FE32" s="134">
        <f t="shared" ca="1" si="13"/>
        <v>0</v>
      </c>
      <c r="FF32" s="134">
        <f t="shared" ca="1" si="34"/>
        <v>0</v>
      </c>
      <c r="FN32" s="993" t="b">
        <v>0</v>
      </c>
      <c r="FO32" s="754" t="b">
        <f t="shared" si="98"/>
        <v>1</v>
      </c>
      <c r="FP32" s="754" t="b">
        <v>0</v>
      </c>
      <c r="FQ32" s="754" t="b">
        <f t="shared" si="35"/>
        <v>1</v>
      </c>
      <c r="FX32" s="197"/>
      <c r="FZ32" s="2"/>
      <c r="GA32" s="581">
        <f t="shared" si="80"/>
        <v>52</v>
      </c>
      <c r="GB32" s="623">
        <f t="shared" si="81"/>
        <v>0</v>
      </c>
      <c r="GC32" s="625">
        <f t="shared" si="82"/>
        <v>-0.25</v>
      </c>
      <c r="GD32" s="626">
        <f t="shared" si="83"/>
        <v>-0.25</v>
      </c>
      <c r="GE32" s="624">
        <f t="shared" si="84"/>
        <v>0</v>
      </c>
      <c r="GF32" s="582" t="str">
        <f t="shared" si="85"/>
        <v>G5</v>
      </c>
      <c r="GG32" s="692">
        <v>0</v>
      </c>
      <c r="GH32" s="1136">
        <v>0</v>
      </c>
      <c r="GI32" s="692"/>
      <c r="GJ32" s="1136"/>
      <c r="GK32" s="1641">
        <f t="shared" si="86"/>
        <v>623.5</v>
      </c>
      <c r="GL32" s="1641">
        <f t="shared" si="87"/>
        <v>623.5</v>
      </c>
      <c r="GM32" s="1642">
        <f>IF(ABS(GK32-GL32)&gt;='Job Info.'!$L$22,ABS(GK32-GL32),0)</f>
        <v>0</v>
      </c>
      <c r="HA32" s="1242" t="s">
        <v>1401</v>
      </c>
      <c r="HB32" s="1243">
        <v>2</v>
      </c>
      <c r="HC32" s="1243" t="s">
        <v>1702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1710</v>
      </c>
      <c r="IB32" s="1247"/>
      <c r="IC32" s="1247"/>
      <c r="ID32" s="1248">
        <v>11.125</v>
      </c>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39"/>
        <v>0</v>
      </c>
    </row>
    <row r="33" spans="1:272" ht="12.6" customHeight="1" x14ac:dyDescent="0.25">
      <c r="A33" s="2683" t="str">
        <f t="shared" si="48"/>
        <v>G6</v>
      </c>
      <c r="B33" s="2684">
        <f t="shared" si="48"/>
        <v>2</v>
      </c>
      <c r="C33" s="2685" t="s">
        <v>1702</v>
      </c>
      <c r="D33" s="2686">
        <f t="shared" si="49"/>
        <v>51</v>
      </c>
      <c r="E33" s="2687">
        <f t="shared" si="50"/>
        <v>11.5</v>
      </c>
      <c r="F33" s="2688">
        <f t="shared" si="51"/>
        <v>11.125</v>
      </c>
      <c r="G33" s="2689">
        <f t="shared" si="52"/>
        <v>0</v>
      </c>
      <c r="H33" s="2690">
        <f t="shared" si="53"/>
        <v>1.75</v>
      </c>
      <c r="I33" s="2691" t="str">
        <f t="shared" si="54"/>
        <v>R</v>
      </c>
      <c r="J33" s="2686">
        <f t="shared" si="55"/>
        <v>0</v>
      </c>
      <c r="K33" s="2690">
        <f t="shared" si="56"/>
        <v>1.75</v>
      </c>
      <c r="L33" s="2692" t="str">
        <f t="shared" si="57"/>
        <v>R</v>
      </c>
      <c r="M33" s="2693">
        <f t="shared" si="58"/>
        <v>7.5</v>
      </c>
      <c r="N33" s="2694">
        <f t="shared" si="58"/>
        <v>7.5</v>
      </c>
      <c r="O33" s="2689">
        <f t="shared" si="59"/>
        <v>0</v>
      </c>
      <c r="P33" s="2690">
        <f t="shared" si="60"/>
        <v>6.75</v>
      </c>
      <c r="Q33" s="2686">
        <f t="shared" si="61"/>
        <v>0</v>
      </c>
      <c r="R33" s="2687">
        <f t="shared" si="62"/>
        <v>6.75</v>
      </c>
      <c r="S33" s="2695">
        <f t="shared" si="63"/>
        <v>0</v>
      </c>
      <c r="T33" s="2690">
        <f t="shared" si="64"/>
        <v>6.25</v>
      </c>
      <c r="U33" s="2686">
        <f t="shared" si="65"/>
        <v>0</v>
      </c>
      <c r="V33" s="2690">
        <f t="shared" si="66"/>
        <v>6.25</v>
      </c>
      <c r="W33" s="2694">
        <f t="shared" si="67"/>
        <v>5</v>
      </c>
      <c r="X33" s="2696" t="str">
        <f t="shared" si="68"/>
        <v/>
      </c>
      <c r="Y33" s="2697" t="str">
        <f t="shared" si="69"/>
        <v/>
      </c>
      <c r="Z33" s="2698" t="s">
        <v>1869</v>
      </c>
      <c r="AA33" s="2699" t="str">
        <f t="shared" si="70"/>
        <v/>
      </c>
      <c r="AB33" s="2683" t="str">
        <f t="shared" si="14"/>
        <v/>
      </c>
      <c r="AC33" s="2691" t="str">
        <f t="shared" si="3"/>
        <v/>
      </c>
      <c r="AD33" s="2686" t="str">
        <f t="shared" ca="1" si="40"/>
        <v/>
      </c>
      <c r="AE33" s="2690" t="str">
        <f t="shared" ca="1" si="41"/>
        <v/>
      </c>
      <c r="AF33" s="2691" t="str">
        <f t="shared" ca="1" si="42"/>
        <v/>
      </c>
      <c r="AG33" s="2686" t="str">
        <f t="shared" ca="1" si="43"/>
        <v/>
      </c>
      <c r="AH33" s="2690" t="str">
        <f t="shared" ca="1" si="44"/>
        <v/>
      </c>
      <c r="AI33" s="2686" t="str">
        <f t="shared" ca="1" si="45"/>
        <v/>
      </c>
      <c r="AJ33" s="2690" t="str">
        <f t="shared" ca="1" si="46"/>
        <v/>
      </c>
      <c r="AK33" s="2732" t="str">
        <f t="shared" si="15"/>
        <v/>
      </c>
      <c r="AL33" s="2733" t="str">
        <f t="shared" si="4"/>
        <v/>
      </c>
      <c r="AM33" s="2734" t="str">
        <f t="shared" si="100"/>
        <v/>
      </c>
      <c r="AN33" s="2691" t="str">
        <f t="shared" si="100"/>
        <v/>
      </c>
      <c r="AO33" s="2735" t="str">
        <f t="shared" si="100"/>
        <v/>
      </c>
      <c r="AP33" s="2693" t="str">
        <f t="shared" si="5"/>
        <v/>
      </c>
      <c r="AQ33" s="2736" t="str">
        <f t="shared" si="5"/>
        <v/>
      </c>
      <c r="AR33" s="2689" t="str">
        <f t="shared" si="17"/>
        <v/>
      </c>
      <c r="AS33" s="2690" t="str">
        <f t="shared" si="18"/>
        <v/>
      </c>
      <c r="AT33" s="2737" t="str">
        <f t="shared" si="19"/>
        <v/>
      </c>
      <c r="AU33" s="2738" t="str">
        <f t="shared" si="6"/>
        <v/>
      </c>
      <c r="AV33" s="2695" t="str">
        <f t="shared" si="20"/>
        <v/>
      </c>
      <c r="AW33" s="2690" t="str">
        <f t="shared" si="21"/>
        <v/>
      </c>
      <c r="AX33" s="2737" t="str">
        <f t="shared" si="22"/>
        <v/>
      </c>
      <c r="AY33" s="2738" t="str">
        <f t="shared" si="7"/>
        <v/>
      </c>
      <c r="AZ33" s="2695" t="str">
        <f t="shared" si="23"/>
        <v/>
      </c>
      <c r="BA33" s="2690" t="str">
        <f t="shared" si="24"/>
        <v/>
      </c>
      <c r="BB33" s="2737" t="str">
        <f t="shared" si="25"/>
        <v/>
      </c>
      <c r="BC33" s="2738" t="str">
        <f t="shared" si="8"/>
        <v/>
      </c>
      <c r="BD33" s="2695" t="str">
        <f t="shared" si="26"/>
        <v/>
      </c>
      <c r="BE33" s="2690" t="str">
        <f t="shared" si="27"/>
        <v/>
      </c>
      <c r="BF33" s="2737" t="str">
        <f t="shared" si="28"/>
        <v/>
      </c>
      <c r="BG33" s="2738" t="str">
        <f t="shared" si="9"/>
        <v/>
      </c>
      <c r="BH33" s="261"/>
      <c r="BJ33" s="1302" t="str">
        <f t="shared" si="99"/>
        <v>G6</v>
      </c>
      <c r="BK33" s="993" t="b">
        <f t="shared" si="101"/>
        <v>0</v>
      </c>
      <c r="BL33" s="1784" t="b">
        <v>0</v>
      </c>
      <c r="BM33" s="989">
        <f t="shared" si="88"/>
        <v>52</v>
      </c>
      <c r="BN33" s="989" t="str">
        <f t="shared" si="89"/>
        <v>G</v>
      </c>
      <c r="BO33" s="989">
        <f t="shared" si="90"/>
        <v>7</v>
      </c>
      <c r="BP33" s="989" t="str">
        <f t="shared" si="71"/>
        <v>12/5.5</v>
      </c>
      <c r="BQ33" s="989">
        <f t="shared" si="91"/>
        <v>2.4</v>
      </c>
      <c r="BR33" s="989" t="b">
        <f t="shared" si="92"/>
        <v>1</v>
      </c>
      <c r="BS33" s="1303">
        <f t="shared" si="93"/>
        <v>7.75</v>
      </c>
      <c r="BT33" s="990" t="str">
        <f t="shared" si="94"/>
        <v>Yes</v>
      </c>
      <c r="BU33" s="1303">
        <f t="shared" si="95"/>
        <v>7.75</v>
      </c>
      <c r="BV33" s="990" t="str">
        <f t="shared" si="96"/>
        <v>Yes</v>
      </c>
      <c r="BW33" s="991">
        <f t="shared" ca="1" si="29"/>
        <v>0</v>
      </c>
      <c r="BX33" s="991" t="str">
        <f t="shared" ca="1" si="36"/>
        <v/>
      </c>
      <c r="BY33" s="991" t="b">
        <f t="shared" ca="1" si="30"/>
        <v>0</v>
      </c>
      <c r="BZ33" s="1304" t="b">
        <f t="shared" si="37"/>
        <v>0</v>
      </c>
      <c r="CB33" s="672" t="s">
        <v>1402</v>
      </c>
      <c r="CC33" s="1685">
        <v>2</v>
      </c>
      <c r="CD33" s="699" t="s">
        <v>1702</v>
      </c>
      <c r="CE33" s="700">
        <v>52</v>
      </c>
      <c r="CF33" s="1329">
        <v>0</v>
      </c>
      <c r="CG33" s="672">
        <v>6</v>
      </c>
      <c r="CH33" s="713"/>
      <c r="CI33" s="714"/>
      <c r="CJ33" s="713"/>
      <c r="CK33" s="714"/>
      <c r="CL33" s="715"/>
      <c r="CM33" s="743"/>
      <c r="CN33" s="738"/>
      <c r="CO33" s="1552"/>
      <c r="CP33" s="910"/>
      <c r="CQ33" s="672">
        <v>6</v>
      </c>
      <c r="CR33" s="713"/>
      <c r="CS33" s="714"/>
      <c r="CT33" s="713"/>
      <c r="CU33" s="714"/>
      <c r="CV33" s="715"/>
      <c r="CW33" s="743"/>
      <c r="CX33" s="738"/>
      <c r="CY33" s="1552"/>
      <c r="CZ33" s="910"/>
      <c r="DA33" s="717"/>
      <c r="DB33" s="702">
        <v>8</v>
      </c>
      <c r="DC33" s="703"/>
      <c r="DD33" s="1599"/>
      <c r="DE33" s="1600">
        <v>11.125</v>
      </c>
      <c r="DF33" s="141"/>
      <c r="DG33" s="141"/>
      <c r="DH33" s="672"/>
      <c r="DI33" s="673"/>
      <c r="DJ33" s="692"/>
      <c r="DK33" s="1332"/>
      <c r="DL33" s="674"/>
      <c r="DM33" s="693"/>
      <c r="DN33" s="1335"/>
      <c r="DO33" s="675"/>
      <c r="DP33" s="676"/>
      <c r="DQ33" s="1420"/>
      <c r="DR33" s="677"/>
      <c r="DS33" s="1612"/>
      <c r="DT33" s="1607"/>
      <c r="DU33" s="1608"/>
      <c r="DV33" s="678"/>
      <c r="DW33" s="1337"/>
      <c r="DX33" s="679"/>
      <c r="DY33" s="674"/>
      <c r="DZ33" s="678"/>
      <c r="EA33" s="1337"/>
      <c r="EB33" s="679"/>
      <c r="EC33" s="674"/>
      <c r="ED33" s="678"/>
      <c r="EE33" s="1337"/>
      <c r="EF33" s="679"/>
      <c r="EG33" s="674"/>
      <c r="EH33" s="678"/>
      <c r="EI33" s="1337"/>
      <c r="EJ33" s="679"/>
      <c r="EK33" s="680"/>
      <c r="EL33" s="141"/>
      <c r="EM33" s="1632" t="str">
        <f t="shared" si="97"/>
        <v>G6</v>
      </c>
      <c r="EN33" s="1633" t="str">
        <f t="shared" si="72"/>
        <v/>
      </c>
      <c r="EO33" s="648" t="str">
        <f t="shared" si="73"/>
        <v/>
      </c>
      <c r="EP33" s="649" t="str">
        <f t="shared" si="74"/>
        <v/>
      </c>
      <c r="EQ33" s="813" t="str">
        <f t="shared" si="75"/>
        <v/>
      </c>
      <c r="ER33" s="1587" t="str">
        <f t="shared" si="76"/>
        <v/>
      </c>
      <c r="ES33" s="1588" t="str">
        <f t="shared" si="77"/>
        <v/>
      </c>
      <c r="ET33" s="1589" t="str">
        <f t="shared" si="78"/>
        <v/>
      </c>
      <c r="EU33" s="1590" t="str">
        <f t="shared" si="79"/>
        <v/>
      </c>
      <c r="EX33" s="503" t="str">
        <f t="shared" ca="1" si="31"/>
        <v/>
      </c>
      <c r="EY33" s="940" t="str">
        <f t="shared" si="10"/>
        <v/>
      </c>
      <c r="EZ33" s="940" t="str">
        <f t="shared" si="32"/>
        <v/>
      </c>
      <c r="FA33" s="958" t="str">
        <f t="shared" ca="1" si="38"/>
        <v/>
      </c>
      <c r="FB33" s="134" t="str">
        <f t="shared" ca="1" si="33"/>
        <v/>
      </c>
      <c r="FC33" s="134">
        <f t="shared" ca="1" si="11"/>
        <v>0</v>
      </c>
      <c r="FD33" s="134">
        <f t="shared" ca="1" si="12"/>
        <v>0</v>
      </c>
      <c r="FE33" s="134">
        <f t="shared" ca="1" si="13"/>
        <v>0</v>
      </c>
      <c r="FF33" s="134">
        <f t="shared" ca="1" si="34"/>
        <v>0</v>
      </c>
      <c r="FN33" s="993" t="b">
        <v>0</v>
      </c>
      <c r="FO33" s="754" t="b">
        <f t="shared" si="98"/>
        <v>1</v>
      </c>
      <c r="FP33" s="754" t="b">
        <v>0</v>
      </c>
      <c r="FQ33" s="754" t="b">
        <f t="shared" si="35"/>
        <v>1</v>
      </c>
      <c r="FX33" s="197"/>
      <c r="FZ33" s="2"/>
      <c r="GA33" s="581">
        <f t="shared" si="80"/>
        <v>52</v>
      </c>
      <c r="GB33" s="623">
        <f t="shared" si="81"/>
        <v>0</v>
      </c>
      <c r="GC33" s="625">
        <f t="shared" si="82"/>
        <v>-0.25</v>
      </c>
      <c r="GD33" s="626">
        <f t="shared" si="83"/>
        <v>-0.25</v>
      </c>
      <c r="GE33" s="624">
        <f t="shared" si="84"/>
        <v>0</v>
      </c>
      <c r="GF33" s="582" t="str">
        <f t="shared" si="85"/>
        <v>G6</v>
      </c>
      <c r="GG33" s="692">
        <v>0</v>
      </c>
      <c r="GH33" s="1136">
        <v>0</v>
      </c>
      <c r="GI33" s="692"/>
      <c r="GJ33" s="1136"/>
      <c r="GK33" s="1641">
        <f t="shared" si="86"/>
        <v>623.5</v>
      </c>
      <c r="GL33" s="1641">
        <f t="shared" si="87"/>
        <v>623.5</v>
      </c>
      <c r="GM33" s="1642">
        <f>IF(ABS(GK33-GL33)&gt;='Job Info.'!$L$22,ABS(GK33-GL33),0)</f>
        <v>0</v>
      </c>
      <c r="HA33" s="1242" t="s">
        <v>1402</v>
      </c>
      <c r="HB33" s="1243">
        <v>2</v>
      </c>
      <c r="HC33" s="1243" t="s">
        <v>1702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8</v>
      </c>
      <c r="IB33" s="1247"/>
      <c r="IC33" s="1247"/>
      <c r="ID33" s="1248">
        <v>11.125</v>
      </c>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39"/>
        <v>0</v>
      </c>
    </row>
    <row r="34" spans="1:272" ht="12.6" customHeight="1" x14ac:dyDescent="0.25">
      <c r="A34" s="2683" t="str">
        <f t="shared" si="48"/>
        <v>G7</v>
      </c>
      <c r="B34" s="2684">
        <f t="shared" si="48"/>
        <v>2</v>
      </c>
      <c r="C34" s="2685" t="s">
        <v>1702</v>
      </c>
      <c r="D34" s="2686">
        <f t="shared" si="49"/>
        <v>51</v>
      </c>
      <c r="E34" s="2687">
        <f t="shared" si="50"/>
        <v>11.5</v>
      </c>
      <c r="F34" s="2688">
        <f t="shared" si="51"/>
        <v>11.125</v>
      </c>
      <c r="G34" s="2689">
        <f t="shared" si="52"/>
        <v>0</v>
      </c>
      <c r="H34" s="2690">
        <f t="shared" si="53"/>
        <v>1.75</v>
      </c>
      <c r="I34" s="2691" t="str">
        <f t="shared" si="54"/>
        <v>R</v>
      </c>
      <c r="J34" s="2686">
        <f t="shared" si="55"/>
        <v>0</v>
      </c>
      <c r="K34" s="2690">
        <f t="shared" si="56"/>
        <v>1.75</v>
      </c>
      <c r="L34" s="2692" t="str">
        <f t="shared" si="57"/>
        <v>R</v>
      </c>
      <c r="M34" s="2693">
        <f t="shared" si="58"/>
        <v>7.5</v>
      </c>
      <c r="N34" s="2694">
        <f t="shared" si="58"/>
        <v>7.5</v>
      </c>
      <c r="O34" s="2689">
        <f t="shared" si="59"/>
        <v>0</v>
      </c>
      <c r="P34" s="2690">
        <f t="shared" si="60"/>
        <v>6.75</v>
      </c>
      <c r="Q34" s="2686">
        <f t="shared" si="61"/>
        <v>0</v>
      </c>
      <c r="R34" s="2687">
        <f t="shared" si="62"/>
        <v>6.75</v>
      </c>
      <c r="S34" s="2695">
        <f t="shared" si="63"/>
        <v>0</v>
      </c>
      <c r="T34" s="2690">
        <f t="shared" si="64"/>
        <v>6.25</v>
      </c>
      <c r="U34" s="2686">
        <f t="shared" si="65"/>
        <v>0</v>
      </c>
      <c r="V34" s="2690">
        <f t="shared" si="66"/>
        <v>6.25</v>
      </c>
      <c r="W34" s="2694">
        <f t="shared" si="67"/>
        <v>5</v>
      </c>
      <c r="X34" s="2696" t="str">
        <f t="shared" si="68"/>
        <v/>
      </c>
      <c r="Y34" s="2697" t="str">
        <f t="shared" si="69"/>
        <v/>
      </c>
      <c r="Z34" s="2698" t="s">
        <v>1870</v>
      </c>
      <c r="AA34" s="2699" t="str">
        <f t="shared" si="70"/>
        <v/>
      </c>
      <c r="AB34" s="2683" t="str">
        <f t="shared" si="14"/>
        <v/>
      </c>
      <c r="AC34" s="2691" t="str">
        <f t="shared" si="3"/>
        <v/>
      </c>
      <c r="AD34" s="2686" t="str">
        <f t="shared" ca="1" si="40"/>
        <v/>
      </c>
      <c r="AE34" s="2690" t="str">
        <f t="shared" ca="1" si="41"/>
        <v/>
      </c>
      <c r="AF34" s="2691" t="str">
        <f t="shared" ca="1" si="42"/>
        <v/>
      </c>
      <c r="AG34" s="2686" t="str">
        <f t="shared" ca="1" si="43"/>
        <v/>
      </c>
      <c r="AH34" s="2690" t="str">
        <f t="shared" ca="1" si="44"/>
        <v/>
      </c>
      <c r="AI34" s="2686" t="str">
        <f t="shared" ca="1" si="45"/>
        <v/>
      </c>
      <c r="AJ34" s="2690" t="str">
        <f t="shared" ca="1" si="46"/>
        <v/>
      </c>
      <c r="AK34" s="2732" t="str">
        <f t="shared" si="15"/>
        <v/>
      </c>
      <c r="AL34" s="2733" t="str">
        <f t="shared" si="4"/>
        <v/>
      </c>
      <c r="AM34" s="2734" t="str">
        <f t="shared" si="100"/>
        <v/>
      </c>
      <c r="AN34" s="2691" t="str">
        <f t="shared" si="100"/>
        <v/>
      </c>
      <c r="AO34" s="2735" t="str">
        <f t="shared" si="100"/>
        <v/>
      </c>
      <c r="AP34" s="2693" t="str">
        <f t="shared" si="5"/>
        <v/>
      </c>
      <c r="AQ34" s="2736" t="str">
        <f t="shared" si="5"/>
        <v/>
      </c>
      <c r="AR34" s="2689" t="str">
        <f t="shared" si="17"/>
        <v/>
      </c>
      <c r="AS34" s="2690" t="str">
        <f t="shared" si="18"/>
        <v/>
      </c>
      <c r="AT34" s="2737" t="str">
        <f t="shared" si="19"/>
        <v/>
      </c>
      <c r="AU34" s="2738" t="str">
        <f t="shared" si="6"/>
        <v/>
      </c>
      <c r="AV34" s="2695" t="str">
        <f t="shared" si="20"/>
        <v/>
      </c>
      <c r="AW34" s="2690" t="str">
        <f t="shared" si="21"/>
        <v/>
      </c>
      <c r="AX34" s="2737" t="str">
        <f t="shared" si="22"/>
        <v/>
      </c>
      <c r="AY34" s="2738" t="str">
        <f t="shared" si="7"/>
        <v/>
      </c>
      <c r="AZ34" s="2695" t="str">
        <f t="shared" si="23"/>
        <v/>
      </c>
      <c r="BA34" s="2690" t="str">
        <f t="shared" si="24"/>
        <v/>
      </c>
      <c r="BB34" s="2737" t="str">
        <f t="shared" si="25"/>
        <v/>
      </c>
      <c r="BC34" s="2738" t="str">
        <f t="shared" si="8"/>
        <v/>
      </c>
      <c r="BD34" s="2695" t="str">
        <f t="shared" si="26"/>
        <v/>
      </c>
      <c r="BE34" s="2690" t="str">
        <f t="shared" si="27"/>
        <v/>
      </c>
      <c r="BF34" s="2737" t="str">
        <f t="shared" si="28"/>
        <v/>
      </c>
      <c r="BG34" s="2738" t="str">
        <f t="shared" si="9"/>
        <v/>
      </c>
      <c r="BH34" s="261"/>
      <c r="BJ34" s="1302" t="str">
        <f t="shared" si="99"/>
        <v>G7</v>
      </c>
      <c r="BK34" s="993" t="b">
        <f t="shared" si="101"/>
        <v>0</v>
      </c>
      <c r="BL34" s="1784" t="b">
        <v>0</v>
      </c>
      <c r="BM34" s="989">
        <f t="shared" si="88"/>
        <v>52</v>
      </c>
      <c r="BN34" s="989" t="str">
        <f t="shared" si="89"/>
        <v>G</v>
      </c>
      <c r="BO34" s="989">
        <f t="shared" si="90"/>
        <v>7</v>
      </c>
      <c r="BP34" s="989" t="str">
        <f t="shared" si="71"/>
        <v>12/5.5</v>
      </c>
      <c r="BQ34" s="989">
        <f t="shared" si="91"/>
        <v>2.4</v>
      </c>
      <c r="BR34" s="989" t="b">
        <f t="shared" si="92"/>
        <v>1</v>
      </c>
      <c r="BS34" s="1303">
        <f t="shared" si="93"/>
        <v>7.75</v>
      </c>
      <c r="BT34" s="990" t="str">
        <f t="shared" si="94"/>
        <v>Yes</v>
      </c>
      <c r="BU34" s="1303">
        <f t="shared" si="95"/>
        <v>7.75</v>
      </c>
      <c r="BV34" s="990" t="str">
        <f t="shared" si="96"/>
        <v>Yes</v>
      </c>
      <c r="BW34" s="991">
        <f t="shared" ca="1" si="29"/>
        <v>0</v>
      </c>
      <c r="BX34" s="991" t="str">
        <f t="shared" ca="1" si="36"/>
        <v/>
      </c>
      <c r="BY34" s="991" t="b">
        <f t="shared" ca="1" si="30"/>
        <v>0</v>
      </c>
      <c r="BZ34" s="1304" t="b">
        <f t="shared" si="37"/>
        <v>0</v>
      </c>
      <c r="CB34" s="672" t="s">
        <v>1403</v>
      </c>
      <c r="CC34" s="1685">
        <v>2</v>
      </c>
      <c r="CD34" s="699" t="s">
        <v>1702</v>
      </c>
      <c r="CE34" s="700">
        <v>52</v>
      </c>
      <c r="CF34" s="1329">
        <v>0</v>
      </c>
      <c r="CG34" s="672">
        <v>6</v>
      </c>
      <c r="CH34" s="713"/>
      <c r="CI34" s="714"/>
      <c r="CJ34" s="713"/>
      <c r="CK34" s="714"/>
      <c r="CL34" s="715"/>
      <c r="CM34" s="743"/>
      <c r="CN34" s="738"/>
      <c r="CO34" s="1552"/>
      <c r="CP34" s="910"/>
      <c r="CQ34" s="672">
        <v>6</v>
      </c>
      <c r="CR34" s="713"/>
      <c r="CS34" s="714"/>
      <c r="CT34" s="713"/>
      <c r="CU34" s="714"/>
      <c r="CV34" s="715"/>
      <c r="CW34" s="743"/>
      <c r="CX34" s="738"/>
      <c r="CY34" s="1552"/>
      <c r="CZ34" s="910"/>
      <c r="DA34" s="717"/>
      <c r="DB34" s="702">
        <v>8</v>
      </c>
      <c r="DC34" s="703"/>
      <c r="DD34" s="1599"/>
      <c r="DE34" s="1600">
        <v>11.125</v>
      </c>
      <c r="DF34" s="141"/>
      <c r="DG34" s="141"/>
      <c r="DH34" s="672"/>
      <c r="DI34" s="673"/>
      <c r="DJ34" s="692"/>
      <c r="DK34" s="1332"/>
      <c r="DL34" s="674"/>
      <c r="DM34" s="693"/>
      <c r="DN34" s="1335"/>
      <c r="DO34" s="675"/>
      <c r="DP34" s="676"/>
      <c r="DQ34" s="1420"/>
      <c r="DR34" s="677"/>
      <c r="DS34" s="1612"/>
      <c r="DT34" s="1607"/>
      <c r="DU34" s="1608"/>
      <c r="DV34" s="678"/>
      <c r="DW34" s="1337"/>
      <c r="DX34" s="679"/>
      <c r="DY34" s="674"/>
      <c r="DZ34" s="678"/>
      <c r="EA34" s="1337"/>
      <c r="EB34" s="679"/>
      <c r="EC34" s="674"/>
      <c r="ED34" s="678"/>
      <c r="EE34" s="1337"/>
      <c r="EF34" s="679"/>
      <c r="EG34" s="674"/>
      <c r="EH34" s="678"/>
      <c r="EI34" s="1337"/>
      <c r="EJ34" s="679"/>
      <c r="EK34" s="680"/>
      <c r="EL34" s="141"/>
      <c r="EM34" s="1632" t="str">
        <f t="shared" si="97"/>
        <v>G7</v>
      </c>
      <c r="EN34" s="1633" t="str">
        <f t="shared" si="72"/>
        <v/>
      </c>
      <c r="EO34" s="648" t="str">
        <f t="shared" si="73"/>
        <v/>
      </c>
      <c r="EP34" s="649" t="str">
        <f t="shared" si="74"/>
        <v/>
      </c>
      <c r="EQ34" s="813" t="str">
        <f t="shared" si="75"/>
        <v/>
      </c>
      <c r="ER34" s="1587" t="str">
        <f t="shared" si="76"/>
        <v/>
      </c>
      <c r="ES34" s="1588" t="str">
        <f t="shared" si="77"/>
        <v/>
      </c>
      <c r="ET34" s="1589" t="str">
        <f t="shared" si="78"/>
        <v/>
      </c>
      <c r="EU34" s="1590" t="str">
        <f t="shared" si="79"/>
        <v/>
      </c>
      <c r="EX34" s="503" t="str">
        <f t="shared" ca="1" si="31"/>
        <v/>
      </c>
      <c r="EY34" s="940" t="str">
        <f t="shared" si="10"/>
        <v/>
      </c>
      <c r="EZ34" s="940" t="str">
        <f t="shared" si="32"/>
        <v/>
      </c>
      <c r="FA34" s="958" t="str">
        <f t="shared" ca="1" si="38"/>
        <v/>
      </c>
      <c r="FB34" s="134" t="str">
        <f t="shared" ca="1" si="33"/>
        <v/>
      </c>
      <c r="FC34" s="134">
        <f t="shared" ca="1" si="11"/>
        <v>0</v>
      </c>
      <c r="FD34" s="134">
        <f t="shared" ca="1" si="12"/>
        <v>0</v>
      </c>
      <c r="FE34" s="134">
        <f t="shared" ca="1" si="13"/>
        <v>0</v>
      </c>
      <c r="FF34" s="134">
        <f t="shared" ca="1" si="34"/>
        <v>0</v>
      </c>
      <c r="FN34" s="993" t="b">
        <v>0</v>
      </c>
      <c r="FO34" s="754" t="b">
        <f t="shared" si="98"/>
        <v>1</v>
      </c>
      <c r="FP34" s="754" t="b">
        <v>0</v>
      </c>
      <c r="FQ34" s="754" t="b">
        <f t="shared" si="35"/>
        <v>1</v>
      </c>
      <c r="FX34" s="197"/>
      <c r="FZ34" s="2"/>
      <c r="GA34" s="581">
        <f t="shared" si="80"/>
        <v>52</v>
      </c>
      <c r="GB34" s="623">
        <f t="shared" si="81"/>
        <v>0</v>
      </c>
      <c r="GC34" s="625">
        <f t="shared" si="82"/>
        <v>-0.25</v>
      </c>
      <c r="GD34" s="626">
        <f t="shared" si="83"/>
        <v>-0.25</v>
      </c>
      <c r="GE34" s="624">
        <f t="shared" si="84"/>
        <v>0</v>
      </c>
      <c r="GF34" s="582" t="str">
        <f t="shared" si="85"/>
        <v>G7</v>
      </c>
      <c r="GG34" s="692">
        <v>0</v>
      </c>
      <c r="GH34" s="1136">
        <v>0</v>
      </c>
      <c r="GI34" s="692"/>
      <c r="GJ34" s="1136"/>
      <c r="GK34" s="1641">
        <f t="shared" si="86"/>
        <v>623.5</v>
      </c>
      <c r="GL34" s="1641">
        <f t="shared" si="87"/>
        <v>623.5</v>
      </c>
      <c r="GM34" s="1642">
        <f>IF(ABS(GK34-GL34)&gt;='Job Info.'!$L$22,ABS(GK34-GL34),0)</f>
        <v>0</v>
      </c>
      <c r="HA34" s="1242" t="s">
        <v>1403</v>
      </c>
      <c r="HB34" s="1243">
        <v>2</v>
      </c>
      <c r="HC34" s="1243" t="s">
        <v>1702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8</v>
      </c>
      <c r="IB34" s="1247"/>
      <c r="IC34" s="1247"/>
      <c r="ID34" s="1248">
        <v>11.125</v>
      </c>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39"/>
        <v>0</v>
      </c>
    </row>
    <row r="35" spans="1:272" ht="12.6" customHeight="1" x14ac:dyDescent="0.25">
      <c r="A35" s="2683" t="str">
        <f t="shared" si="48"/>
        <v>G8</v>
      </c>
      <c r="B35" s="2684">
        <f t="shared" si="48"/>
        <v>1</v>
      </c>
      <c r="C35" s="2685" t="s">
        <v>1702</v>
      </c>
      <c r="D35" s="2686">
        <f t="shared" si="49"/>
        <v>51</v>
      </c>
      <c r="E35" s="2687">
        <f t="shared" si="50"/>
        <v>3.375</v>
      </c>
      <c r="F35" s="2688">
        <f t="shared" si="51"/>
        <v>11.125</v>
      </c>
      <c r="G35" s="2689">
        <f t="shared" si="52"/>
        <v>0</v>
      </c>
      <c r="H35" s="2690">
        <f t="shared" si="53"/>
        <v>1.75</v>
      </c>
      <c r="I35" s="2691" t="str">
        <f t="shared" si="54"/>
        <v>R</v>
      </c>
      <c r="J35" s="2686" t="str">
        <f t="shared" si="55"/>
        <v/>
      </c>
      <c r="K35" s="2690" t="str">
        <f t="shared" si="56"/>
        <v/>
      </c>
      <c r="L35" s="2692" t="str">
        <f t="shared" si="57"/>
        <v/>
      </c>
      <c r="M35" s="2693">
        <f t="shared" si="58"/>
        <v>7.5</v>
      </c>
      <c r="N35" s="2694">
        <f t="shared" si="58"/>
        <v>7.5</v>
      </c>
      <c r="O35" s="2689">
        <f t="shared" si="59"/>
        <v>0</v>
      </c>
      <c r="P35" s="2690">
        <f t="shared" si="60"/>
        <v>6.75</v>
      </c>
      <c r="Q35" s="2686">
        <f t="shared" si="61"/>
        <v>0</v>
      </c>
      <c r="R35" s="2687">
        <f t="shared" si="62"/>
        <v>1</v>
      </c>
      <c r="S35" s="2695">
        <f t="shared" si="63"/>
        <v>0</v>
      </c>
      <c r="T35" s="2690">
        <f t="shared" si="64"/>
        <v>6.25</v>
      </c>
      <c r="U35" s="2686">
        <f t="shared" si="65"/>
        <v>0</v>
      </c>
      <c r="V35" s="2690">
        <f t="shared" si="66"/>
        <v>1.5</v>
      </c>
      <c r="W35" s="2694">
        <f t="shared" si="67"/>
        <v>5</v>
      </c>
      <c r="X35" s="2696" t="str">
        <f t="shared" si="68"/>
        <v/>
      </c>
      <c r="Y35" s="2697" t="str">
        <f t="shared" si="69"/>
        <v/>
      </c>
      <c r="Z35" s="2698" t="s">
        <v>1871</v>
      </c>
      <c r="AA35" s="2699" t="str">
        <f t="shared" si="70"/>
        <v/>
      </c>
      <c r="AB35" s="2683" t="str">
        <f t="shared" si="14"/>
        <v/>
      </c>
      <c r="AC35" s="2691" t="str">
        <f t="shared" si="3"/>
        <v/>
      </c>
      <c r="AD35" s="2686" t="str">
        <f t="shared" ca="1" si="40"/>
        <v/>
      </c>
      <c r="AE35" s="2690" t="str">
        <f t="shared" ca="1" si="41"/>
        <v/>
      </c>
      <c r="AF35" s="2691" t="str">
        <f t="shared" ca="1" si="42"/>
        <v/>
      </c>
      <c r="AG35" s="2686" t="str">
        <f t="shared" ca="1" si="43"/>
        <v/>
      </c>
      <c r="AH35" s="2690" t="str">
        <f t="shared" ca="1" si="44"/>
        <v/>
      </c>
      <c r="AI35" s="2686" t="str">
        <f t="shared" ca="1" si="45"/>
        <v/>
      </c>
      <c r="AJ35" s="2690" t="str">
        <f t="shared" ca="1" si="46"/>
        <v/>
      </c>
      <c r="AK35" s="2732" t="str">
        <f t="shared" si="15"/>
        <v/>
      </c>
      <c r="AL35" s="2733" t="str">
        <f t="shared" si="4"/>
        <v/>
      </c>
      <c r="AM35" s="2734" t="str">
        <f t="shared" si="100"/>
        <v/>
      </c>
      <c r="AN35" s="2691" t="str">
        <f t="shared" si="100"/>
        <v/>
      </c>
      <c r="AO35" s="2735" t="str">
        <f t="shared" si="100"/>
        <v/>
      </c>
      <c r="AP35" s="2693" t="str">
        <f t="shared" si="5"/>
        <v/>
      </c>
      <c r="AQ35" s="2736" t="str">
        <f t="shared" si="5"/>
        <v/>
      </c>
      <c r="AR35" s="2689" t="str">
        <f t="shared" si="17"/>
        <v/>
      </c>
      <c r="AS35" s="2690" t="str">
        <f t="shared" si="18"/>
        <v/>
      </c>
      <c r="AT35" s="2737" t="str">
        <f t="shared" si="19"/>
        <v/>
      </c>
      <c r="AU35" s="2738" t="str">
        <f t="shared" si="6"/>
        <v/>
      </c>
      <c r="AV35" s="2695" t="str">
        <f t="shared" si="20"/>
        <v/>
      </c>
      <c r="AW35" s="2690" t="str">
        <f t="shared" si="21"/>
        <v/>
      </c>
      <c r="AX35" s="2737" t="str">
        <f t="shared" si="22"/>
        <v/>
      </c>
      <c r="AY35" s="2738" t="str">
        <f t="shared" si="7"/>
        <v/>
      </c>
      <c r="AZ35" s="2695" t="str">
        <f t="shared" si="23"/>
        <v/>
      </c>
      <c r="BA35" s="2690" t="str">
        <f t="shared" si="24"/>
        <v/>
      </c>
      <c r="BB35" s="2737" t="str">
        <f t="shared" si="25"/>
        <v/>
      </c>
      <c r="BC35" s="2738" t="str">
        <f t="shared" si="8"/>
        <v/>
      </c>
      <c r="BD35" s="2695" t="str">
        <f t="shared" si="26"/>
        <v/>
      </c>
      <c r="BE35" s="2690" t="str">
        <f t="shared" si="27"/>
        <v/>
      </c>
      <c r="BF35" s="2737" t="str">
        <f t="shared" si="28"/>
        <v/>
      </c>
      <c r="BG35" s="2738" t="str">
        <f t="shared" si="9"/>
        <v/>
      </c>
      <c r="BH35" s="261"/>
      <c r="BJ35" s="1302" t="str">
        <f t="shared" si="99"/>
        <v>G8</v>
      </c>
      <c r="BK35" s="993" t="b">
        <f t="shared" si="101"/>
        <v>0</v>
      </c>
      <c r="BL35" s="1784" t="b">
        <v>0</v>
      </c>
      <c r="BM35" s="989">
        <f t="shared" si="88"/>
        <v>52</v>
      </c>
      <c r="BN35" s="989" t="str">
        <f t="shared" si="89"/>
        <v>G</v>
      </c>
      <c r="BO35" s="989">
        <f t="shared" si="90"/>
        <v>7</v>
      </c>
      <c r="BP35" s="989" t="str">
        <f t="shared" si="71"/>
        <v>12/5.5</v>
      </c>
      <c r="BQ35" s="989">
        <f t="shared" si="91"/>
        <v>2.4</v>
      </c>
      <c r="BR35" s="989" t="b">
        <f t="shared" si="92"/>
        <v>1</v>
      </c>
      <c r="BS35" s="1303">
        <f t="shared" si="93"/>
        <v>7.75</v>
      </c>
      <c r="BT35" s="990" t="str">
        <f t="shared" si="94"/>
        <v>Yes</v>
      </c>
      <c r="BU35" s="1303">
        <f t="shared" si="95"/>
        <v>6</v>
      </c>
      <c r="BV35" s="990" t="str">
        <f t="shared" si="96"/>
        <v>Yes</v>
      </c>
      <c r="BW35" s="991">
        <f t="shared" ca="1" si="29"/>
        <v>0</v>
      </c>
      <c r="BX35" s="991" t="str">
        <f t="shared" ca="1" si="36"/>
        <v/>
      </c>
      <c r="BY35" s="991" t="b">
        <f t="shared" ca="1" si="30"/>
        <v>0</v>
      </c>
      <c r="BZ35" s="1304" t="b">
        <f t="shared" si="37"/>
        <v>0</v>
      </c>
      <c r="CB35" s="672" t="s">
        <v>1404</v>
      </c>
      <c r="CC35" s="1685">
        <v>1</v>
      </c>
      <c r="CD35" s="699" t="s">
        <v>1702</v>
      </c>
      <c r="CE35" s="700">
        <v>52</v>
      </c>
      <c r="CF35" s="1329">
        <v>0</v>
      </c>
      <c r="CG35" s="672">
        <v>6</v>
      </c>
      <c r="CH35" s="713"/>
      <c r="CI35" s="714"/>
      <c r="CJ35" s="713"/>
      <c r="CK35" s="714"/>
      <c r="CL35" s="715"/>
      <c r="CM35" s="743"/>
      <c r="CN35" s="738"/>
      <c r="CO35" s="1552"/>
      <c r="CP35" s="910"/>
      <c r="CQ35" s="672">
        <v>11</v>
      </c>
      <c r="CR35" s="713"/>
      <c r="CS35" s="714"/>
      <c r="CT35" s="713"/>
      <c r="CU35" s="714"/>
      <c r="CV35" s="715"/>
      <c r="CW35" s="743"/>
      <c r="CX35" s="738"/>
      <c r="CY35" s="1552"/>
      <c r="CZ35" s="910"/>
      <c r="DA35" s="717"/>
      <c r="DB35" s="702" t="s">
        <v>1711</v>
      </c>
      <c r="DC35" s="703" t="s">
        <v>34</v>
      </c>
      <c r="DD35" s="1599"/>
      <c r="DE35" s="1600">
        <v>11.125</v>
      </c>
      <c r="DF35" s="141"/>
      <c r="DG35" s="141"/>
      <c r="DH35" s="672"/>
      <c r="DI35" s="673"/>
      <c r="DJ35" s="692"/>
      <c r="DK35" s="1332"/>
      <c r="DL35" s="674"/>
      <c r="DM35" s="693"/>
      <c r="DN35" s="1335"/>
      <c r="DO35" s="675"/>
      <c r="DP35" s="676"/>
      <c r="DQ35" s="1420"/>
      <c r="DR35" s="677"/>
      <c r="DS35" s="1612"/>
      <c r="DT35" s="1607"/>
      <c r="DU35" s="1608"/>
      <c r="DV35" s="678"/>
      <c r="DW35" s="1337"/>
      <c r="DX35" s="679"/>
      <c r="DY35" s="674"/>
      <c r="DZ35" s="678"/>
      <c r="EA35" s="1337"/>
      <c r="EB35" s="679"/>
      <c r="EC35" s="674"/>
      <c r="ED35" s="678"/>
      <c r="EE35" s="1337"/>
      <c r="EF35" s="679"/>
      <c r="EG35" s="674"/>
      <c r="EH35" s="678"/>
      <c r="EI35" s="1337"/>
      <c r="EJ35" s="679"/>
      <c r="EK35" s="680"/>
      <c r="EL35" s="141"/>
      <c r="EM35" s="1632" t="str">
        <f t="shared" si="97"/>
        <v>G8</v>
      </c>
      <c r="EN35" s="1633" t="str">
        <f t="shared" si="72"/>
        <v/>
      </c>
      <c r="EO35" s="648" t="str">
        <f t="shared" si="73"/>
        <v/>
      </c>
      <c r="EP35" s="649" t="str">
        <f t="shared" si="74"/>
        <v/>
      </c>
      <c r="EQ35" s="813" t="str">
        <f t="shared" si="75"/>
        <v/>
      </c>
      <c r="ER35" s="1587" t="str">
        <f t="shared" si="76"/>
        <v/>
      </c>
      <c r="ES35" s="1588" t="str">
        <f t="shared" si="77"/>
        <v/>
      </c>
      <c r="ET35" s="1589" t="str">
        <f t="shared" si="78"/>
        <v/>
      </c>
      <c r="EU35" s="1590" t="str">
        <f t="shared" si="79"/>
        <v/>
      </c>
      <c r="EX35" s="503" t="str">
        <f t="shared" ca="1" si="31"/>
        <v/>
      </c>
      <c r="EY35" s="940" t="str">
        <f t="shared" si="10"/>
        <v/>
      </c>
      <c r="EZ35" s="940" t="str">
        <f t="shared" si="32"/>
        <v/>
      </c>
      <c r="FA35" s="958" t="str">
        <f t="shared" ca="1" si="38"/>
        <v/>
      </c>
      <c r="FB35" s="134" t="str">
        <f t="shared" ca="1" si="33"/>
        <v/>
      </c>
      <c r="FC35" s="134">
        <f t="shared" ca="1" si="11"/>
        <v>0</v>
      </c>
      <c r="FD35" s="134">
        <f t="shared" ca="1" si="12"/>
        <v>0</v>
      </c>
      <c r="FE35" s="134">
        <f t="shared" ca="1" si="13"/>
        <v>0</v>
      </c>
      <c r="FF35" s="134">
        <f t="shared" ca="1" si="34"/>
        <v>0</v>
      </c>
      <c r="FN35" s="993" t="b">
        <v>0</v>
      </c>
      <c r="FO35" s="754" t="b">
        <f t="shared" si="98"/>
        <v>1</v>
      </c>
      <c r="FP35" s="754" t="b">
        <v>0</v>
      </c>
      <c r="FQ35" s="754" t="b">
        <f t="shared" si="35"/>
        <v>1</v>
      </c>
      <c r="FX35" s="197"/>
      <c r="FZ35" s="2"/>
      <c r="GA35" s="581">
        <f t="shared" si="80"/>
        <v>52</v>
      </c>
      <c r="GB35" s="623">
        <f t="shared" si="81"/>
        <v>0</v>
      </c>
      <c r="GC35" s="625">
        <f t="shared" si="82"/>
        <v>-0.25</v>
      </c>
      <c r="GD35" s="626">
        <f t="shared" si="83"/>
        <v>-8.375</v>
      </c>
      <c r="GE35" s="624">
        <f t="shared" si="84"/>
        <v>0</v>
      </c>
      <c r="GF35" s="582" t="str">
        <f t="shared" si="85"/>
        <v>G8</v>
      </c>
      <c r="GG35" s="692">
        <v>0</v>
      </c>
      <c r="GH35" s="1136">
        <v>0</v>
      </c>
      <c r="GI35" s="692"/>
      <c r="GJ35" s="1136"/>
      <c r="GK35" s="1641">
        <f t="shared" si="86"/>
        <v>615.375</v>
      </c>
      <c r="GL35" s="1641">
        <f t="shared" si="87"/>
        <v>615.375</v>
      </c>
      <c r="GM35" s="1642">
        <f>IF(ABS(GK35-GL35)&gt;='Job Info.'!$L$22,ABS(GK35-GL35),0)</f>
        <v>0</v>
      </c>
      <c r="HA35" s="1242" t="s">
        <v>1404</v>
      </c>
      <c r="HB35" s="1243">
        <v>1</v>
      </c>
      <c r="HC35" s="1243" t="s">
        <v>1702</v>
      </c>
      <c r="HD35" s="1244">
        <v>52</v>
      </c>
      <c r="HE35" s="1245">
        <v>0</v>
      </c>
      <c r="HF35" s="1243">
        <v>6</v>
      </c>
      <c r="HG35" s="1243"/>
      <c r="HH35" s="1243"/>
      <c r="HI35" s="1243"/>
      <c r="HJ35" s="1243"/>
      <c r="HK35" s="1243"/>
      <c r="HL35" s="1243"/>
      <c r="HM35" s="1243"/>
      <c r="HN35" s="1243"/>
      <c r="HO35" s="1243"/>
      <c r="HP35" s="1243">
        <v>11</v>
      </c>
      <c r="HQ35" s="1243"/>
      <c r="HR35" s="1243"/>
      <c r="HS35" s="1243"/>
      <c r="HT35" s="1243"/>
      <c r="HU35" s="1243"/>
      <c r="HV35" s="1243"/>
      <c r="HW35" s="1243"/>
      <c r="HX35" s="1243"/>
      <c r="HY35" s="1247"/>
      <c r="HZ35" s="1247"/>
      <c r="IA35" s="1247" t="s">
        <v>1711</v>
      </c>
      <c r="IB35" s="1247" t="s">
        <v>34</v>
      </c>
      <c r="IC35" s="1247"/>
      <c r="ID35" s="1248">
        <v>11.125</v>
      </c>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39"/>
        <v>0</v>
      </c>
    </row>
    <row r="36" spans="1:272" ht="12.6" customHeight="1" x14ac:dyDescent="0.25">
      <c r="A36" s="2683" t="str">
        <f t="shared" si="48"/>
        <v>G9</v>
      </c>
      <c r="B36" s="2684">
        <f t="shared" si="48"/>
        <v>1</v>
      </c>
      <c r="C36" s="2685" t="s">
        <v>1702</v>
      </c>
      <c r="D36" s="2686">
        <f t="shared" si="49"/>
        <v>51</v>
      </c>
      <c r="E36" s="2687">
        <f t="shared" si="50"/>
        <v>3.375</v>
      </c>
      <c r="F36" s="2688">
        <f t="shared" si="51"/>
        <v>11.125</v>
      </c>
      <c r="G36" s="2689">
        <f t="shared" si="52"/>
        <v>0</v>
      </c>
      <c r="H36" s="2690">
        <f t="shared" si="53"/>
        <v>1.75</v>
      </c>
      <c r="I36" s="2691" t="str">
        <f t="shared" si="54"/>
        <v>R</v>
      </c>
      <c r="J36" s="2686" t="str">
        <f t="shared" si="55"/>
        <v/>
      </c>
      <c r="K36" s="2690" t="str">
        <f t="shared" si="56"/>
        <v/>
      </c>
      <c r="L36" s="2692" t="str">
        <f t="shared" si="57"/>
        <v/>
      </c>
      <c r="M36" s="2693">
        <f t="shared" si="58"/>
        <v>7.5</v>
      </c>
      <c r="N36" s="2694">
        <f t="shared" si="58"/>
        <v>7.5</v>
      </c>
      <c r="O36" s="2689">
        <f t="shared" si="59"/>
        <v>0</v>
      </c>
      <c r="P36" s="2690">
        <f t="shared" si="60"/>
        <v>6.75</v>
      </c>
      <c r="Q36" s="2686">
        <f t="shared" si="61"/>
        <v>0</v>
      </c>
      <c r="R36" s="2687">
        <f t="shared" si="62"/>
        <v>1</v>
      </c>
      <c r="S36" s="2695">
        <f t="shared" si="63"/>
        <v>0</v>
      </c>
      <c r="T36" s="2690">
        <f t="shared" si="64"/>
        <v>6.25</v>
      </c>
      <c r="U36" s="2686">
        <f t="shared" si="65"/>
        <v>0</v>
      </c>
      <c r="V36" s="2690">
        <f t="shared" si="66"/>
        <v>1.5</v>
      </c>
      <c r="W36" s="2694">
        <f t="shared" si="67"/>
        <v>5</v>
      </c>
      <c r="X36" s="2696" t="str">
        <f t="shared" si="68"/>
        <v/>
      </c>
      <c r="Y36" s="2697" t="str">
        <f t="shared" si="69"/>
        <v/>
      </c>
      <c r="Z36" s="2698" t="s">
        <v>1872</v>
      </c>
      <c r="AA36" s="2699" t="str">
        <f t="shared" si="70"/>
        <v/>
      </c>
      <c r="AB36" s="2683" t="str">
        <f t="shared" si="14"/>
        <v/>
      </c>
      <c r="AC36" s="2691" t="str">
        <f t="shared" si="3"/>
        <v/>
      </c>
      <c r="AD36" s="2686" t="str">
        <f t="shared" ca="1" si="40"/>
        <v/>
      </c>
      <c r="AE36" s="2690" t="str">
        <f t="shared" ca="1" si="41"/>
        <v/>
      </c>
      <c r="AF36" s="2691" t="str">
        <f t="shared" ca="1" si="42"/>
        <v/>
      </c>
      <c r="AG36" s="2686" t="str">
        <f t="shared" ca="1" si="43"/>
        <v/>
      </c>
      <c r="AH36" s="2690" t="str">
        <f t="shared" ca="1" si="44"/>
        <v/>
      </c>
      <c r="AI36" s="2686" t="str">
        <f t="shared" ca="1" si="45"/>
        <v/>
      </c>
      <c r="AJ36" s="2690" t="str">
        <f t="shared" ca="1" si="46"/>
        <v/>
      </c>
      <c r="AK36" s="2732" t="str">
        <f t="shared" si="15"/>
        <v/>
      </c>
      <c r="AL36" s="2733" t="str">
        <f t="shared" si="4"/>
        <v/>
      </c>
      <c r="AM36" s="2734" t="str">
        <f t="shared" si="100"/>
        <v/>
      </c>
      <c r="AN36" s="2691" t="str">
        <f t="shared" si="100"/>
        <v/>
      </c>
      <c r="AO36" s="2735" t="str">
        <f t="shared" si="100"/>
        <v/>
      </c>
      <c r="AP36" s="2693" t="str">
        <f t="shared" si="5"/>
        <v/>
      </c>
      <c r="AQ36" s="2736" t="str">
        <f t="shared" si="5"/>
        <v/>
      </c>
      <c r="AR36" s="2689" t="str">
        <f t="shared" si="17"/>
        <v/>
      </c>
      <c r="AS36" s="2690" t="str">
        <f t="shared" si="18"/>
        <v/>
      </c>
      <c r="AT36" s="2737" t="str">
        <f t="shared" si="19"/>
        <v/>
      </c>
      <c r="AU36" s="2738" t="str">
        <f t="shared" si="6"/>
        <v/>
      </c>
      <c r="AV36" s="2695" t="str">
        <f t="shared" si="20"/>
        <v/>
      </c>
      <c r="AW36" s="2690" t="str">
        <f t="shared" si="21"/>
        <v/>
      </c>
      <c r="AX36" s="2737" t="str">
        <f t="shared" si="22"/>
        <v/>
      </c>
      <c r="AY36" s="2738" t="str">
        <f t="shared" si="7"/>
        <v/>
      </c>
      <c r="AZ36" s="2695" t="str">
        <f t="shared" si="23"/>
        <v/>
      </c>
      <c r="BA36" s="2690" t="str">
        <f t="shared" si="24"/>
        <v/>
      </c>
      <c r="BB36" s="2737" t="str">
        <f t="shared" si="25"/>
        <v/>
      </c>
      <c r="BC36" s="2738" t="str">
        <f t="shared" si="8"/>
        <v/>
      </c>
      <c r="BD36" s="2695" t="str">
        <f t="shared" si="26"/>
        <v/>
      </c>
      <c r="BE36" s="2690" t="str">
        <f t="shared" si="27"/>
        <v/>
      </c>
      <c r="BF36" s="2737" t="str">
        <f t="shared" si="28"/>
        <v/>
      </c>
      <c r="BG36" s="2738" t="str">
        <f t="shared" si="9"/>
        <v/>
      </c>
      <c r="BH36" s="261"/>
      <c r="BJ36" s="1302" t="str">
        <f t="shared" si="99"/>
        <v>G9</v>
      </c>
      <c r="BK36" s="993" t="b">
        <f t="shared" si="101"/>
        <v>0</v>
      </c>
      <c r="BL36" s="1784" t="b">
        <v>0</v>
      </c>
      <c r="BM36" s="989">
        <f t="shared" si="88"/>
        <v>52</v>
      </c>
      <c r="BN36" s="989" t="str">
        <f t="shared" si="89"/>
        <v>G</v>
      </c>
      <c r="BO36" s="989">
        <f t="shared" si="90"/>
        <v>7</v>
      </c>
      <c r="BP36" s="989" t="str">
        <f t="shared" si="71"/>
        <v>12/5.5</v>
      </c>
      <c r="BQ36" s="989">
        <f t="shared" si="91"/>
        <v>2.4</v>
      </c>
      <c r="BR36" s="989" t="b">
        <f t="shared" si="92"/>
        <v>1</v>
      </c>
      <c r="BS36" s="1303">
        <f t="shared" si="93"/>
        <v>7.75</v>
      </c>
      <c r="BT36" s="990" t="str">
        <f t="shared" si="94"/>
        <v>Yes</v>
      </c>
      <c r="BU36" s="1303">
        <f t="shared" si="95"/>
        <v>6</v>
      </c>
      <c r="BV36" s="990" t="str">
        <f t="shared" si="96"/>
        <v>Yes</v>
      </c>
      <c r="BW36" s="991">
        <f t="shared" ca="1" si="29"/>
        <v>0</v>
      </c>
      <c r="BX36" s="991" t="str">
        <f t="shared" ca="1" si="36"/>
        <v/>
      </c>
      <c r="BY36" s="991" t="b">
        <f t="shared" ca="1" si="30"/>
        <v>0</v>
      </c>
      <c r="BZ36" s="1304" t="b">
        <f t="shared" si="37"/>
        <v>0</v>
      </c>
      <c r="CB36" s="672" t="s">
        <v>1405</v>
      </c>
      <c r="CC36" s="1685">
        <v>1</v>
      </c>
      <c r="CD36" s="699" t="s">
        <v>1702</v>
      </c>
      <c r="CE36" s="700">
        <v>52</v>
      </c>
      <c r="CF36" s="1329">
        <v>0</v>
      </c>
      <c r="CG36" s="672">
        <v>6</v>
      </c>
      <c r="CH36" s="713"/>
      <c r="CI36" s="714"/>
      <c r="CJ36" s="713"/>
      <c r="CK36" s="714"/>
      <c r="CL36" s="715"/>
      <c r="CM36" s="743"/>
      <c r="CN36" s="738"/>
      <c r="CO36" s="1552"/>
      <c r="CP36" s="910"/>
      <c r="CQ36" s="672">
        <v>11</v>
      </c>
      <c r="CR36" s="713"/>
      <c r="CS36" s="714"/>
      <c r="CT36" s="713"/>
      <c r="CU36" s="714"/>
      <c r="CV36" s="715"/>
      <c r="CW36" s="743"/>
      <c r="CX36" s="738"/>
      <c r="CY36" s="1552"/>
      <c r="CZ36" s="910"/>
      <c r="DA36" s="717"/>
      <c r="DB36" s="702" t="s">
        <v>1712</v>
      </c>
      <c r="DC36" s="703"/>
      <c r="DD36" s="1599"/>
      <c r="DE36" s="1600">
        <v>11.125</v>
      </c>
      <c r="DF36" s="141"/>
      <c r="DG36" s="141"/>
      <c r="DH36" s="672"/>
      <c r="DI36" s="673"/>
      <c r="DJ36" s="692"/>
      <c r="DK36" s="1332"/>
      <c r="DL36" s="674"/>
      <c r="DM36" s="693"/>
      <c r="DN36" s="1335"/>
      <c r="DO36" s="675"/>
      <c r="DP36" s="676"/>
      <c r="DQ36" s="1420"/>
      <c r="DR36" s="677"/>
      <c r="DS36" s="1612"/>
      <c r="DT36" s="1607"/>
      <c r="DU36" s="1608"/>
      <c r="DV36" s="678"/>
      <c r="DW36" s="1337"/>
      <c r="DX36" s="679"/>
      <c r="DY36" s="674"/>
      <c r="DZ36" s="678"/>
      <c r="EA36" s="1337"/>
      <c r="EB36" s="679"/>
      <c r="EC36" s="674"/>
      <c r="ED36" s="678"/>
      <c r="EE36" s="1337"/>
      <c r="EF36" s="679"/>
      <c r="EG36" s="674"/>
      <c r="EH36" s="678"/>
      <c r="EI36" s="1337"/>
      <c r="EJ36" s="679"/>
      <c r="EK36" s="680"/>
      <c r="EL36" s="141"/>
      <c r="EM36" s="1632" t="str">
        <f t="shared" si="97"/>
        <v>G9</v>
      </c>
      <c r="EN36" s="1633" t="str">
        <f t="shared" si="72"/>
        <v/>
      </c>
      <c r="EO36" s="648" t="str">
        <f t="shared" si="73"/>
        <v/>
      </c>
      <c r="EP36" s="649" t="str">
        <f t="shared" si="74"/>
        <v/>
      </c>
      <c r="EQ36" s="813" t="str">
        <f t="shared" si="75"/>
        <v/>
      </c>
      <c r="ER36" s="1587" t="str">
        <f t="shared" si="76"/>
        <v/>
      </c>
      <c r="ES36" s="1588" t="str">
        <f t="shared" si="77"/>
        <v/>
      </c>
      <c r="ET36" s="1589" t="str">
        <f t="shared" si="78"/>
        <v/>
      </c>
      <c r="EU36" s="1590" t="str">
        <f t="shared" si="79"/>
        <v/>
      </c>
      <c r="EX36" s="503" t="str">
        <f t="shared" ca="1" si="31"/>
        <v/>
      </c>
      <c r="EY36" s="940" t="str">
        <f t="shared" si="10"/>
        <v/>
      </c>
      <c r="EZ36" s="940" t="str">
        <f t="shared" si="32"/>
        <v/>
      </c>
      <c r="FA36" s="958" t="str">
        <f t="shared" ca="1" si="38"/>
        <v/>
      </c>
      <c r="FB36" s="134" t="str">
        <f t="shared" ca="1" si="33"/>
        <v/>
      </c>
      <c r="FC36" s="134">
        <f t="shared" ca="1" si="11"/>
        <v>0</v>
      </c>
      <c r="FD36" s="134">
        <f t="shared" ca="1" si="12"/>
        <v>0</v>
      </c>
      <c r="FE36" s="134">
        <f t="shared" ca="1" si="13"/>
        <v>0</v>
      </c>
      <c r="FF36" s="134">
        <f t="shared" ca="1" si="34"/>
        <v>0</v>
      </c>
      <c r="FN36" s="993" t="b">
        <v>0</v>
      </c>
      <c r="FO36" s="754" t="b">
        <f t="shared" si="98"/>
        <v>1</v>
      </c>
      <c r="FP36" s="754" t="b">
        <v>0</v>
      </c>
      <c r="FQ36" s="754" t="b">
        <f t="shared" si="35"/>
        <v>1</v>
      </c>
      <c r="FX36" s="197"/>
      <c r="FZ36" s="2"/>
      <c r="GA36" s="581">
        <f t="shared" si="80"/>
        <v>52</v>
      </c>
      <c r="GB36" s="623">
        <f t="shared" si="81"/>
        <v>0</v>
      </c>
      <c r="GC36" s="625">
        <f t="shared" si="82"/>
        <v>-0.25</v>
      </c>
      <c r="GD36" s="626">
        <f t="shared" si="83"/>
        <v>-8.375</v>
      </c>
      <c r="GE36" s="624">
        <f t="shared" si="84"/>
        <v>0</v>
      </c>
      <c r="GF36" s="582" t="str">
        <f t="shared" si="85"/>
        <v>G9</v>
      </c>
      <c r="GG36" s="692">
        <v>0</v>
      </c>
      <c r="GH36" s="1136">
        <v>0</v>
      </c>
      <c r="GI36" s="692"/>
      <c r="GJ36" s="1136"/>
      <c r="GK36" s="1641">
        <f t="shared" si="86"/>
        <v>615.375</v>
      </c>
      <c r="GL36" s="1641">
        <f t="shared" si="87"/>
        <v>615.375</v>
      </c>
      <c r="GM36" s="1642">
        <f>IF(ABS(GK36-GL36)&gt;='Job Info.'!$L$22,ABS(GK36-GL36),0)</f>
        <v>0</v>
      </c>
      <c r="HA36" s="1242" t="s">
        <v>1405</v>
      </c>
      <c r="HB36" s="1243">
        <v>1</v>
      </c>
      <c r="HC36" s="1243" t="s">
        <v>1702</v>
      </c>
      <c r="HD36" s="1244">
        <v>52</v>
      </c>
      <c r="HE36" s="1245">
        <v>0</v>
      </c>
      <c r="HF36" s="1243">
        <v>6</v>
      </c>
      <c r="HG36" s="1243"/>
      <c r="HH36" s="1243"/>
      <c r="HI36" s="1243"/>
      <c r="HJ36" s="1243"/>
      <c r="HK36" s="1243"/>
      <c r="HL36" s="1243"/>
      <c r="HM36" s="1243"/>
      <c r="HN36" s="1243"/>
      <c r="HO36" s="1243"/>
      <c r="HP36" s="1243">
        <v>11</v>
      </c>
      <c r="HQ36" s="1243"/>
      <c r="HR36" s="1243"/>
      <c r="HS36" s="1243"/>
      <c r="HT36" s="1243"/>
      <c r="HU36" s="1243"/>
      <c r="HV36" s="1243"/>
      <c r="HW36" s="1243"/>
      <c r="HX36" s="1243"/>
      <c r="HY36" s="1247"/>
      <c r="HZ36" s="1247"/>
      <c r="IA36" s="1247" t="s">
        <v>1712</v>
      </c>
      <c r="IB36" s="1247"/>
      <c r="IC36" s="1247"/>
      <c r="ID36" s="1248">
        <v>11.125</v>
      </c>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39"/>
        <v>0</v>
      </c>
    </row>
    <row r="37" spans="1:272" ht="12.6" customHeight="1" x14ac:dyDescent="0.25">
      <c r="A37" s="2683" t="str">
        <f t="shared" si="48"/>
        <v>G10</v>
      </c>
      <c r="B37" s="2684">
        <f t="shared" si="48"/>
        <v>1</v>
      </c>
      <c r="C37" s="2685" t="s">
        <v>1702</v>
      </c>
      <c r="D37" s="2686">
        <f t="shared" si="49"/>
        <v>51</v>
      </c>
      <c r="E37" s="2687">
        <f t="shared" si="50"/>
        <v>11.5</v>
      </c>
      <c r="F37" s="2688">
        <f t="shared" si="51"/>
        <v>11.125</v>
      </c>
      <c r="G37" s="2689">
        <f t="shared" si="52"/>
        <v>0</v>
      </c>
      <c r="H37" s="2690">
        <f t="shared" si="53"/>
        <v>1.75</v>
      </c>
      <c r="I37" s="2691" t="str">
        <f t="shared" si="54"/>
        <v>R</v>
      </c>
      <c r="J37" s="2686">
        <f t="shared" si="55"/>
        <v>0</v>
      </c>
      <c r="K37" s="2690">
        <f t="shared" si="56"/>
        <v>1.75</v>
      </c>
      <c r="L37" s="2692" t="str">
        <f t="shared" si="57"/>
        <v>R</v>
      </c>
      <c r="M37" s="2693">
        <f t="shared" si="58"/>
        <v>7.5</v>
      </c>
      <c r="N37" s="2694">
        <f t="shared" si="58"/>
        <v>7.5</v>
      </c>
      <c r="O37" s="2689">
        <f t="shared" si="59"/>
        <v>0</v>
      </c>
      <c r="P37" s="2690">
        <f t="shared" si="60"/>
        <v>6.75</v>
      </c>
      <c r="Q37" s="2686">
        <f t="shared" si="61"/>
        <v>0</v>
      </c>
      <c r="R37" s="2687">
        <f t="shared" si="62"/>
        <v>6.75</v>
      </c>
      <c r="S37" s="2695">
        <f t="shared" si="63"/>
        <v>0</v>
      </c>
      <c r="T37" s="2690">
        <f t="shared" si="64"/>
        <v>6.25</v>
      </c>
      <c r="U37" s="2686">
        <f t="shared" si="65"/>
        <v>0</v>
      </c>
      <c r="V37" s="2690">
        <f t="shared" si="66"/>
        <v>6.25</v>
      </c>
      <c r="W37" s="2694">
        <f t="shared" si="67"/>
        <v>5</v>
      </c>
      <c r="X37" s="2696" t="str">
        <f t="shared" si="68"/>
        <v/>
      </c>
      <c r="Y37" s="2697" t="str">
        <f t="shared" si="69"/>
        <v/>
      </c>
      <c r="Z37" s="2698" t="s">
        <v>1873</v>
      </c>
      <c r="AA37" s="2699" t="str">
        <f t="shared" si="70"/>
        <v/>
      </c>
      <c r="AB37" s="2683" t="str">
        <f t="shared" si="14"/>
        <v/>
      </c>
      <c r="AC37" s="2691" t="str">
        <f t="shared" si="3"/>
        <v/>
      </c>
      <c r="AD37" s="2686" t="str">
        <f t="shared" ca="1" si="40"/>
        <v/>
      </c>
      <c r="AE37" s="2690" t="str">
        <f t="shared" ca="1" si="41"/>
        <v/>
      </c>
      <c r="AF37" s="2691" t="str">
        <f t="shared" ca="1" si="42"/>
        <v/>
      </c>
      <c r="AG37" s="2686" t="str">
        <f t="shared" ca="1" si="43"/>
        <v/>
      </c>
      <c r="AH37" s="2690" t="str">
        <f t="shared" ca="1" si="44"/>
        <v/>
      </c>
      <c r="AI37" s="2686" t="str">
        <f t="shared" ca="1" si="45"/>
        <v/>
      </c>
      <c r="AJ37" s="2690" t="str">
        <f t="shared" ca="1" si="46"/>
        <v/>
      </c>
      <c r="AK37" s="2732" t="str">
        <f t="shared" si="15"/>
        <v/>
      </c>
      <c r="AL37" s="2733" t="str">
        <f t="shared" si="4"/>
        <v/>
      </c>
      <c r="AM37" s="2734" t="str">
        <f t="shared" si="100"/>
        <v/>
      </c>
      <c r="AN37" s="2691" t="str">
        <f t="shared" si="100"/>
        <v/>
      </c>
      <c r="AO37" s="2735" t="str">
        <f t="shared" si="100"/>
        <v/>
      </c>
      <c r="AP37" s="2693" t="str">
        <f t="shared" si="5"/>
        <v/>
      </c>
      <c r="AQ37" s="2736" t="str">
        <f t="shared" si="5"/>
        <v/>
      </c>
      <c r="AR37" s="2689" t="str">
        <f t="shared" si="17"/>
        <v/>
      </c>
      <c r="AS37" s="2690" t="str">
        <f t="shared" si="18"/>
        <v/>
      </c>
      <c r="AT37" s="2737" t="str">
        <f t="shared" si="19"/>
        <v/>
      </c>
      <c r="AU37" s="2738" t="str">
        <f t="shared" si="6"/>
        <v/>
      </c>
      <c r="AV37" s="2695" t="str">
        <f t="shared" si="20"/>
        <v/>
      </c>
      <c r="AW37" s="2690" t="str">
        <f t="shared" si="21"/>
        <v/>
      </c>
      <c r="AX37" s="2737" t="str">
        <f t="shared" si="22"/>
        <v/>
      </c>
      <c r="AY37" s="2738" t="str">
        <f t="shared" si="7"/>
        <v/>
      </c>
      <c r="AZ37" s="2695" t="str">
        <f t="shared" si="23"/>
        <v/>
      </c>
      <c r="BA37" s="2690" t="str">
        <f t="shared" si="24"/>
        <v/>
      </c>
      <c r="BB37" s="2737" t="str">
        <f t="shared" si="25"/>
        <v/>
      </c>
      <c r="BC37" s="2738" t="str">
        <f t="shared" si="8"/>
        <v/>
      </c>
      <c r="BD37" s="2695" t="str">
        <f t="shared" si="26"/>
        <v/>
      </c>
      <c r="BE37" s="2690" t="str">
        <f t="shared" si="27"/>
        <v/>
      </c>
      <c r="BF37" s="2737" t="str">
        <f t="shared" si="28"/>
        <v/>
      </c>
      <c r="BG37" s="2738" t="str">
        <f t="shared" si="9"/>
        <v/>
      </c>
      <c r="BH37" s="261"/>
      <c r="BJ37" s="1302" t="str">
        <f t="shared" si="99"/>
        <v>G10</v>
      </c>
      <c r="BK37" s="993" t="b">
        <f t="shared" si="101"/>
        <v>0</v>
      </c>
      <c r="BL37" s="1784" t="b">
        <v>0</v>
      </c>
      <c r="BM37" s="989">
        <f t="shared" si="88"/>
        <v>52</v>
      </c>
      <c r="BN37" s="989" t="str">
        <f t="shared" si="89"/>
        <v>G</v>
      </c>
      <c r="BO37" s="989">
        <f t="shared" si="90"/>
        <v>7</v>
      </c>
      <c r="BP37" s="989" t="str">
        <f t="shared" si="71"/>
        <v>12/5.5</v>
      </c>
      <c r="BQ37" s="989">
        <f t="shared" si="91"/>
        <v>2.4</v>
      </c>
      <c r="BR37" s="989" t="b">
        <f t="shared" si="92"/>
        <v>1</v>
      </c>
      <c r="BS37" s="1303">
        <f t="shared" si="93"/>
        <v>7.75</v>
      </c>
      <c r="BT37" s="990" t="str">
        <f t="shared" si="94"/>
        <v>Yes</v>
      </c>
      <c r="BU37" s="1303">
        <f t="shared" si="95"/>
        <v>7.75</v>
      </c>
      <c r="BV37" s="990" t="str">
        <f t="shared" si="96"/>
        <v>Yes</v>
      </c>
      <c r="BW37" s="991">
        <f t="shared" ca="1" si="29"/>
        <v>0</v>
      </c>
      <c r="BX37" s="991" t="str">
        <f t="shared" ca="1" si="36"/>
        <v/>
      </c>
      <c r="BY37" s="991" t="b">
        <f t="shared" ca="1" si="30"/>
        <v>0</v>
      </c>
      <c r="BZ37" s="1304" t="b">
        <f t="shared" si="37"/>
        <v>0</v>
      </c>
      <c r="CB37" s="672" t="s">
        <v>1406</v>
      </c>
      <c r="CC37" s="1685">
        <v>1</v>
      </c>
      <c r="CD37" s="699" t="s">
        <v>1702</v>
      </c>
      <c r="CE37" s="700">
        <v>52</v>
      </c>
      <c r="CF37" s="1329">
        <v>0</v>
      </c>
      <c r="CG37" s="672">
        <v>6</v>
      </c>
      <c r="CH37" s="713"/>
      <c r="CI37" s="714"/>
      <c r="CJ37" s="713"/>
      <c r="CK37" s="714"/>
      <c r="CL37" s="715"/>
      <c r="CM37" s="743"/>
      <c r="CN37" s="738"/>
      <c r="CO37" s="1552"/>
      <c r="CP37" s="910"/>
      <c r="CQ37" s="672">
        <v>6</v>
      </c>
      <c r="CR37" s="713"/>
      <c r="CS37" s="714"/>
      <c r="CT37" s="713"/>
      <c r="CU37" s="714"/>
      <c r="CV37" s="715"/>
      <c r="CW37" s="743"/>
      <c r="CX37" s="738"/>
      <c r="CY37" s="1552"/>
      <c r="CZ37" s="910"/>
      <c r="DA37" s="717"/>
      <c r="DB37" s="702" t="s">
        <v>1710</v>
      </c>
      <c r="DC37" s="703"/>
      <c r="DD37" s="1599"/>
      <c r="DE37" s="1600">
        <v>11.125</v>
      </c>
      <c r="DF37" s="141"/>
      <c r="DG37" s="141"/>
      <c r="DH37" s="672"/>
      <c r="DI37" s="673"/>
      <c r="DJ37" s="692"/>
      <c r="DK37" s="1332"/>
      <c r="DL37" s="674"/>
      <c r="DM37" s="693"/>
      <c r="DN37" s="1335"/>
      <c r="DO37" s="675"/>
      <c r="DP37" s="676"/>
      <c r="DQ37" s="1420"/>
      <c r="DR37" s="677"/>
      <c r="DS37" s="1612"/>
      <c r="DT37" s="1607"/>
      <c r="DU37" s="1608"/>
      <c r="DV37" s="678"/>
      <c r="DW37" s="1337"/>
      <c r="DX37" s="679"/>
      <c r="DY37" s="674"/>
      <c r="DZ37" s="678"/>
      <c r="EA37" s="1337"/>
      <c r="EB37" s="679"/>
      <c r="EC37" s="674"/>
      <c r="ED37" s="678"/>
      <c r="EE37" s="1337"/>
      <c r="EF37" s="679"/>
      <c r="EG37" s="674"/>
      <c r="EH37" s="678"/>
      <c r="EI37" s="1337"/>
      <c r="EJ37" s="679"/>
      <c r="EK37" s="680"/>
      <c r="EL37" s="141"/>
      <c r="EM37" s="1632" t="str">
        <f t="shared" si="97"/>
        <v>G10</v>
      </c>
      <c r="EN37" s="1633" t="str">
        <f t="shared" si="72"/>
        <v/>
      </c>
      <c r="EO37" s="648" t="str">
        <f t="shared" si="73"/>
        <v/>
      </c>
      <c r="EP37" s="649" t="str">
        <f t="shared" si="74"/>
        <v/>
      </c>
      <c r="EQ37" s="813" t="str">
        <f t="shared" si="75"/>
        <v/>
      </c>
      <c r="ER37" s="1587" t="str">
        <f t="shared" si="76"/>
        <v/>
      </c>
      <c r="ES37" s="1588" t="str">
        <f t="shared" si="77"/>
        <v/>
      </c>
      <c r="ET37" s="1589" t="str">
        <f t="shared" si="78"/>
        <v/>
      </c>
      <c r="EU37" s="1590" t="str">
        <f t="shared" si="79"/>
        <v/>
      </c>
      <c r="EX37" s="503" t="str">
        <f t="shared" ca="1" si="31"/>
        <v/>
      </c>
      <c r="EY37" s="940" t="str">
        <f t="shared" si="10"/>
        <v/>
      </c>
      <c r="EZ37" s="940" t="str">
        <f t="shared" si="32"/>
        <v/>
      </c>
      <c r="FA37" s="958" t="str">
        <f t="shared" ca="1" si="38"/>
        <v/>
      </c>
      <c r="FB37" s="134" t="str">
        <f t="shared" ca="1" si="33"/>
        <v/>
      </c>
      <c r="FC37" s="134">
        <f t="shared" ca="1" si="11"/>
        <v>0</v>
      </c>
      <c r="FD37" s="134">
        <f t="shared" ca="1" si="12"/>
        <v>0</v>
      </c>
      <c r="FE37" s="134">
        <f t="shared" ca="1" si="13"/>
        <v>0</v>
      </c>
      <c r="FF37" s="134">
        <f t="shared" ca="1" si="34"/>
        <v>0</v>
      </c>
      <c r="FN37" s="993" t="b">
        <v>0</v>
      </c>
      <c r="FO37" s="754" t="b">
        <f t="shared" si="98"/>
        <v>1</v>
      </c>
      <c r="FP37" s="754" t="b">
        <v>0</v>
      </c>
      <c r="FQ37" s="754" t="b">
        <f t="shared" si="35"/>
        <v>1</v>
      </c>
      <c r="FX37" s="197"/>
      <c r="FZ37" s="2"/>
      <c r="GA37" s="581">
        <f t="shared" si="80"/>
        <v>52</v>
      </c>
      <c r="GB37" s="623">
        <f t="shared" si="81"/>
        <v>0</v>
      </c>
      <c r="GC37" s="625">
        <f t="shared" si="82"/>
        <v>-0.25</v>
      </c>
      <c r="GD37" s="626">
        <f t="shared" si="83"/>
        <v>-0.25</v>
      </c>
      <c r="GE37" s="624">
        <f t="shared" si="84"/>
        <v>0</v>
      </c>
      <c r="GF37" s="582" t="str">
        <f t="shared" si="85"/>
        <v>G10</v>
      </c>
      <c r="GG37" s="692">
        <v>0</v>
      </c>
      <c r="GH37" s="1136">
        <v>0</v>
      </c>
      <c r="GI37" s="692"/>
      <c r="GJ37" s="1136"/>
      <c r="GK37" s="1641">
        <f t="shared" si="86"/>
        <v>623.5</v>
      </c>
      <c r="GL37" s="1641">
        <f t="shared" si="87"/>
        <v>623.5</v>
      </c>
      <c r="GM37" s="1642">
        <f>IF(ABS(GK37-GL37)&gt;='Job Info.'!$L$22,ABS(GK37-GL37),0)</f>
        <v>0</v>
      </c>
      <c r="HA37" s="1242" t="s">
        <v>1406</v>
      </c>
      <c r="HB37" s="1243">
        <v>1</v>
      </c>
      <c r="HC37" s="1243" t="s">
        <v>1702</v>
      </c>
      <c r="HD37" s="1244">
        <v>52</v>
      </c>
      <c r="HE37" s="1245">
        <v>0</v>
      </c>
      <c r="HF37" s="1243">
        <v>6</v>
      </c>
      <c r="HG37" s="1243"/>
      <c r="HH37" s="1243"/>
      <c r="HI37" s="1243"/>
      <c r="HJ37" s="1243"/>
      <c r="HK37" s="1243"/>
      <c r="HL37" s="1243"/>
      <c r="HM37" s="1243"/>
      <c r="HN37" s="1243"/>
      <c r="HO37" s="1243"/>
      <c r="HP37" s="1243">
        <v>6</v>
      </c>
      <c r="HQ37" s="1243"/>
      <c r="HR37" s="1243"/>
      <c r="HS37" s="1243"/>
      <c r="HT37" s="1243"/>
      <c r="HU37" s="1243"/>
      <c r="HV37" s="1243"/>
      <c r="HW37" s="1243"/>
      <c r="HX37" s="1243"/>
      <c r="HY37" s="1247"/>
      <c r="HZ37" s="1247"/>
      <c r="IA37" s="1247" t="s">
        <v>1710</v>
      </c>
      <c r="IB37" s="1247"/>
      <c r="IC37" s="1247"/>
      <c r="ID37" s="1248">
        <v>11.125</v>
      </c>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39"/>
        <v>0</v>
      </c>
    </row>
    <row r="38" spans="1:272" ht="12.6" customHeight="1" x14ac:dyDescent="0.25">
      <c r="A38" s="2683" t="str">
        <f t="shared" si="48"/>
        <v>G11</v>
      </c>
      <c r="B38" s="2684">
        <f t="shared" si="48"/>
        <v>2</v>
      </c>
      <c r="C38" s="2685" t="s">
        <v>1702</v>
      </c>
      <c r="D38" s="2686">
        <f t="shared" si="49"/>
        <v>51</v>
      </c>
      <c r="E38" s="2687">
        <f t="shared" si="50"/>
        <v>11.5</v>
      </c>
      <c r="F38" s="2688">
        <f t="shared" si="51"/>
        <v>11.125</v>
      </c>
      <c r="G38" s="2689">
        <f t="shared" si="52"/>
        <v>0</v>
      </c>
      <c r="H38" s="2690">
        <f t="shared" si="53"/>
        <v>1.75</v>
      </c>
      <c r="I38" s="2691" t="str">
        <f t="shared" si="54"/>
        <v>R</v>
      </c>
      <c r="J38" s="2686">
        <f t="shared" si="55"/>
        <v>0</v>
      </c>
      <c r="K38" s="2690">
        <f t="shared" si="56"/>
        <v>1.75</v>
      </c>
      <c r="L38" s="2692" t="str">
        <f t="shared" si="57"/>
        <v>R</v>
      </c>
      <c r="M38" s="2693">
        <f t="shared" si="58"/>
        <v>7.5</v>
      </c>
      <c r="N38" s="2694">
        <f t="shared" si="58"/>
        <v>7.5</v>
      </c>
      <c r="O38" s="2689">
        <f t="shared" si="59"/>
        <v>0</v>
      </c>
      <c r="P38" s="2690">
        <f t="shared" si="60"/>
        <v>6.75</v>
      </c>
      <c r="Q38" s="2686">
        <f t="shared" si="61"/>
        <v>0</v>
      </c>
      <c r="R38" s="2687">
        <f t="shared" si="62"/>
        <v>6.75</v>
      </c>
      <c r="S38" s="2695">
        <f t="shared" si="63"/>
        <v>0</v>
      </c>
      <c r="T38" s="2690">
        <f t="shared" si="64"/>
        <v>6.25</v>
      </c>
      <c r="U38" s="2686">
        <f t="shared" si="65"/>
        <v>0</v>
      </c>
      <c r="V38" s="2690">
        <f t="shared" si="66"/>
        <v>6.25</v>
      </c>
      <c r="W38" s="2694">
        <f t="shared" si="67"/>
        <v>5</v>
      </c>
      <c r="X38" s="2696" t="str">
        <f t="shared" si="68"/>
        <v/>
      </c>
      <c r="Y38" s="2697" t="str">
        <f t="shared" si="69"/>
        <v/>
      </c>
      <c r="Z38" s="2698" t="s">
        <v>1874</v>
      </c>
      <c r="AA38" s="2699" t="str">
        <f t="shared" si="70"/>
        <v/>
      </c>
      <c r="AB38" s="2683" t="str">
        <f t="shared" si="14"/>
        <v/>
      </c>
      <c r="AC38" s="2691" t="str">
        <f t="shared" si="3"/>
        <v/>
      </c>
      <c r="AD38" s="2686" t="str">
        <f t="shared" ca="1" si="40"/>
        <v/>
      </c>
      <c r="AE38" s="2690" t="str">
        <f t="shared" ca="1" si="41"/>
        <v/>
      </c>
      <c r="AF38" s="2691" t="str">
        <f t="shared" ca="1" si="42"/>
        <v/>
      </c>
      <c r="AG38" s="2686" t="str">
        <f t="shared" ca="1" si="43"/>
        <v/>
      </c>
      <c r="AH38" s="2690" t="str">
        <f t="shared" ca="1" si="44"/>
        <v/>
      </c>
      <c r="AI38" s="2686" t="str">
        <f t="shared" ca="1" si="45"/>
        <v/>
      </c>
      <c r="AJ38" s="2690" t="str">
        <f t="shared" ca="1" si="46"/>
        <v/>
      </c>
      <c r="AK38" s="2732" t="str">
        <f t="shared" si="15"/>
        <v/>
      </c>
      <c r="AL38" s="2733" t="str">
        <f t="shared" si="4"/>
        <v/>
      </c>
      <c r="AM38" s="2734" t="str">
        <f t="shared" si="100"/>
        <v/>
      </c>
      <c r="AN38" s="2691" t="str">
        <f t="shared" si="100"/>
        <v/>
      </c>
      <c r="AO38" s="2735" t="str">
        <f t="shared" si="100"/>
        <v/>
      </c>
      <c r="AP38" s="2693" t="str">
        <f t="shared" si="5"/>
        <v/>
      </c>
      <c r="AQ38" s="2736" t="str">
        <f t="shared" si="5"/>
        <v/>
      </c>
      <c r="AR38" s="2689" t="str">
        <f t="shared" si="17"/>
        <v/>
      </c>
      <c r="AS38" s="2690" t="str">
        <f t="shared" si="18"/>
        <v/>
      </c>
      <c r="AT38" s="2737" t="str">
        <f t="shared" si="19"/>
        <v/>
      </c>
      <c r="AU38" s="2738" t="str">
        <f t="shared" si="6"/>
        <v/>
      </c>
      <c r="AV38" s="2695" t="str">
        <f t="shared" si="20"/>
        <v/>
      </c>
      <c r="AW38" s="2690" t="str">
        <f t="shared" si="21"/>
        <v/>
      </c>
      <c r="AX38" s="2737" t="str">
        <f t="shared" si="22"/>
        <v/>
      </c>
      <c r="AY38" s="2738" t="str">
        <f t="shared" si="7"/>
        <v/>
      </c>
      <c r="AZ38" s="2695" t="str">
        <f t="shared" si="23"/>
        <v/>
      </c>
      <c r="BA38" s="2690" t="str">
        <f t="shared" si="24"/>
        <v/>
      </c>
      <c r="BB38" s="2737" t="str">
        <f t="shared" si="25"/>
        <v/>
      </c>
      <c r="BC38" s="2738" t="str">
        <f t="shared" si="8"/>
        <v/>
      </c>
      <c r="BD38" s="2695" t="str">
        <f t="shared" si="26"/>
        <v/>
      </c>
      <c r="BE38" s="2690" t="str">
        <f t="shared" si="27"/>
        <v/>
      </c>
      <c r="BF38" s="2737" t="str">
        <f t="shared" si="28"/>
        <v/>
      </c>
      <c r="BG38" s="2738" t="str">
        <f t="shared" si="9"/>
        <v/>
      </c>
      <c r="BH38" s="261"/>
      <c r="BJ38" s="1302" t="str">
        <f t="shared" si="99"/>
        <v>G11</v>
      </c>
      <c r="BK38" s="993" t="b">
        <f t="shared" si="101"/>
        <v>0</v>
      </c>
      <c r="BL38" s="1784" t="b">
        <v>0</v>
      </c>
      <c r="BM38" s="989">
        <f t="shared" si="88"/>
        <v>52</v>
      </c>
      <c r="BN38" s="989" t="str">
        <f t="shared" si="89"/>
        <v>G</v>
      </c>
      <c r="BO38" s="989">
        <f t="shared" si="90"/>
        <v>7</v>
      </c>
      <c r="BP38" s="989" t="str">
        <f t="shared" si="71"/>
        <v>12/5.5</v>
      </c>
      <c r="BQ38" s="989">
        <f t="shared" si="91"/>
        <v>2.4</v>
      </c>
      <c r="BR38" s="989" t="b">
        <f t="shared" si="92"/>
        <v>1</v>
      </c>
      <c r="BS38" s="1303">
        <f t="shared" si="93"/>
        <v>7.75</v>
      </c>
      <c r="BT38" s="990" t="str">
        <f t="shared" si="94"/>
        <v>Yes</v>
      </c>
      <c r="BU38" s="1303">
        <f t="shared" si="95"/>
        <v>7.75</v>
      </c>
      <c r="BV38" s="990" t="str">
        <f t="shared" si="96"/>
        <v>Yes</v>
      </c>
      <c r="BW38" s="991">
        <f t="shared" ca="1" si="29"/>
        <v>0</v>
      </c>
      <c r="BX38" s="991" t="str">
        <f t="shared" ca="1" si="36"/>
        <v/>
      </c>
      <c r="BY38" s="991" t="b">
        <f t="shared" ca="1" si="30"/>
        <v>0</v>
      </c>
      <c r="BZ38" s="1304" t="b">
        <f t="shared" si="37"/>
        <v>0</v>
      </c>
      <c r="CB38" s="672" t="s">
        <v>1407</v>
      </c>
      <c r="CC38" s="1685">
        <v>2</v>
      </c>
      <c r="CD38" s="699" t="s">
        <v>1702</v>
      </c>
      <c r="CE38" s="700">
        <v>52</v>
      </c>
      <c r="CF38" s="1329">
        <v>0</v>
      </c>
      <c r="CG38" s="672">
        <v>6</v>
      </c>
      <c r="CH38" s="713"/>
      <c r="CI38" s="714"/>
      <c r="CJ38" s="713"/>
      <c r="CK38" s="714"/>
      <c r="CL38" s="715"/>
      <c r="CM38" s="743"/>
      <c r="CN38" s="738"/>
      <c r="CO38" s="1552"/>
      <c r="CP38" s="910"/>
      <c r="CQ38" s="672">
        <v>6</v>
      </c>
      <c r="CR38" s="713"/>
      <c r="CS38" s="714"/>
      <c r="CT38" s="713"/>
      <c r="CU38" s="714"/>
      <c r="CV38" s="715"/>
      <c r="CW38" s="743"/>
      <c r="CX38" s="738"/>
      <c r="CY38" s="1552"/>
      <c r="CZ38" s="910"/>
      <c r="DA38" s="717"/>
      <c r="DB38" s="702">
        <v>9</v>
      </c>
      <c r="DC38" s="703"/>
      <c r="DD38" s="1599"/>
      <c r="DE38" s="1600">
        <v>11.125</v>
      </c>
      <c r="DF38" s="141"/>
      <c r="DG38" s="141"/>
      <c r="DH38" s="672"/>
      <c r="DI38" s="673"/>
      <c r="DJ38" s="692"/>
      <c r="DK38" s="1332"/>
      <c r="DL38" s="674"/>
      <c r="DM38" s="693"/>
      <c r="DN38" s="1335"/>
      <c r="DO38" s="675"/>
      <c r="DP38" s="676"/>
      <c r="DQ38" s="1420"/>
      <c r="DR38" s="677"/>
      <c r="DS38" s="1612"/>
      <c r="DT38" s="1607"/>
      <c r="DU38" s="1608"/>
      <c r="DV38" s="678"/>
      <c r="DW38" s="1337"/>
      <c r="DX38" s="679"/>
      <c r="DY38" s="674"/>
      <c r="DZ38" s="678"/>
      <c r="EA38" s="1337"/>
      <c r="EB38" s="679"/>
      <c r="EC38" s="674"/>
      <c r="ED38" s="678"/>
      <c r="EE38" s="1337"/>
      <c r="EF38" s="679"/>
      <c r="EG38" s="674"/>
      <c r="EH38" s="678"/>
      <c r="EI38" s="1337"/>
      <c r="EJ38" s="679"/>
      <c r="EK38" s="680"/>
      <c r="EL38" s="141"/>
      <c r="EM38" s="1632" t="str">
        <f t="shared" si="97"/>
        <v>G11</v>
      </c>
      <c r="EN38" s="1633" t="str">
        <f t="shared" si="72"/>
        <v/>
      </c>
      <c r="EO38" s="648" t="str">
        <f t="shared" si="73"/>
        <v/>
      </c>
      <c r="EP38" s="649" t="str">
        <f t="shared" si="74"/>
        <v/>
      </c>
      <c r="EQ38" s="813" t="str">
        <f t="shared" si="75"/>
        <v/>
      </c>
      <c r="ER38" s="1587" t="str">
        <f t="shared" si="76"/>
        <v/>
      </c>
      <c r="ES38" s="1588" t="str">
        <f t="shared" si="77"/>
        <v/>
      </c>
      <c r="ET38" s="1589" t="str">
        <f t="shared" si="78"/>
        <v/>
      </c>
      <c r="EU38" s="1590" t="str">
        <f t="shared" si="79"/>
        <v/>
      </c>
      <c r="EX38" s="503" t="str">
        <f t="shared" ca="1" si="31"/>
        <v/>
      </c>
      <c r="EY38" s="940" t="str">
        <f t="shared" si="10"/>
        <v/>
      </c>
      <c r="EZ38" s="940" t="str">
        <f t="shared" si="32"/>
        <v/>
      </c>
      <c r="FA38" s="958" t="str">
        <f t="shared" ca="1" si="38"/>
        <v/>
      </c>
      <c r="FB38" s="134" t="str">
        <f t="shared" ca="1" si="33"/>
        <v/>
      </c>
      <c r="FC38" s="134">
        <f t="shared" ca="1" si="11"/>
        <v>0</v>
      </c>
      <c r="FD38" s="134">
        <f t="shared" ca="1" si="12"/>
        <v>0</v>
      </c>
      <c r="FE38" s="134">
        <f t="shared" ca="1" si="13"/>
        <v>0</v>
      </c>
      <c r="FF38" s="134">
        <f t="shared" ca="1" si="34"/>
        <v>0</v>
      </c>
      <c r="FN38" s="993" t="b">
        <v>0</v>
      </c>
      <c r="FO38" s="754" t="b">
        <f t="shared" si="98"/>
        <v>1</v>
      </c>
      <c r="FP38" s="754" t="b">
        <v>0</v>
      </c>
      <c r="FQ38" s="754" t="b">
        <f t="shared" si="35"/>
        <v>1</v>
      </c>
      <c r="FX38" s="197"/>
      <c r="FZ38" s="2"/>
      <c r="GA38" s="581">
        <f t="shared" si="80"/>
        <v>52</v>
      </c>
      <c r="GB38" s="623">
        <f t="shared" si="81"/>
        <v>0</v>
      </c>
      <c r="GC38" s="625">
        <f t="shared" si="82"/>
        <v>-0.25</v>
      </c>
      <c r="GD38" s="626">
        <f t="shared" si="83"/>
        <v>-0.25</v>
      </c>
      <c r="GE38" s="624">
        <f t="shared" si="84"/>
        <v>0</v>
      </c>
      <c r="GF38" s="582" t="str">
        <f t="shared" si="85"/>
        <v>G11</v>
      </c>
      <c r="GG38" s="692">
        <v>0</v>
      </c>
      <c r="GH38" s="1136">
        <v>0</v>
      </c>
      <c r="GI38" s="692"/>
      <c r="GJ38" s="1136"/>
      <c r="GK38" s="1641">
        <f t="shared" si="86"/>
        <v>623.5</v>
      </c>
      <c r="GL38" s="1641">
        <f t="shared" si="87"/>
        <v>623.5</v>
      </c>
      <c r="GM38" s="1642">
        <f>IF(ABS(GK38-GL38)&gt;='Job Info.'!$L$22,ABS(GK38-GL38),0)</f>
        <v>0</v>
      </c>
      <c r="HA38" s="1242" t="s">
        <v>1407</v>
      </c>
      <c r="HB38" s="1243">
        <v>2</v>
      </c>
      <c r="HC38" s="1243" t="s">
        <v>1702</v>
      </c>
      <c r="HD38" s="1244">
        <v>52</v>
      </c>
      <c r="HE38" s="1245">
        <v>0</v>
      </c>
      <c r="HF38" s="1243">
        <v>6</v>
      </c>
      <c r="HG38" s="1243"/>
      <c r="HH38" s="1243"/>
      <c r="HI38" s="1243"/>
      <c r="HJ38" s="1243"/>
      <c r="HK38" s="1243"/>
      <c r="HL38" s="1243"/>
      <c r="HM38" s="1243"/>
      <c r="HN38" s="1243"/>
      <c r="HO38" s="1243"/>
      <c r="HP38" s="1243">
        <v>6</v>
      </c>
      <c r="HQ38" s="1243"/>
      <c r="HR38" s="1243"/>
      <c r="HS38" s="1243"/>
      <c r="HT38" s="1243"/>
      <c r="HU38" s="1243"/>
      <c r="HV38" s="1243"/>
      <c r="HW38" s="1243"/>
      <c r="HX38" s="1243"/>
      <c r="HY38" s="1247"/>
      <c r="HZ38" s="1247"/>
      <c r="IA38" s="1247">
        <v>9</v>
      </c>
      <c r="IB38" s="1247"/>
      <c r="IC38" s="1247"/>
      <c r="ID38" s="1248">
        <v>11.125</v>
      </c>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39"/>
        <v>0</v>
      </c>
    </row>
    <row r="39" spans="1:272" ht="12.6" customHeight="1" x14ac:dyDescent="0.25">
      <c r="A39" s="2683" t="str">
        <f t="shared" si="48"/>
        <v>G12</v>
      </c>
      <c r="B39" s="2684">
        <f t="shared" si="48"/>
        <v>2</v>
      </c>
      <c r="C39" s="2685" t="s">
        <v>1702</v>
      </c>
      <c r="D39" s="2686">
        <f t="shared" si="49"/>
        <v>51</v>
      </c>
      <c r="E39" s="2687">
        <f t="shared" si="50"/>
        <v>11.5</v>
      </c>
      <c r="F39" s="2688">
        <f t="shared" si="51"/>
        <v>11.125</v>
      </c>
      <c r="G39" s="2689">
        <f t="shared" si="52"/>
        <v>0</v>
      </c>
      <c r="H39" s="2690">
        <f t="shared" si="53"/>
        <v>1.75</v>
      </c>
      <c r="I39" s="2691" t="str">
        <f t="shared" si="54"/>
        <v>R</v>
      </c>
      <c r="J39" s="2686">
        <f t="shared" si="55"/>
        <v>0</v>
      </c>
      <c r="K39" s="2690">
        <f t="shared" si="56"/>
        <v>1.75</v>
      </c>
      <c r="L39" s="2692" t="str">
        <f t="shared" si="57"/>
        <v>R</v>
      </c>
      <c r="M39" s="2693">
        <f t="shared" si="58"/>
        <v>7.5</v>
      </c>
      <c r="N39" s="2694">
        <f t="shared" si="58"/>
        <v>7.5</v>
      </c>
      <c r="O39" s="2689">
        <f t="shared" si="59"/>
        <v>0</v>
      </c>
      <c r="P39" s="2690">
        <f t="shared" si="60"/>
        <v>6.75</v>
      </c>
      <c r="Q39" s="2686">
        <f t="shared" si="61"/>
        <v>0</v>
      </c>
      <c r="R39" s="2687">
        <f t="shared" si="62"/>
        <v>6.75</v>
      </c>
      <c r="S39" s="2695">
        <f t="shared" si="63"/>
        <v>0</v>
      </c>
      <c r="T39" s="2690">
        <f t="shared" si="64"/>
        <v>6.25</v>
      </c>
      <c r="U39" s="2686">
        <f t="shared" si="65"/>
        <v>0</v>
      </c>
      <c r="V39" s="2690">
        <f t="shared" si="66"/>
        <v>6.25</v>
      </c>
      <c r="W39" s="2694">
        <f t="shared" si="67"/>
        <v>5</v>
      </c>
      <c r="X39" s="2696" t="str">
        <f t="shared" si="68"/>
        <v/>
      </c>
      <c r="Y39" s="2697" t="str">
        <f t="shared" si="69"/>
        <v/>
      </c>
      <c r="Z39" s="2698" t="s">
        <v>1875</v>
      </c>
      <c r="AA39" s="2699" t="str">
        <f t="shared" si="70"/>
        <v/>
      </c>
      <c r="AB39" s="2683" t="str">
        <f t="shared" si="14"/>
        <v/>
      </c>
      <c r="AC39" s="2691" t="str">
        <f t="shared" si="3"/>
        <v/>
      </c>
      <c r="AD39" s="2686" t="str">
        <f t="shared" ca="1" si="40"/>
        <v/>
      </c>
      <c r="AE39" s="2690" t="str">
        <f t="shared" ca="1" si="41"/>
        <v/>
      </c>
      <c r="AF39" s="2691" t="str">
        <f t="shared" ca="1" si="42"/>
        <v/>
      </c>
      <c r="AG39" s="2686" t="str">
        <f t="shared" ca="1" si="43"/>
        <v/>
      </c>
      <c r="AH39" s="2690" t="str">
        <f t="shared" ca="1" si="44"/>
        <v/>
      </c>
      <c r="AI39" s="2686" t="str">
        <f t="shared" ca="1" si="45"/>
        <v/>
      </c>
      <c r="AJ39" s="2690" t="str">
        <f t="shared" ca="1" si="46"/>
        <v/>
      </c>
      <c r="AK39" s="2732" t="str">
        <f t="shared" si="15"/>
        <v/>
      </c>
      <c r="AL39" s="2733" t="str">
        <f t="shared" si="4"/>
        <v/>
      </c>
      <c r="AM39" s="2734" t="str">
        <f t="shared" si="100"/>
        <v/>
      </c>
      <c r="AN39" s="2691" t="str">
        <f t="shared" si="100"/>
        <v/>
      </c>
      <c r="AO39" s="2735" t="str">
        <f t="shared" si="100"/>
        <v/>
      </c>
      <c r="AP39" s="2693" t="str">
        <f t="shared" si="5"/>
        <v/>
      </c>
      <c r="AQ39" s="2736" t="str">
        <f t="shared" si="5"/>
        <v/>
      </c>
      <c r="AR39" s="2689" t="str">
        <f t="shared" si="17"/>
        <v/>
      </c>
      <c r="AS39" s="2690" t="str">
        <f t="shared" si="18"/>
        <v/>
      </c>
      <c r="AT39" s="2737" t="str">
        <f t="shared" si="19"/>
        <v/>
      </c>
      <c r="AU39" s="2738" t="str">
        <f t="shared" si="6"/>
        <v/>
      </c>
      <c r="AV39" s="2695" t="str">
        <f t="shared" si="20"/>
        <v/>
      </c>
      <c r="AW39" s="2690" t="str">
        <f t="shared" si="21"/>
        <v/>
      </c>
      <c r="AX39" s="2737" t="str">
        <f t="shared" si="22"/>
        <v/>
      </c>
      <c r="AY39" s="2738" t="str">
        <f t="shared" si="7"/>
        <v/>
      </c>
      <c r="AZ39" s="2695" t="str">
        <f t="shared" si="23"/>
        <v/>
      </c>
      <c r="BA39" s="2690" t="str">
        <f t="shared" si="24"/>
        <v/>
      </c>
      <c r="BB39" s="2737" t="str">
        <f t="shared" si="25"/>
        <v/>
      </c>
      <c r="BC39" s="2738" t="str">
        <f t="shared" si="8"/>
        <v/>
      </c>
      <c r="BD39" s="2695" t="str">
        <f t="shared" si="26"/>
        <v/>
      </c>
      <c r="BE39" s="2690" t="str">
        <f t="shared" si="27"/>
        <v/>
      </c>
      <c r="BF39" s="2737" t="str">
        <f t="shared" si="28"/>
        <v/>
      </c>
      <c r="BG39" s="2738" t="str">
        <f t="shared" si="9"/>
        <v/>
      </c>
      <c r="BH39" s="261"/>
      <c r="BJ39" s="1302" t="str">
        <f t="shared" si="99"/>
        <v>G12</v>
      </c>
      <c r="BK39" s="993" t="b">
        <f t="shared" si="101"/>
        <v>0</v>
      </c>
      <c r="BL39" s="1784" t="b">
        <v>0</v>
      </c>
      <c r="BM39" s="989">
        <f t="shared" si="88"/>
        <v>52</v>
      </c>
      <c r="BN39" s="989" t="str">
        <f t="shared" si="89"/>
        <v>G</v>
      </c>
      <c r="BO39" s="989">
        <f t="shared" si="90"/>
        <v>7</v>
      </c>
      <c r="BP39" s="989" t="str">
        <f t="shared" si="71"/>
        <v>12/5.5</v>
      </c>
      <c r="BQ39" s="989">
        <f t="shared" si="91"/>
        <v>2.4</v>
      </c>
      <c r="BR39" s="989" t="b">
        <f t="shared" si="92"/>
        <v>1</v>
      </c>
      <c r="BS39" s="1303">
        <f t="shared" si="93"/>
        <v>7.75</v>
      </c>
      <c r="BT39" s="990" t="str">
        <f t="shared" si="94"/>
        <v>Yes</v>
      </c>
      <c r="BU39" s="1303">
        <f t="shared" si="95"/>
        <v>7.75</v>
      </c>
      <c r="BV39" s="990" t="str">
        <f t="shared" si="96"/>
        <v>Yes</v>
      </c>
      <c r="BW39" s="991">
        <f t="shared" ca="1" si="29"/>
        <v>0</v>
      </c>
      <c r="BX39" s="991" t="str">
        <f t="shared" ca="1" si="36"/>
        <v/>
      </c>
      <c r="BY39" s="991" t="b">
        <f t="shared" ca="1" si="30"/>
        <v>0</v>
      </c>
      <c r="BZ39" s="1304" t="b">
        <f t="shared" si="37"/>
        <v>0</v>
      </c>
      <c r="CB39" s="672" t="s">
        <v>1408</v>
      </c>
      <c r="CC39" s="1685">
        <v>2</v>
      </c>
      <c r="CD39" s="699" t="s">
        <v>1702</v>
      </c>
      <c r="CE39" s="700">
        <v>52</v>
      </c>
      <c r="CF39" s="1329">
        <v>0</v>
      </c>
      <c r="CG39" s="672">
        <v>6</v>
      </c>
      <c r="CH39" s="713"/>
      <c r="CI39" s="714"/>
      <c r="CJ39" s="713"/>
      <c r="CK39" s="714"/>
      <c r="CL39" s="715"/>
      <c r="CM39" s="743"/>
      <c r="CN39" s="738"/>
      <c r="CO39" s="1552"/>
      <c r="CP39" s="910"/>
      <c r="CQ39" s="672">
        <v>6</v>
      </c>
      <c r="CR39" s="713"/>
      <c r="CS39" s="714"/>
      <c r="CT39" s="713"/>
      <c r="CU39" s="714"/>
      <c r="CV39" s="715"/>
      <c r="CW39" s="743"/>
      <c r="CX39" s="738"/>
      <c r="CY39" s="1552"/>
      <c r="CZ39" s="910"/>
      <c r="DA39" s="717"/>
      <c r="DB39" s="702">
        <v>9</v>
      </c>
      <c r="DC39" s="703"/>
      <c r="DD39" s="1599"/>
      <c r="DE39" s="1600">
        <v>11.125</v>
      </c>
      <c r="DF39" s="141"/>
      <c r="DG39" s="141"/>
      <c r="DH39" s="672"/>
      <c r="DI39" s="673"/>
      <c r="DJ39" s="692"/>
      <c r="DK39" s="1332"/>
      <c r="DL39" s="674"/>
      <c r="DM39" s="693"/>
      <c r="DN39" s="1335"/>
      <c r="DO39" s="675"/>
      <c r="DP39" s="676"/>
      <c r="DQ39" s="1420"/>
      <c r="DR39" s="677"/>
      <c r="DS39" s="1612"/>
      <c r="DT39" s="1607"/>
      <c r="DU39" s="1608"/>
      <c r="DV39" s="678"/>
      <c r="DW39" s="1337"/>
      <c r="DX39" s="679"/>
      <c r="DY39" s="674"/>
      <c r="DZ39" s="678"/>
      <c r="EA39" s="1337"/>
      <c r="EB39" s="679"/>
      <c r="EC39" s="674"/>
      <c r="ED39" s="678"/>
      <c r="EE39" s="1337"/>
      <c r="EF39" s="679"/>
      <c r="EG39" s="674"/>
      <c r="EH39" s="678"/>
      <c r="EI39" s="1337"/>
      <c r="EJ39" s="679"/>
      <c r="EK39" s="680"/>
      <c r="EL39" s="141"/>
      <c r="EM39" s="1632" t="str">
        <f t="shared" si="97"/>
        <v>G12</v>
      </c>
      <c r="EN39" s="1633" t="str">
        <f t="shared" si="72"/>
        <v/>
      </c>
      <c r="EO39" s="648" t="str">
        <f t="shared" si="73"/>
        <v/>
      </c>
      <c r="EP39" s="649" t="str">
        <f t="shared" si="74"/>
        <v/>
      </c>
      <c r="EQ39" s="813" t="str">
        <f t="shared" si="75"/>
        <v/>
      </c>
      <c r="ER39" s="1587" t="str">
        <f t="shared" si="76"/>
        <v/>
      </c>
      <c r="ES39" s="1588" t="str">
        <f t="shared" si="77"/>
        <v/>
      </c>
      <c r="ET39" s="1589" t="str">
        <f t="shared" si="78"/>
        <v/>
      </c>
      <c r="EU39" s="1590" t="str">
        <f t="shared" si="79"/>
        <v/>
      </c>
      <c r="EX39" s="503" t="str">
        <f t="shared" ca="1" si="31"/>
        <v/>
      </c>
      <c r="EY39" s="940" t="str">
        <f t="shared" si="10"/>
        <v/>
      </c>
      <c r="EZ39" s="940" t="str">
        <f t="shared" si="32"/>
        <v/>
      </c>
      <c r="FA39" s="958" t="str">
        <f t="shared" ca="1" si="38"/>
        <v/>
      </c>
      <c r="FB39" s="134" t="str">
        <f t="shared" ca="1" si="33"/>
        <v/>
      </c>
      <c r="FC39" s="134">
        <f t="shared" ca="1" si="11"/>
        <v>0</v>
      </c>
      <c r="FD39" s="134">
        <f t="shared" ca="1" si="12"/>
        <v>0</v>
      </c>
      <c r="FE39" s="134">
        <f t="shared" ca="1" si="13"/>
        <v>0</v>
      </c>
      <c r="FF39" s="134">
        <f t="shared" ca="1" si="34"/>
        <v>0</v>
      </c>
      <c r="FN39" s="993" t="b">
        <v>0</v>
      </c>
      <c r="FO39" s="754" t="b">
        <f t="shared" si="98"/>
        <v>1</v>
      </c>
      <c r="FP39" s="754" t="b">
        <v>0</v>
      </c>
      <c r="FQ39" s="754" t="b">
        <f t="shared" si="35"/>
        <v>1</v>
      </c>
      <c r="FX39" s="197"/>
      <c r="FZ39" s="2"/>
      <c r="GA39" s="581">
        <f t="shared" si="80"/>
        <v>52</v>
      </c>
      <c r="GB39" s="623">
        <f t="shared" si="81"/>
        <v>0</v>
      </c>
      <c r="GC39" s="625">
        <f t="shared" si="82"/>
        <v>-0.25</v>
      </c>
      <c r="GD39" s="626">
        <f t="shared" si="83"/>
        <v>-0.25</v>
      </c>
      <c r="GE39" s="624">
        <f t="shared" si="84"/>
        <v>0</v>
      </c>
      <c r="GF39" s="582" t="str">
        <f t="shared" si="85"/>
        <v>G12</v>
      </c>
      <c r="GG39" s="692">
        <v>0</v>
      </c>
      <c r="GH39" s="1136">
        <v>0</v>
      </c>
      <c r="GI39" s="692"/>
      <c r="GJ39" s="1136"/>
      <c r="GK39" s="1641">
        <f t="shared" si="86"/>
        <v>623.5</v>
      </c>
      <c r="GL39" s="1641">
        <f t="shared" si="87"/>
        <v>623.5</v>
      </c>
      <c r="GM39" s="1642">
        <f>IF(ABS(GK39-GL39)&gt;='Job Info.'!$L$22,ABS(GK39-GL39),0)</f>
        <v>0</v>
      </c>
      <c r="HA39" s="1242" t="s">
        <v>1408</v>
      </c>
      <c r="HB39" s="1243">
        <v>2</v>
      </c>
      <c r="HC39" s="1243" t="s">
        <v>1702</v>
      </c>
      <c r="HD39" s="1244">
        <v>52</v>
      </c>
      <c r="HE39" s="1245">
        <v>0</v>
      </c>
      <c r="HF39" s="1243">
        <v>6</v>
      </c>
      <c r="HG39" s="1243"/>
      <c r="HH39" s="1243"/>
      <c r="HI39" s="1243"/>
      <c r="HJ39" s="1243"/>
      <c r="HK39" s="1243"/>
      <c r="HL39" s="1243"/>
      <c r="HM39" s="1243"/>
      <c r="HN39" s="1243"/>
      <c r="HO39" s="1243"/>
      <c r="HP39" s="1243">
        <v>6</v>
      </c>
      <c r="HQ39" s="1243"/>
      <c r="HR39" s="1243"/>
      <c r="HS39" s="1243"/>
      <c r="HT39" s="1243"/>
      <c r="HU39" s="1243"/>
      <c r="HV39" s="1243"/>
      <c r="HW39" s="1243"/>
      <c r="HX39" s="1243"/>
      <c r="HY39" s="1247"/>
      <c r="HZ39" s="1247"/>
      <c r="IA39" s="1247">
        <v>9</v>
      </c>
      <c r="IB39" s="1247"/>
      <c r="IC39" s="1247"/>
      <c r="ID39" s="1248">
        <v>11.125</v>
      </c>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39"/>
        <v>0</v>
      </c>
    </row>
    <row r="40" spans="1:272" ht="12.6" customHeight="1" x14ac:dyDescent="0.25">
      <c r="A40" s="2683" t="str">
        <f t="shared" si="48"/>
        <v>G13</v>
      </c>
      <c r="B40" s="2684">
        <f t="shared" si="48"/>
        <v>2</v>
      </c>
      <c r="C40" s="2685" t="s">
        <v>1702</v>
      </c>
      <c r="D40" s="2686">
        <f t="shared" si="49"/>
        <v>51</v>
      </c>
      <c r="E40" s="2687">
        <f t="shared" si="50"/>
        <v>11.5</v>
      </c>
      <c r="F40" s="2688">
        <f t="shared" si="51"/>
        <v>11.125</v>
      </c>
      <c r="G40" s="2689">
        <f t="shared" si="52"/>
        <v>0</v>
      </c>
      <c r="H40" s="2690">
        <f t="shared" si="53"/>
        <v>1.75</v>
      </c>
      <c r="I40" s="2691" t="str">
        <f t="shared" si="54"/>
        <v>R</v>
      </c>
      <c r="J40" s="2686">
        <f t="shared" si="55"/>
        <v>0</v>
      </c>
      <c r="K40" s="2690">
        <f t="shared" si="56"/>
        <v>1.75</v>
      </c>
      <c r="L40" s="2692" t="str">
        <f t="shared" si="57"/>
        <v>R</v>
      </c>
      <c r="M40" s="2693">
        <f t="shared" si="58"/>
        <v>7.5</v>
      </c>
      <c r="N40" s="2694">
        <f t="shared" si="58"/>
        <v>7.5</v>
      </c>
      <c r="O40" s="2689">
        <f t="shared" si="59"/>
        <v>0</v>
      </c>
      <c r="P40" s="2690">
        <f t="shared" si="60"/>
        <v>6.75</v>
      </c>
      <c r="Q40" s="2686">
        <f t="shared" si="61"/>
        <v>0</v>
      </c>
      <c r="R40" s="2687">
        <f t="shared" si="62"/>
        <v>6.75</v>
      </c>
      <c r="S40" s="2695">
        <f t="shared" si="63"/>
        <v>0</v>
      </c>
      <c r="T40" s="2690">
        <f t="shared" si="64"/>
        <v>6.25</v>
      </c>
      <c r="U40" s="2686">
        <f t="shared" si="65"/>
        <v>0</v>
      </c>
      <c r="V40" s="2690">
        <f t="shared" si="66"/>
        <v>6.25</v>
      </c>
      <c r="W40" s="2694">
        <f t="shared" si="67"/>
        <v>5</v>
      </c>
      <c r="X40" s="2696" t="str">
        <f t="shared" si="68"/>
        <v/>
      </c>
      <c r="Y40" s="2697" t="str">
        <f t="shared" si="69"/>
        <v/>
      </c>
      <c r="Z40" s="2698" t="s">
        <v>1876</v>
      </c>
      <c r="AA40" s="2699" t="str">
        <f t="shared" si="70"/>
        <v/>
      </c>
      <c r="AB40" s="2683" t="str">
        <f t="shared" si="14"/>
        <v/>
      </c>
      <c r="AC40" s="2691" t="str">
        <f t="shared" si="3"/>
        <v/>
      </c>
      <c r="AD40" s="2686" t="str">
        <f t="shared" ca="1" si="40"/>
        <v/>
      </c>
      <c r="AE40" s="2690" t="str">
        <f t="shared" ca="1" si="41"/>
        <v/>
      </c>
      <c r="AF40" s="2691" t="str">
        <f t="shared" ca="1" si="42"/>
        <v/>
      </c>
      <c r="AG40" s="2686" t="str">
        <f t="shared" ca="1" si="43"/>
        <v/>
      </c>
      <c r="AH40" s="2690" t="str">
        <f t="shared" ca="1" si="44"/>
        <v/>
      </c>
      <c r="AI40" s="2686" t="str">
        <f t="shared" ca="1" si="45"/>
        <v/>
      </c>
      <c r="AJ40" s="2690" t="str">
        <f t="shared" ca="1" si="46"/>
        <v/>
      </c>
      <c r="AK40" s="2732" t="str">
        <f t="shared" si="15"/>
        <v/>
      </c>
      <c r="AL40" s="2733" t="str">
        <f t="shared" si="4"/>
        <v/>
      </c>
      <c r="AM40" s="2734" t="str">
        <f t="shared" si="100"/>
        <v/>
      </c>
      <c r="AN40" s="2691" t="str">
        <f t="shared" si="100"/>
        <v/>
      </c>
      <c r="AO40" s="2735" t="str">
        <f t="shared" si="100"/>
        <v/>
      </c>
      <c r="AP40" s="2693" t="str">
        <f t="shared" si="5"/>
        <v/>
      </c>
      <c r="AQ40" s="2736" t="str">
        <f t="shared" si="5"/>
        <v/>
      </c>
      <c r="AR40" s="2689" t="str">
        <f t="shared" si="17"/>
        <v/>
      </c>
      <c r="AS40" s="2690" t="str">
        <f t="shared" si="18"/>
        <v/>
      </c>
      <c r="AT40" s="2737" t="str">
        <f t="shared" si="19"/>
        <v/>
      </c>
      <c r="AU40" s="2738" t="str">
        <f t="shared" si="6"/>
        <v/>
      </c>
      <c r="AV40" s="2695" t="str">
        <f t="shared" si="20"/>
        <v/>
      </c>
      <c r="AW40" s="2690" t="str">
        <f t="shared" si="21"/>
        <v/>
      </c>
      <c r="AX40" s="2737" t="str">
        <f t="shared" si="22"/>
        <v/>
      </c>
      <c r="AY40" s="2738" t="str">
        <f t="shared" si="7"/>
        <v/>
      </c>
      <c r="AZ40" s="2695" t="str">
        <f t="shared" si="23"/>
        <v/>
      </c>
      <c r="BA40" s="2690" t="str">
        <f t="shared" si="24"/>
        <v/>
      </c>
      <c r="BB40" s="2737" t="str">
        <f t="shared" si="25"/>
        <v/>
      </c>
      <c r="BC40" s="2738" t="str">
        <f t="shared" si="8"/>
        <v/>
      </c>
      <c r="BD40" s="2695" t="str">
        <f t="shared" si="26"/>
        <v/>
      </c>
      <c r="BE40" s="2690" t="str">
        <f t="shared" si="27"/>
        <v/>
      </c>
      <c r="BF40" s="2737" t="str">
        <f t="shared" si="28"/>
        <v/>
      </c>
      <c r="BG40" s="2738" t="str">
        <f t="shared" si="9"/>
        <v/>
      </c>
      <c r="BH40" s="261"/>
      <c r="BJ40" s="1302" t="str">
        <f t="shared" si="99"/>
        <v>G13</v>
      </c>
      <c r="BK40" s="993" t="b">
        <f t="shared" si="101"/>
        <v>0</v>
      </c>
      <c r="BL40" s="1784" t="b">
        <v>0</v>
      </c>
      <c r="BM40" s="989">
        <f t="shared" si="88"/>
        <v>52</v>
      </c>
      <c r="BN40" s="989" t="str">
        <f t="shared" si="89"/>
        <v>G</v>
      </c>
      <c r="BO40" s="989">
        <f t="shared" si="90"/>
        <v>7</v>
      </c>
      <c r="BP40" s="989" t="str">
        <f t="shared" si="71"/>
        <v>12/5.5</v>
      </c>
      <c r="BQ40" s="989">
        <f t="shared" si="91"/>
        <v>2.4</v>
      </c>
      <c r="BR40" s="989" t="b">
        <f t="shared" si="92"/>
        <v>1</v>
      </c>
      <c r="BS40" s="1303">
        <f t="shared" si="93"/>
        <v>7.75</v>
      </c>
      <c r="BT40" s="990" t="str">
        <f t="shared" si="94"/>
        <v>Yes</v>
      </c>
      <c r="BU40" s="1303">
        <f t="shared" si="95"/>
        <v>7.75</v>
      </c>
      <c r="BV40" s="990" t="str">
        <f t="shared" si="96"/>
        <v>Yes</v>
      </c>
      <c r="BW40" s="991">
        <f t="shared" ca="1" si="29"/>
        <v>0</v>
      </c>
      <c r="BX40" s="991" t="str">
        <f t="shared" ca="1" si="36"/>
        <v/>
      </c>
      <c r="BY40" s="991" t="b">
        <f t="shared" ca="1" si="30"/>
        <v>0</v>
      </c>
      <c r="BZ40" s="1304" t="b">
        <f t="shared" si="37"/>
        <v>0</v>
      </c>
      <c r="CB40" s="672" t="s">
        <v>1409</v>
      </c>
      <c r="CC40" s="1685">
        <v>2</v>
      </c>
      <c r="CD40" s="699" t="s">
        <v>1702</v>
      </c>
      <c r="CE40" s="700">
        <v>52</v>
      </c>
      <c r="CF40" s="1329">
        <v>0</v>
      </c>
      <c r="CG40" s="672">
        <v>6</v>
      </c>
      <c r="CH40" s="713"/>
      <c r="CI40" s="714"/>
      <c r="CJ40" s="713"/>
      <c r="CK40" s="714"/>
      <c r="CL40" s="715"/>
      <c r="CM40" s="743"/>
      <c r="CN40" s="738"/>
      <c r="CO40" s="1552"/>
      <c r="CP40" s="910"/>
      <c r="CQ40" s="672">
        <v>6</v>
      </c>
      <c r="CR40" s="713"/>
      <c r="CS40" s="714"/>
      <c r="CT40" s="713"/>
      <c r="CU40" s="714"/>
      <c r="CV40" s="715"/>
      <c r="CW40" s="743"/>
      <c r="CX40" s="738"/>
      <c r="CY40" s="1552"/>
      <c r="CZ40" s="910"/>
      <c r="DA40" s="717"/>
      <c r="DB40" s="702" t="s">
        <v>1713</v>
      </c>
      <c r="DC40" s="703"/>
      <c r="DD40" s="1599"/>
      <c r="DE40" s="1600">
        <v>11.125</v>
      </c>
      <c r="DF40" s="141"/>
      <c r="DG40" s="141"/>
      <c r="DH40" s="672"/>
      <c r="DI40" s="673"/>
      <c r="DJ40" s="692"/>
      <c r="DK40" s="1332"/>
      <c r="DL40" s="674"/>
      <c r="DM40" s="693"/>
      <c r="DN40" s="1335"/>
      <c r="DO40" s="675"/>
      <c r="DP40" s="676"/>
      <c r="DQ40" s="1420"/>
      <c r="DR40" s="677"/>
      <c r="DS40" s="1612"/>
      <c r="DT40" s="1607"/>
      <c r="DU40" s="1608"/>
      <c r="DV40" s="678"/>
      <c r="DW40" s="1337"/>
      <c r="DX40" s="679"/>
      <c r="DY40" s="674"/>
      <c r="DZ40" s="678"/>
      <c r="EA40" s="1337"/>
      <c r="EB40" s="679"/>
      <c r="EC40" s="674"/>
      <c r="ED40" s="678"/>
      <c r="EE40" s="1337"/>
      <c r="EF40" s="679"/>
      <c r="EG40" s="674"/>
      <c r="EH40" s="678"/>
      <c r="EI40" s="1337"/>
      <c r="EJ40" s="679"/>
      <c r="EK40" s="680"/>
      <c r="EL40" s="141"/>
      <c r="EM40" s="1632" t="str">
        <f t="shared" si="97"/>
        <v>G13</v>
      </c>
      <c r="EN40" s="1633" t="str">
        <f t="shared" si="72"/>
        <v/>
      </c>
      <c r="EO40" s="648" t="str">
        <f t="shared" si="73"/>
        <v/>
      </c>
      <c r="EP40" s="649" t="str">
        <f t="shared" si="74"/>
        <v/>
      </c>
      <c r="EQ40" s="813" t="str">
        <f t="shared" si="75"/>
        <v/>
      </c>
      <c r="ER40" s="1587" t="str">
        <f t="shared" si="76"/>
        <v/>
      </c>
      <c r="ES40" s="1588" t="str">
        <f t="shared" si="77"/>
        <v/>
      </c>
      <c r="ET40" s="1589" t="str">
        <f t="shared" si="78"/>
        <v/>
      </c>
      <c r="EU40" s="1590" t="str">
        <f t="shared" si="79"/>
        <v/>
      </c>
      <c r="EX40" s="503" t="str">
        <f t="shared" ca="1" si="31"/>
        <v/>
      </c>
      <c r="EY40" s="940" t="str">
        <f t="shared" si="10"/>
        <v/>
      </c>
      <c r="EZ40" s="940" t="str">
        <f t="shared" si="32"/>
        <v/>
      </c>
      <c r="FA40" s="958" t="str">
        <f t="shared" ca="1" si="38"/>
        <v/>
      </c>
      <c r="FB40" s="134" t="str">
        <f t="shared" ca="1" si="33"/>
        <v/>
      </c>
      <c r="FC40" s="134">
        <f t="shared" ca="1" si="11"/>
        <v>0</v>
      </c>
      <c r="FD40" s="134">
        <f t="shared" ca="1" si="12"/>
        <v>0</v>
      </c>
      <c r="FE40" s="134">
        <f t="shared" ca="1" si="13"/>
        <v>0</v>
      </c>
      <c r="FF40" s="134">
        <f t="shared" ca="1" si="34"/>
        <v>0</v>
      </c>
      <c r="FN40" s="993" t="b">
        <v>0</v>
      </c>
      <c r="FO40" s="754" t="b">
        <f t="shared" si="98"/>
        <v>1</v>
      </c>
      <c r="FP40" s="754" t="b">
        <v>0</v>
      </c>
      <c r="FQ40" s="754" t="b">
        <f t="shared" si="35"/>
        <v>1</v>
      </c>
      <c r="FX40" s="197"/>
      <c r="FZ40" s="2"/>
      <c r="GA40" s="581">
        <f t="shared" si="80"/>
        <v>52</v>
      </c>
      <c r="GB40" s="623">
        <f t="shared" si="81"/>
        <v>0</v>
      </c>
      <c r="GC40" s="625">
        <f t="shared" si="82"/>
        <v>-0.25</v>
      </c>
      <c r="GD40" s="626">
        <f t="shared" si="83"/>
        <v>-0.25</v>
      </c>
      <c r="GE40" s="624">
        <f t="shared" si="84"/>
        <v>0</v>
      </c>
      <c r="GF40" s="582" t="str">
        <f t="shared" si="85"/>
        <v>G13</v>
      </c>
      <c r="GG40" s="692">
        <v>0</v>
      </c>
      <c r="GH40" s="1136">
        <v>0</v>
      </c>
      <c r="GI40" s="692"/>
      <c r="GJ40" s="1136"/>
      <c r="GK40" s="1641">
        <f t="shared" si="86"/>
        <v>623.5</v>
      </c>
      <c r="GL40" s="1641">
        <f t="shared" si="87"/>
        <v>623.5</v>
      </c>
      <c r="GM40" s="1642">
        <f>IF(ABS(GK40-GL40)&gt;='Job Info.'!$L$22,ABS(GK40-GL40),0)</f>
        <v>0</v>
      </c>
      <c r="HA40" s="1242" t="s">
        <v>1409</v>
      </c>
      <c r="HB40" s="1243">
        <v>2</v>
      </c>
      <c r="HC40" s="1243" t="s">
        <v>1702</v>
      </c>
      <c r="HD40" s="1244">
        <v>52</v>
      </c>
      <c r="HE40" s="1245">
        <v>0</v>
      </c>
      <c r="HF40" s="1243">
        <v>6</v>
      </c>
      <c r="HG40" s="1243"/>
      <c r="HH40" s="1243"/>
      <c r="HI40" s="1243"/>
      <c r="HJ40" s="1243"/>
      <c r="HK40" s="1243"/>
      <c r="HL40" s="1243"/>
      <c r="HM40" s="1243"/>
      <c r="HN40" s="1243"/>
      <c r="HO40" s="1243"/>
      <c r="HP40" s="1243">
        <v>6</v>
      </c>
      <c r="HQ40" s="1243"/>
      <c r="HR40" s="1243"/>
      <c r="HS40" s="1243"/>
      <c r="HT40" s="1243"/>
      <c r="HU40" s="1243"/>
      <c r="HV40" s="1243"/>
      <c r="HW40" s="1243"/>
      <c r="HX40" s="1243"/>
      <c r="HY40" s="1247"/>
      <c r="HZ40" s="1247"/>
      <c r="IA40" s="1247" t="s">
        <v>1713</v>
      </c>
      <c r="IB40" s="1247"/>
      <c r="IC40" s="1247"/>
      <c r="ID40" s="1248">
        <v>11.125</v>
      </c>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39"/>
        <v>0</v>
      </c>
    </row>
    <row r="41" spans="1:272" ht="12.6" customHeight="1" x14ac:dyDescent="0.25">
      <c r="A41" s="2683" t="str">
        <f t="shared" si="48"/>
        <v>G14</v>
      </c>
      <c r="B41" s="2684">
        <f t="shared" si="48"/>
        <v>1</v>
      </c>
      <c r="C41" s="2685" t="s">
        <v>1702</v>
      </c>
      <c r="D41" s="2686">
        <f t="shared" si="49"/>
        <v>51</v>
      </c>
      <c r="E41" s="2687">
        <f t="shared" si="50"/>
        <v>11.5</v>
      </c>
      <c r="F41" s="2688">
        <f t="shared" si="51"/>
        <v>11.125</v>
      </c>
      <c r="G41" s="2689">
        <f t="shared" si="52"/>
        <v>0</v>
      </c>
      <c r="H41" s="2690">
        <f t="shared" si="53"/>
        <v>1.75</v>
      </c>
      <c r="I41" s="2691" t="str">
        <f t="shared" si="54"/>
        <v>R</v>
      </c>
      <c r="J41" s="2686">
        <f t="shared" si="55"/>
        <v>0</v>
      </c>
      <c r="K41" s="2690">
        <f t="shared" si="56"/>
        <v>1.75</v>
      </c>
      <c r="L41" s="2692" t="str">
        <f t="shared" si="57"/>
        <v>R</v>
      </c>
      <c r="M41" s="2693">
        <f t="shared" si="58"/>
        <v>7.5</v>
      </c>
      <c r="N41" s="2694">
        <f t="shared" si="58"/>
        <v>7.5</v>
      </c>
      <c r="O41" s="2689">
        <f t="shared" si="59"/>
        <v>0</v>
      </c>
      <c r="P41" s="2690">
        <f t="shared" si="60"/>
        <v>6.75</v>
      </c>
      <c r="Q41" s="2686">
        <f t="shared" si="61"/>
        <v>0</v>
      </c>
      <c r="R41" s="2687">
        <f t="shared" si="62"/>
        <v>6.75</v>
      </c>
      <c r="S41" s="2695">
        <f t="shared" si="63"/>
        <v>0</v>
      </c>
      <c r="T41" s="2690">
        <f t="shared" si="64"/>
        <v>6.25</v>
      </c>
      <c r="U41" s="2686">
        <f t="shared" si="65"/>
        <v>0</v>
      </c>
      <c r="V41" s="2690">
        <f t="shared" si="66"/>
        <v>6.25</v>
      </c>
      <c r="W41" s="2694">
        <f t="shared" si="67"/>
        <v>5</v>
      </c>
      <c r="X41" s="2696" t="str">
        <f t="shared" si="68"/>
        <v/>
      </c>
      <c r="Y41" s="2697" t="str">
        <f t="shared" si="69"/>
        <v/>
      </c>
      <c r="Z41" s="2698" t="s">
        <v>1877</v>
      </c>
      <c r="AA41" s="2699" t="str">
        <f t="shared" si="70"/>
        <v/>
      </c>
      <c r="AB41" s="2683" t="str">
        <f t="shared" si="14"/>
        <v/>
      </c>
      <c r="AC41" s="2691" t="str">
        <f t="shared" si="3"/>
        <v/>
      </c>
      <c r="AD41" s="2686" t="str">
        <f t="shared" ca="1" si="40"/>
        <v/>
      </c>
      <c r="AE41" s="2690" t="str">
        <f t="shared" ca="1" si="41"/>
        <v/>
      </c>
      <c r="AF41" s="2691" t="str">
        <f t="shared" ca="1" si="42"/>
        <v/>
      </c>
      <c r="AG41" s="2686" t="str">
        <f t="shared" ca="1" si="43"/>
        <v/>
      </c>
      <c r="AH41" s="2690" t="str">
        <f t="shared" ca="1" si="44"/>
        <v/>
      </c>
      <c r="AI41" s="2686" t="str">
        <f t="shared" ca="1" si="45"/>
        <v/>
      </c>
      <c r="AJ41" s="2690" t="str">
        <f t="shared" ca="1" si="46"/>
        <v/>
      </c>
      <c r="AK41" s="2732" t="str">
        <f t="shared" si="15"/>
        <v/>
      </c>
      <c r="AL41" s="2733" t="str">
        <f t="shared" si="4"/>
        <v/>
      </c>
      <c r="AM41" s="2734" t="str">
        <f t="shared" si="100"/>
        <v/>
      </c>
      <c r="AN41" s="2691" t="str">
        <f t="shared" si="100"/>
        <v/>
      </c>
      <c r="AO41" s="2735" t="str">
        <f t="shared" si="100"/>
        <v/>
      </c>
      <c r="AP41" s="2693" t="str">
        <f t="shared" si="5"/>
        <v/>
      </c>
      <c r="AQ41" s="2736" t="str">
        <f t="shared" si="5"/>
        <v/>
      </c>
      <c r="AR41" s="2689" t="str">
        <f t="shared" si="17"/>
        <v/>
      </c>
      <c r="AS41" s="2690" t="str">
        <f t="shared" si="18"/>
        <v/>
      </c>
      <c r="AT41" s="2737" t="str">
        <f t="shared" si="19"/>
        <v/>
      </c>
      <c r="AU41" s="2738" t="str">
        <f t="shared" si="6"/>
        <v/>
      </c>
      <c r="AV41" s="2695" t="str">
        <f t="shared" si="20"/>
        <v/>
      </c>
      <c r="AW41" s="2690" t="str">
        <f t="shared" si="21"/>
        <v/>
      </c>
      <c r="AX41" s="2737" t="str">
        <f t="shared" si="22"/>
        <v/>
      </c>
      <c r="AY41" s="2738" t="str">
        <f t="shared" si="7"/>
        <v/>
      </c>
      <c r="AZ41" s="2695" t="str">
        <f t="shared" si="23"/>
        <v/>
      </c>
      <c r="BA41" s="2690" t="str">
        <f t="shared" si="24"/>
        <v/>
      </c>
      <c r="BB41" s="2737" t="str">
        <f t="shared" si="25"/>
        <v/>
      </c>
      <c r="BC41" s="2738" t="str">
        <f t="shared" si="8"/>
        <v/>
      </c>
      <c r="BD41" s="2695" t="str">
        <f t="shared" si="26"/>
        <v/>
      </c>
      <c r="BE41" s="2690" t="str">
        <f t="shared" si="27"/>
        <v/>
      </c>
      <c r="BF41" s="2737" t="str">
        <f t="shared" si="28"/>
        <v/>
      </c>
      <c r="BG41" s="2738" t="str">
        <f t="shared" si="9"/>
        <v/>
      </c>
      <c r="BH41" s="261"/>
      <c r="BJ41" s="1302" t="str">
        <f t="shared" si="99"/>
        <v>G14</v>
      </c>
      <c r="BK41" s="993" t="b">
        <f t="shared" si="101"/>
        <v>0</v>
      </c>
      <c r="BL41" s="1784" t="b">
        <v>0</v>
      </c>
      <c r="BM41" s="989">
        <f t="shared" si="88"/>
        <v>52</v>
      </c>
      <c r="BN41" s="989" t="str">
        <f t="shared" si="89"/>
        <v>G</v>
      </c>
      <c r="BO41" s="989">
        <f t="shared" si="90"/>
        <v>7</v>
      </c>
      <c r="BP41" s="989" t="str">
        <f t="shared" si="71"/>
        <v>12/5.5</v>
      </c>
      <c r="BQ41" s="989">
        <f t="shared" si="91"/>
        <v>2.4</v>
      </c>
      <c r="BR41" s="989" t="b">
        <f t="shared" si="92"/>
        <v>1</v>
      </c>
      <c r="BS41" s="1303">
        <f t="shared" si="93"/>
        <v>7.75</v>
      </c>
      <c r="BT41" s="990" t="str">
        <f t="shared" si="94"/>
        <v>Yes</v>
      </c>
      <c r="BU41" s="1303">
        <f t="shared" si="95"/>
        <v>7.75</v>
      </c>
      <c r="BV41" s="990" t="str">
        <f t="shared" si="96"/>
        <v>Yes</v>
      </c>
      <c r="BW41" s="991">
        <f t="shared" ca="1" si="29"/>
        <v>0</v>
      </c>
      <c r="BX41" s="991" t="str">
        <f t="shared" ca="1" si="36"/>
        <v/>
      </c>
      <c r="BY41" s="991" t="b">
        <f t="shared" ca="1" si="30"/>
        <v>0</v>
      </c>
      <c r="BZ41" s="1304" t="b">
        <f t="shared" si="37"/>
        <v>0</v>
      </c>
      <c r="CB41" s="672" t="s">
        <v>1410</v>
      </c>
      <c r="CC41" s="1685">
        <v>1</v>
      </c>
      <c r="CD41" s="699" t="s">
        <v>1702</v>
      </c>
      <c r="CE41" s="700">
        <v>52</v>
      </c>
      <c r="CF41" s="1329">
        <v>0</v>
      </c>
      <c r="CG41" s="672">
        <v>6</v>
      </c>
      <c r="CH41" s="713"/>
      <c r="CI41" s="714"/>
      <c r="CJ41" s="713"/>
      <c r="CK41" s="714"/>
      <c r="CL41" s="715"/>
      <c r="CM41" s="743"/>
      <c r="CN41" s="738"/>
      <c r="CO41" s="1552"/>
      <c r="CP41" s="910"/>
      <c r="CQ41" s="672">
        <v>6</v>
      </c>
      <c r="CR41" s="713"/>
      <c r="CS41" s="714"/>
      <c r="CT41" s="713"/>
      <c r="CU41" s="714"/>
      <c r="CV41" s="715"/>
      <c r="CW41" s="743"/>
      <c r="CX41" s="738"/>
      <c r="CY41" s="1552"/>
      <c r="CZ41" s="910"/>
      <c r="DA41" s="717"/>
      <c r="DB41" s="702" t="s">
        <v>1713</v>
      </c>
      <c r="DC41" s="703" t="s">
        <v>34</v>
      </c>
      <c r="DD41" s="1599"/>
      <c r="DE41" s="1600">
        <v>11.125</v>
      </c>
      <c r="DF41" s="141"/>
      <c r="DG41" s="141"/>
      <c r="DH41" s="672"/>
      <c r="DI41" s="673"/>
      <c r="DJ41" s="692"/>
      <c r="DK41" s="1332"/>
      <c r="DL41" s="674"/>
      <c r="DM41" s="693"/>
      <c r="DN41" s="1335"/>
      <c r="DO41" s="675"/>
      <c r="DP41" s="676"/>
      <c r="DQ41" s="1420"/>
      <c r="DR41" s="677"/>
      <c r="DS41" s="1612"/>
      <c r="DT41" s="1607"/>
      <c r="DU41" s="1608"/>
      <c r="DV41" s="678"/>
      <c r="DW41" s="1337"/>
      <c r="DX41" s="679"/>
      <c r="DY41" s="674"/>
      <c r="DZ41" s="678"/>
      <c r="EA41" s="1337"/>
      <c r="EB41" s="679"/>
      <c r="EC41" s="674"/>
      <c r="ED41" s="678"/>
      <c r="EE41" s="1337"/>
      <c r="EF41" s="679"/>
      <c r="EG41" s="674"/>
      <c r="EH41" s="678"/>
      <c r="EI41" s="1337"/>
      <c r="EJ41" s="679"/>
      <c r="EK41" s="680"/>
      <c r="EL41" s="141"/>
      <c r="EM41" s="1632" t="str">
        <f t="shared" si="97"/>
        <v>G14</v>
      </c>
      <c r="EN41" s="1633" t="str">
        <f t="shared" si="72"/>
        <v/>
      </c>
      <c r="EO41" s="648" t="str">
        <f t="shared" si="73"/>
        <v/>
      </c>
      <c r="EP41" s="649" t="str">
        <f t="shared" si="74"/>
        <v/>
      </c>
      <c r="EQ41" s="813" t="str">
        <f t="shared" si="75"/>
        <v/>
      </c>
      <c r="ER41" s="1587" t="str">
        <f t="shared" si="76"/>
        <v/>
      </c>
      <c r="ES41" s="1588" t="str">
        <f t="shared" si="77"/>
        <v/>
      </c>
      <c r="ET41" s="1589" t="str">
        <f t="shared" si="78"/>
        <v/>
      </c>
      <c r="EU41" s="1590" t="str">
        <f t="shared" si="79"/>
        <v/>
      </c>
      <c r="EX41" s="503" t="str">
        <f t="shared" ca="1" si="31"/>
        <v/>
      </c>
      <c r="EY41" s="940" t="str">
        <f t="shared" si="10"/>
        <v/>
      </c>
      <c r="EZ41" s="940" t="str">
        <f t="shared" si="32"/>
        <v/>
      </c>
      <c r="FA41" s="958" t="str">
        <f t="shared" ca="1" si="38"/>
        <v/>
      </c>
      <c r="FB41" s="134" t="str">
        <f t="shared" ca="1" si="33"/>
        <v/>
      </c>
      <c r="FC41" s="134">
        <f t="shared" ca="1" si="11"/>
        <v>0</v>
      </c>
      <c r="FD41" s="134">
        <f t="shared" ca="1" si="12"/>
        <v>0</v>
      </c>
      <c r="FE41" s="134">
        <f t="shared" ca="1" si="13"/>
        <v>0</v>
      </c>
      <c r="FF41" s="134">
        <f t="shared" ca="1" si="34"/>
        <v>0</v>
      </c>
      <c r="FN41" s="993" t="b">
        <v>0</v>
      </c>
      <c r="FO41" s="754" t="b">
        <f t="shared" si="98"/>
        <v>1</v>
      </c>
      <c r="FP41" s="754" t="b">
        <v>0</v>
      </c>
      <c r="FQ41" s="754" t="b">
        <f t="shared" si="35"/>
        <v>1</v>
      </c>
      <c r="FX41" s="197"/>
      <c r="FZ41" s="2"/>
      <c r="GA41" s="581">
        <f t="shared" si="80"/>
        <v>52</v>
      </c>
      <c r="GB41" s="623">
        <f t="shared" si="81"/>
        <v>0</v>
      </c>
      <c r="GC41" s="625">
        <f t="shared" si="82"/>
        <v>-0.25</v>
      </c>
      <c r="GD41" s="626">
        <f t="shared" si="83"/>
        <v>-0.25</v>
      </c>
      <c r="GE41" s="624">
        <f t="shared" si="84"/>
        <v>0</v>
      </c>
      <c r="GF41" s="582" t="str">
        <f t="shared" si="85"/>
        <v>G14</v>
      </c>
      <c r="GG41" s="692">
        <v>0</v>
      </c>
      <c r="GH41" s="1136">
        <v>0</v>
      </c>
      <c r="GI41" s="692"/>
      <c r="GJ41" s="1136"/>
      <c r="GK41" s="1641">
        <f t="shared" si="86"/>
        <v>623.5</v>
      </c>
      <c r="GL41" s="1641">
        <f t="shared" si="87"/>
        <v>623.5</v>
      </c>
      <c r="GM41" s="1642">
        <f>IF(ABS(GK41-GL41)&gt;='Job Info.'!$L$22,ABS(GK41-GL41),0)</f>
        <v>0</v>
      </c>
      <c r="HA41" s="1242" t="s">
        <v>1410</v>
      </c>
      <c r="HB41" s="1243">
        <v>1</v>
      </c>
      <c r="HC41" s="1243" t="s">
        <v>1702</v>
      </c>
      <c r="HD41" s="1244">
        <v>52</v>
      </c>
      <c r="HE41" s="1245">
        <v>0</v>
      </c>
      <c r="HF41" s="1243">
        <v>6</v>
      </c>
      <c r="HG41" s="1243"/>
      <c r="HH41" s="1243"/>
      <c r="HI41" s="1243"/>
      <c r="HJ41" s="1243"/>
      <c r="HK41" s="1243"/>
      <c r="HL41" s="1243"/>
      <c r="HM41" s="1243"/>
      <c r="HN41" s="1243"/>
      <c r="HO41" s="1243"/>
      <c r="HP41" s="1243">
        <v>6</v>
      </c>
      <c r="HQ41" s="1243"/>
      <c r="HR41" s="1243"/>
      <c r="HS41" s="1243"/>
      <c r="HT41" s="1243"/>
      <c r="HU41" s="1243"/>
      <c r="HV41" s="1243"/>
      <c r="HW41" s="1243"/>
      <c r="HX41" s="1243"/>
      <c r="HY41" s="1247"/>
      <c r="HZ41" s="1247"/>
      <c r="IA41" s="1247" t="s">
        <v>1713</v>
      </c>
      <c r="IB41" s="1247" t="s">
        <v>34</v>
      </c>
      <c r="IC41" s="1247"/>
      <c r="ID41" s="1248">
        <v>11.125</v>
      </c>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39"/>
        <v>0</v>
      </c>
    </row>
    <row r="42" spans="1:272" ht="12.6" customHeight="1" x14ac:dyDescent="0.25">
      <c r="A42" s="2683" t="str">
        <f t="shared" si="48"/>
        <v>G15</v>
      </c>
      <c r="B42" s="2684">
        <f t="shared" si="48"/>
        <v>1</v>
      </c>
      <c r="C42" s="2685" t="s">
        <v>1702</v>
      </c>
      <c r="D42" s="2686">
        <f t="shared" si="49"/>
        <v>51</v>
      </c>
      <c r="E42" s="2687">
        <f t="shared" si="50"/>
        <v>1.75</v>
      </c>
      <c r="F42" s="2688">
        <f t="shared" si="51"/>
        <v>11.125</v>
      </c>
      <c r="G42" s="2689">
        <f t="shared" si="52"/>
        <v>0</v>
      </c>
      <c r="H42" s="2690">
        <f t="shared" si="53"/>
        <v>1.75</v>
      </c>
      <c r="I42" s="2691" t="str">
        <f t="shared" si="54"/>
        <v>R</v>
      </c>
      <c r="J42" s="2686" t="str">
        <f t="shared" si="55"/>
        <v/>
      </c>
      <c r="K42" s="2690" t="str">
        <f t="shared" si="56"/>
        <v/>
      </c>
      <c r="L42" s="2692" t="str">
        <f t="shared" si="57"/>
        <v/>
      </c>
      <c r="M42" s="2693">
        <f t="shared" si="58"/>
        <v>7.5</v>
      </c>
      <c r="N42" s="2694">
        <f t="shared" si="58"/>
        <v>7.5</v>
      </c>
      <c r="O42" s="2689">
        <f t="shared" si="59"/>
        <v>0</v>
      </c>
      <c r="P42" s="2690">
        <f t="shared" si="60"/>
        <v>6.75</v>
      </c>
      <c r="Q42" s="2686">
        <f t="shared" si="61"/>
        <v>0</v>
      </c>
      <c r="R42" s="2687">
        <f t="shared" si="62"/>
        <v>1</v>
      </c>
      <c r="S42" s="2695">
        <f t="shared" si="63"/>
        <v>0</v>
      </c>
      <c r="T42" s="2690">
        <f t="shared" si="64"/>
        <v>6.25</v>
      </c>
      <c r="U42" s="2686">
        <f t="shared" si="65"/>
        <v>0</v>
      </c>
      <c r="V42" s="2690">
        <f t="shared" si="66"/>
        <v>3.5</v>
      </c>
      <c r="W42" s="2694">
        <f t="shared" si="67"/>
        <v>5</v>
      </c>
      <c r="X42" s="2696" t="str">
        <f t="shared" si="68"/>
        <v/>
      </c>
      <c r="Y42" s="2697" t="str">
        <f t="shared" si="69"/>
        <v/>
      </c>
      <c r="Z42" s="2698" t="s">
        <v>1878</v>
      </c>
      <c r="AA42" s="2699" t="str">
        <f t="shared" si="70"/>
        <v/>
      </c>
      <c r="AB42" s="2683" t="str">
        <f t="shared" si="14"/>
        <v/>
      </c>
      <c r="AC42" s="2691" t="str">
        <f t="shared" si="3"/>
        <v/>
      </c>
      <c r="AD42" s="2686" t="str">
        <f t="shared" ca="1" si="40"/>
        <v/>
      </c>
      <c r="AE42" s="2690" t="str">
        <f t="shared" ca="1" si="41"/>
        <v/>
      </c>
      <c r="AF42" s="2691" t="str">
        <f t="shared" ca="1" si="42"/>
        <v/>
      </c>
      <c r="AG42" s="2686" t="str">
        <f t="shared" ca="1" si="43"/>
        <v/>
      </c>
      <c r="AH42" s="2690" t="str">
        <f t="shared" ca="1" si="44"/>
        <v/>
      </c>
      <c r="AI42" s="2686" t="str">
        <f t="shared" ca="1" si="45"/>
        <v/>
      </c>
      <c r="AJ42" s="2690" t="str">
        <f t="shared" ca="1" si="46"/>
        <v/>
      </c>
      <c r="AK42" s="2732" t="str">
        <f t="shared" si="15"/>
        <v/>
      </c>
      <c r="AL42" s="2733" t="str">
        <f t="shared" si="4"/>
        <v/>
      </c>
      <c r="AM42" s="2734" t="str">
        <f t="shared" si="100"/>
        <v/>
      </c>
      <c r="AN42" s="2691" t="str">
        <f t="shared" si="100"/>
        <v/>
      </c>
      <c r="AO42" s="2735" t="str">
        <f t="shared" si="100"/>
        <v/>
      </c>
      <c r="AP42" s="2693" t="str">
        <f t="shared" si="5"/>
        <v/>
      </c>
      <c r="AQ42" s="2736" t="str">
        <f t="shared" si="5"/>
        <v/>
      </c>
      <c r="AR42" s="2689" t="str">
        <f t="shared" si="17"/>
        <v/>
      </c>
      <c r="AS42" s="2690" t="str">
        <f t="shared" si="18"/>
        <v/>
      </c>
      <c r="AT42" s="2737" t="str">
        <f t="shared" si="19"/>
        <v/>
      </c>
      <c r="AU42" s="2738" t="str">
        <f t="shared" si="6"/>
        <v/>
      </c>
      <c r="AV42" s="2695" t="str">
        <f t="shared" si="20"/>
        <v/>
      </c>
      <c r="AW42" s="2690" t="str">
        <f t="shared" si="21"/>
        <v/>
      </c>
      <c r="AX42" s="2737" t="str">
        <f t="shared" si="22"/>
        <v/>
      </c>
      <c r="AY42" s="2738" t="str">
        <f t="shared" si="7"/>
        <v/>
      </c>
      <c r="AZ42" s="2695" t="str">
        <f t="shared" si="23"/>
        <v/>
      </c>
      <c r="BA42" s="2690" t="str">
        <f t="shared" si="24"/>
        <v/>
      </c>
      <c r="BB42" s="2737" t="str">
        <f t="shared" si="25"/>
        <v/>
      </c>
      <c r="BC42" s="2738" t="str">
        <f t="shared" si="8"/>
        <v/>
      </c>
      <c r="BD42" s="2695" t="str">
        <f t="shared" si="26"/>
        <v/>
      </c>
      <c r="BE42" s="2690" t="str">
        <f t="shared" si="27"/>
        <v/>
      </c>
      <c r="BF42" s="2737" t="str">
        <f t="shared" si="28"/>
        <v/>
      </c>
      <c r="BG42" s="2738" t="str">
        <f t="shared" si="9"/>
        <v/>
      </c>
      <c r="BH42" s="261"/>
      <c r="BJ42" s="1302" t="str">
        <f t="shared" si="99"/>
        <v>G15</v>
      </c>
      <c r="BK42" s="993" t="b">
        <f t="shared" si="101"/>
        <v>0</v>
      </c>
      <c r="BL42" s="1784" t="b">
        <v>0</v>
      </c>
      <c r="BM42" s="989">
        <f t="shared" si="88"/>
        <v>52</v>
      </c>
      <c r="BN42" s="989" t="str">
        <f t="shared" si="89"/>
        <v>G</v>
      </c>
      <c r="BO42" s="989">
        <f t="shared" si="90"/>
        <v>7</v>
      </c>
      <c r="BP42" s="989" t="str">
        <f t="shared" si="71"/>
        <v>12/5.5</v>
      </c>
      <c r="BQ42" s="989">
        <f t="shared" si="91"/>
        <v>2.4</v>
      </c>
      <c r="BR42" s="989" t="b">
        <f t="shared" si="92"/>
        <v>1</v>
      </c>
      <c r="BS42" s="1303">
        <f t="shared" si="93"/>
        <v>7.75</v>
      </c>
      <c r="BT42" s="990" t="str">
        <f t="shared" si="94"/>
        <v>Yes</v>
      </c>
      <c r="BU42" s="1303">
        <f t="shared" si="95"/>
        <v>6</v>
      </c>
      <c r="BV42" s="990" t="str">
        <f t="shared" si="96"/>
        <v>Yes</v>
      </c>
      <c r="BW42" s="991">
        <f t="shared" ca="1" si="29"/>
        <v>0</v>
      </c>
      <c r="BX42" s="991" t="str">
        <f t="shared" ca="1" si="36"/>
        <v/>
      </c>
      <c r="BY42" s="991" t="b">
        <f t="shared" ca="1" si="30"/>
        <v>0</v>
      </c>
      <c r="BZ42" s="1304" t="b">
        <f t="shared" si="37"/>
        <v>0</v>
      </c>
      <c r="CB42" s="672" t="s">
        <v>1411</v>
      </c>
      <c r="CC42" s="1685">
        <v>1</v>
      </c>
      <c r="CD42" s="699" t="s">
        <v>1702</v>
      </c>
      <c r="CE42" s="700">
        <v>51</v>
      </c>
      <c r="CF42" s="1329">
        <v>3</v>
      </c>
      <c r="CG42" s="672">
        <v>6</v>
      </c>
      <c r="CH42" s="713"/>
      <c r="CI42" s="714"/>
      <c r="CJ42" s="713"/>
      <c r="CK42" s="714"/>
      <c r="CL42" s="715"/>
      <c r="CM42" s="743"/>
      <c r="CN42" s="738"/>
      <c r="CO42" s="1552"/>
      <c r="CP42" s="910"/>
      <c r="CQ42" s="672">
        <v>2</v>
      </c>
      <c r="CR42" s="713"/>
      <c r="CS42" s="714"/>
      <c r="CT42" s="713"/>
      <c r="CU42" s="714"/>
      <c r="CV42" s="715"/>
      <c r="CW42" s="743"/>
      <c r="CX42" s="738"/>
      <c r="CY42" s="1552"/>
      <c r="CZ42" s="910"/>
      <c r="DA42" s="717"/>
      <c r="DB42" s="702" t="s">
        <v>1710</v>
      </c>
      <c r="DC42" s="703" t="s">
        <v>1679</v>
      </c>
      <c r="DD42" s="1599"/>
      <c r="DE42" s="1600">
        <v>11.125</v>
      </c>
      <c r="DF42" s="141"/>
      <c r="DG42" s="141"/>
      <c r="DH42" s="672"/>
      <c r="DI42" s="673"/>
      <c r="DJ42" s="692"/>
      <c r="DK42" s="1332"/>
      <c r="DL42" s="674"/>
      <c r="DM42" s="693"/>
      <c r="DN42" s="1335"/>
      <c r="DO42" s="675"/>
      <c r="DP42" s="676"/>
      <c r="DQ42" s="1420"/>
      <c r="DR42" s="677"/>
      <c r="DS42" s="1612"/>
      <c r="DT42" s="1607"/>
      <c r="DU42" s="1608"/>
      <c r="DV42" s="678"/>
      <c r="DW42" s="1337"/>
      <c r="DX42" s="679"/>
      <c r="DY42" s="674"/>
      <c r="DZ42" s="678"/>
      <c r="EA42" s="1337"/>
      <c r="EB42" s="679"/>
      <c r="EC42" s="674"/>
      <c r="ED42" s="678"/>
      <c r="EE42" s="1337"/>
      <c r="EF42" s="679"/>
      <c r="EG42" s="674"/>
      <c r="EH42" s="678"/>
      <c r="EI42" s="1337"/>
      <c r="EJ42" s="679"/>
      <c r="EK42" s="680"/>
      <c r="EL42" s="141"/>
      <c r="EM42" s="1632" t="str">
        <f t="shared" si="97"/>
        <v>G15</v>
      </c>
      <c r="EN42" s="1633" t="str">
        <f t="shared" si="72"/>
        <v/>
      </c>
      <c r="EO42" s="648" t="str">
        <f t="shared" si="73"/>
        <v/>
      </c>
      <c r="EP42" s="649" t="str">
        <f t="shared" si="74"/>
        <v/>
      </c>
      <c r="EQ42" s="813" t="str">
        <f t="shared" si="75"/>
        <v/>
      </c>
      <c r="ER42" s="1587" t="str">
        <f t="shared" si="76"/>
        <v/>
      </c>
      <c r="ES42" s="1588" t="str">
        <f t="shared" si="77"/>
        <v/>
      </c>
      <c r="ET42" s="1589" t="str">
        <f t="shared" si="78"/>
        <v/>
      </c>
      <c r="EU42" s="1590" t="str">
        <f t="shared" si="79"/>
        <v/>
      </c>
      <c r="EX42" s="503" t="str">
        <f t="shared" ca="1" si="31"/>
        <v/>
      </c>
      <c r="EY42" s="940" t="str">
        <f t="shared" si="10"/>
        <v/>
      </c>
      <c r="EZ42" s="940" t="str">
        <f t="shared" si="32"/>
        <v/>
      </c>
      <c r="FA42" s="958" t="str">
        <f t="shared" ca="1" si="38"/>
        <v/>
      </c>
      <c r="FB42" s="134" t="str">
        <f t="shared" ca="1" si="33"/>
        <v/>
      </c>
      <c r="FC42" s="134">
        <f t="shared" ca="1" si="11"/>
        <v>0</v>
      </c>
      <c r="FD42" s="134">
        <f t="shared" ca="1" si="12"/>
        <v>0</v>
      </c>
      <c r="FE42" s="134">
        <f t="shared" ca="1" si="13"/>
        <v>0</v>
      </c>
      <c r="FF42" s="134">
        <f t="shared" ca="1" si="34"/>
        <v>0</v>
      </c>
      <c r="FN42" s="993" t="b">
        <v>0</v>
      </c>
      <c r="FO42" s="754" t="b">
        <f t="shared" si="98"/>
        <v>1</v>
      </c>
      <c r="FP42" s="754" t="b">
        <v>0</v>
      </c>
      <c r="FQ42" s="754" t="b">
        <f t="shared" si="35"/>
        <v>1</v>
      </c>
      <c r="FX42" s="251"/>
      <c r="GA42" s="581">
        <f t="shared" si="80"/>
        <v>51</v>
      </c>
      <c r="GB42" s="623">
        <f t="shared" si="81"/>
        <v>3</v>
      </c>
      <c r="GC42" s="625">
        <f t="shared" si="82"/>
        <v>-0.25</v>
      </c>
      <c r="GD42" s="626">
        <f t="shared" si="83"/>
        <v>-1</v>
      </c>
      <c r="GE42" s="624">
        <f t="shared" si="84"/>
        <v>0</v>
      </c>
      <c r="GF42" s="582" t="str">
        <f t="shared" si="85"/>
        <v>G15</v>
      </c>
      <c r="GG42" s="692">
        <v>0</v>
      </c>
      <c r="GH42" s="1136">
        <v>0</v>
      </c>
      <c r="GI42" s="692"/>
      <c r="GJ42" s="1136"/>
      <c r="GK42" s="1641">
        <f t="shared" si="86"/>
        <v>613.75</v>
      </c>
      <c r="GL42" s="1641">
        <f t="shared" si="87"/>
        <v>613.75</v>
      </c>
      <c r="GM42" s="1642">
        <f>IF(ABS(GK42-GL42)&gt;='Job Info.'!$L$22,ABS(GK42-GL42),0)</f>
        <v>0</v>
      </c>
      <c r="HA42" s="1242" t="s">
        <v>1411</v>
      </c>
      <c r="HB42" s="1243">
        <v>1</v>
      </c>
      <c r="HC42" s="1243" t="s">
        <v>1702</v>
      </c>
      <c r="HD42" s="1244">
        <v>51</v>
      </c>
      <c r="HE42" s="1245">
        <v>3</v>
      </c>
      <c r="HF42" s="1243">
        <v>6</v>
      </c>
      <c r="HG42" s="1243"/>
      <c r="HH42" s="1243"/>
      <c r="HI42" s="1243"/>
      <c r="HJ42" s="1243"/>
      <c r="HK42" s="1243"/>
      <c r="HL42" s="1243"/>
      <c r="HM42" s="1243"/>
      <c r="HN42" s="1243"/>
      <c r="HO42" s="1243"/>
      <c r="HP42" s="1243">
        <v>2</v>
      </c>
      <c r="HQ42" s="1243"/>
      <c r="HR42" s="1243"/>
      <c r="HS42" s="1243"/>
      <c r="HT42" s="1243"/>
      <c r="HU42" s="1243"/>
      <c r="HV42" s="1243"/>
      <c r="HW42" s="1243"/>
      <c r="HX42" s="1243"/>
      <c r="HY42" s="1247"/>
      <c r="HZ42" s="1247"/>
      <c r="IA42" s="1247" t="s">
        <v>1710</v>
      </c>
      <c r="IB42" s="1247" t="s">
        <v>1679</v>
      </c>
      <c r="IC42" s="1247"/>
      <c r="ID42" s="1248">
        <v>11.125</v>
      </c>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39"/>
        <v>0</v>
      </c>
    </row>
    <row r="43" spans="1:272" ht="12.6" customHeight="1" x14ac:dyDescent="0.25">
      <c r="A43" s="2700" t="str">
        <f t="shared" si="48"/>
        <v>G16</v>
      </c>
      <c r="B43" s="2684">
        <f t="shared" si="48"/>
        <v>1</v>
      </c>
      <c r="C43" s="2685" t="s">
        <v>1714</v>
      </c>
      <c r="D43" s="2686">
        <f t="shared" si="49"/>
        <v>49</v>
      </c>
      <c r="E43" s="2687">
        <f t="shared" si="50"/>
        <v>11.5</v>
      </c>
      <c r="F43" s="2688">
        <f t="shared" si="51"/>
        <v>11.125</v>
      </c>
      <c r="G43" s="2689" t="str">
        <f t="shared" si="52"/>
        <v/>
      </c>
      <c r="H43" s="2690" t="str">
        <f t="shared" si="53"/>
        <v/>
      </c>
      <c r="I43" s="2691" t="str">
        <f t="shared" si="54"/>
        <v/>
      </c>
      <c r="J43" s="2686">
        <f t="shared" si="55"/>
        <v>0</v>
      </c>
      <c r="K43" s="2690">
        <f t="shared" si="56"/>
        <v>4</v>
      </c>
      <c r="L43" s="2692" t="str">
        <f t="shared" si="57"/>
        <v>R</v>
      </c>
      <c r="M43" s="2693">
        <f t="shared" si="58"/>
        <v>7.5</v>
      </c>
      <c r="N43" s="2694">
        <f t="shared" si="58"/>
        <v>7.5</v>
      </c>
      <c r="O43" s="2689">
        <f t="shared" si="59"/>
        <v>0</v>
      </c>
      <c r="P43" s="2690">
        <f t="shared" si="60"/>
        <v>1.5</v>
      </c>
      <c r="Q43" s="2686">
        <f t="shared" si="61"/>
        <v>0</v>
      </c>
      <c r="R43" s="2687">
        <f t="shared" si="62"/>
        <v>3</v>
      </c>
      <c r="S43" s="2695">
        <f t="shared" si="63"/>
        <v>0</v>
      </c>
      <c r="T43" s="2690">
        <f t="shared" si="64"/>
        <v>3</v>
      </c>
      <c r="U43" s="2686" t="str">
        <f t="shared" si="65"/>
        <v/>
      </c>
      <c r="V43" s="2690" t="str">
        <f t="shared" si="66"/>
        <v/>
      </c>
      <c r="W43" s="2694">
        <f t="shared" si="67"/>
        <v>5</v>
      </c>
      <c r="X43" s="2696" t="str">
        <f t="shared" si="68"/>
        <v/>
      </c>
      <c r="Y43" s="2697" t="str">
        <f t="shared" si="69"/>
        <v/>
      </c>
      <c r="Z43" s="2698" t="s">
        <v>1879</v>
      </c>
      <c r="AA43" s="2699" t="str">
        <f t="shared" si="70"/>
        <v/>
      </c>
      <c r="AB43" s="2683" t="str">
        <f t="shared" si="14"/>
        <v/>
      </c>
      <c r="AC43" s="2691" t="str">
        <f t="shared" si="3"/>
        <v/>
      </c>
      <c r="AD43" s="2686" t="str">
        <f t="shared" ca="1" si="40"/>
        <v/>
      </c>
      <c r="AE43" s="2690" t="str">
        <f t="shared" ca="1" si="41"/>
        <v/>
      </c>
      <c r="AF43" s="2691" t="str">
        <f t="shared" ca="1" si="42"/>
        <v/>
      </c>
      <c r="AG43" s="2686" t="str">
        <f t="shared" ca="1" si="43"/>
        <v/>
      </c>
      <c r="AH43" s="2690" t="str">
        <f t="shared" ca="1" si="44"/>
        <v/>
      </c>
      <c r="AI43" s="2686" t="str">
        <f t="shared" ca="1" si="45"/>
        <v/>
      </c>
      <c r="AJ43" s="2690" t="str">
        <f t="shared" ca="1" si="46"/>
        <v/>
      </c>
      <c r="AK43" s="2732" t="str">
        <f t="shared" si="15"/>
        <v/>
      </c>
      <c r="AL43" s="2733" t="str">
        <f t="shared" si="4"/>
        <v/>
      </c>
      <c r="AM43" s="2734" t="str">
        <f t="shared" si="100"/>
        <v/>
      </c>
      <c r="AN43" s="2691" t="str">
        <f t="shared" si="100"/>
        <v/>
      </c>
      <c r="AO43" s="2735" t="str">
        <f t="shared" si="100"/>
        <v/>
      </c>
      <c r="AP43" s="2693" t="str">
        <f t="shared" si="5"/>
        <v/>
      </c>
      <c r="AQ43" s="2736" t="str">
        <f t="shared" si="5"/>
        <v/>
      </c>
      <c r="AR43" s="2689" t="str">
        <f t="shared" si="17"/>
        <v/>
      </c>
      <c r="AS43" s="2690" t="str">
        <f t="shared" si="18"/>
        <v/>
      </c>
      <c r="AT43" s="2737" t="str">
        <f t="shared" si="19"/>
        <v/>
      </c>
      <c r="AU43" s="2738" t="str">
        <f t="shared" si="6"/>
        <v/>
      </c>
      <c r="AV43" s="2695" t="str">
        <f t="shared" si="20"/>
        <v/>
      </c>
      <c r="AW43" s="2690" t="str">
        <f t="shared" si="21"/>
        <v/>
      </c>
      <c r="AX43" s="2737" t="str">
        <f t="shared" si="22"/>
        <v/>
      </c>
      <c r="AY43" s="2738" t="str">
        <f t="shared" si="7"/>
        <v/>
      </c>
      <c r="AZ43" s="2695" t="str">
        <f t="shared" si="23"/>
        <v/>
      </c>
      <c r="BA43" s="2690" t="str">
        <f t="shared" si="24"/>
        <v/>
      </c>
      <c r="BB43" s="2737" t="str">
        <f t="shared" si="25"/>
        <v/>
      </c>
      <c r="BC43" s="2738" t="str">
        <f t="shared" si="8"/>
        <v/>
      </c>
      <c r="BD43" s="2695" t="str">
        <f t="shared" si="26"/>
        <v/>
      </c>
      <c r="BE43" s="2690" t="str">
        <f t="shared" si="27"/>
        <v/>
      </c>
      <c r="BF43" s="2737" t="str">
        <f t="shared" si="28"/>
        <v/>
      </c>
      <c r="BG43" s="2738" t="str">
        <f t="shared" si="9"/>
        <v/>
      </c>
      <c r="BH43" s="261"/>
      <c r="BJ43" s="1302" t="str">
        <f t="shared" si="99"/>
        <v>G16</v>
      </c>
      <c r="BK43" s="993" t="b">
        <f t="shared" si="101"/>
        <v>0</v>
      </c>
      <c r="BL43" s="1784" t="b">
        <v>0</v>
      </c>
      <c r="BM43" s="989">
        <f t="shared" si="88"/>
        <v>60</v>
      </c>
      <c r="BN43" s="989" t="str">
        <f t="shared" si="89"/>
        <v>G</v>
      </c>
      <c r="BO43" s="989">
        <f t="shared" si="90"/>
        <v>7</v>
      </c>
      <c r="BP43" s="989" t="str">
        <f t="shared" si="71"/>
        <v>11/5</v>
      </c>
      <c r="BQ43" s="989">
        <f t="shared" si="91"/>
        <v>2.4</v>
      </c>
      <c r="BR43" s="989" t="b">
        <f t="shared" si="92"/>
        <v>1</v>
      </c>
      <c r="BS43" s="1303">
        <f t="shared" si="93"/>
        <v>6</v>
      </c>
      <c r="BT43" s="990" t="str">
        <f t="shared" si="94"/>
        <v>Yes</v>
      </c>
      <c r="BU43" s="1303">
        <f t="shared" si="95"/>
        <v>10</v>
      </c>
      <c r="BV43" s="990" t="str">
        <f t="shared" si="96"/>
        <v>No</v>
      </c>
      <c r="BW43" s="991">
        <f t="shared" ca="1" si="29"/>
        <v>0</v>
      </c>
      <c r="BX43" s="991" t="str">
        <f t="shared" ca="1" si="36"/>
        <v/>
      </c>
      <c r="BY43" s="991" t="b">
        <f t="shared" ca="1" si="30"/>
        <v>0</v>
      </c>
      <c r="BZ43" s="1304" t="b">
        <f t="shared" si="37"/>
        <v>0</v>
      </c>
      <c r="CB43" s="672" t="s">
        <v>1412</v>
      </c>
      <c r="CC43" s="1685">
        <v>1</v>
      </c>
      <c r="CD43" s="699" t="s">
        <v>1714</v>
      </c>
      <c r="CE43" s="700">
        <v>50</v>
      </c>
      <c r="CF43" s="1329">
        <v>6.5</v>
      </c>
      <c r="CG43" s="672">
        <v>17</v>
      </c>
      <c r="CH43" s="713"/>
      <c r="CI43" s="714"/>
      <c r="CJ43" s="713"/>
      <c r="CK43" s="714"/>
      <c r="CL43" s="715"/>
      <c r="CM43" s="743"/>
      <c r="CN43" s="738"/>
      <c r="CO43" s="1552"/>
      <c r="CP43" s="910"/>
      <c r="CQ43" s="2660" t="s">
        <v>1861</v>
      </c>
      <c r="CR43" s="713"/>
      <c r="CS43" s="714"/>
      <c r="CT43" s="713"/>
      <c r="CU43" s="714"/>
      <c r="CV43" s="715">
        <v>-46</v>
      </c>
      <c r="CW43" s="743"/>
      <c r="CX43" s="738"/>
      <c r="CY43" s="1552"/>
      <c r="CZ43" s="910"/>
      <c r="DA43" s="717"/>
      <c r="DB43" s="702" t="s">
        <v>1715</v>
      </c>
      <c r="DC43" s="703" t="s">
        <v>1716</v>
      </c>
      <c r="DD43" s="1599"/>
      <c r="DE43" s="1600">
        <v>11.125</v>
      </c>
      <c r="DF43" s="141"/>
      <c r="DG43" s="141"/>
      <c r="DH43" s="672"/>
      <c r="DI43" s="673"/>
      <c r="DJ43" s="692"/>
      <c r="DK43" s="1332"/>
      <c r="DL43" s="674"/>
      <c r="DM43" s="693"/>
      <c r="DN43" s="1335"/>
      <c r="DO43" s="675"/>
      <c r="DP43" s="676"/>
      <c r="DQ43" s="1420"/>
      <c r="DR43" s="677"/>
      <c r="DS43" s="1612"/>
      <c r="DT43" s="1607"/>
      <c r="DU43" s="1608"/>
      <c r="DV43" s="678"/>
      <c r="DW43" s="1337"/>
      <c r="DX43" s="679"/>
      <c r="DY43" s="674"/>
      <c r="DZ43" s="678"/>
      <c r="EA43" s="1337"/>
      <c r="EB43" s="679"/>
      <c r="EC43" s="674"/>
      <c r="ED43" s="678"/>
      <c r="EE43" s="1337"/>
      <c r="EF43" s="679"/>
      <c r="EG43" s="674"/>
      <c r="EH43" s="678"/>
      <c r="EI43" s="1337"/>
      <c r="EJ43" s="679"/>
      <c r="EK43" s="680"/>
      <c r="EL43" s="141"/>
      <c r="EM43" s="1632" t="str">
        <f t="shared" si="97"/>
        <v>G16</v>
      </c>
      <c r="EN43" s="1633" t="str">
        <f t="shared" si="72"/>
        <v/>
      </c>
      <c r="EO43" s="648" t="str">
        <f t="shared" si="73"/>
        <v/>
      </c>
      <c r="EP43" s="649" t="str">
        <f t="shared" si="74"/>
        <v/>
      </c>
      <c r="EQ43" s="813" t="str">
        <f t="shared" si="75"/>
        <v/>
      </c>
      <c r="ER43" s="1587" t="str">
        <f t="shared" si="76"/>
        <v/>
      </c>
      <c r="ES43" s="1588" t="str">
        <f t="shared" si="77"/>
        <v/>
      </c>
      <c r="ET43" s="1589" t="str">
        <f t="shared" si="78"/>
        <v/>
      </c>
      <c r="EU43" s="1590" t="str">
        <f t="shared" si="79"/>
        <v/>
      </c>
      <c r="EX43" s="503" t="str">
        <f t="shared" ca="1" si="31"/>
        <v/>
      </c>
      <c r="EY43" s="940" t="str">
        <f t="shared" si="10"/>
        <v/>
      </c>
      <c r="EZ43" s="940" t="str">
        <f t="shared" si="32"/>
        <v/>
      </c>
      <c r="FA43" s="958" t="str">
        <f t="shared" ca="1" si="38"/>
        <v/>
      </c>
      <c r="FB43" s="134" t="str">
        <f t="shared" ca="1" si="33"/>
        <v/>
      </c>
      <c r="FC43" s="134">
        <f t="shared" ca="1" si="11"/>
        <v>0</v>
      </c>
      <c r="FD43" s="134">
        <f t="shared" ca="1" si="12"/>
        <v>0</v>
      </c>
      <c r="FE43" s="134">
        <f t="shared" ca="1" si="13"/>
        <v>0</v>
      </c>
      <c r="FF43" s="134">
        <f t="shared" ca="1" si="34"/>
        <v>0</v>
      </c>
      <c r="FN43" s="993" t="b">
        <v>0</v>
      </c>
      <c r="FO43" s="754" t="b">
        <f t="shared" si="98"/>
        <v>1</v>
      </c>
      <c r="FP43" s="754" t="b">
        <v>0</v>
      </c>
      <c r="FQ43" s="754" t="b">
        <f t="shared" si="35"/>
        <v>1</v>
      </c>
      <c r="FX43" s="251"/>
      <c r="GA43" s="581">
        <f t="shared" si="80"/>
        <v>50</v>
      </c>
      <c r="GB43" s="623">
        <f t="shared" si="81"/>
        <v>6.5</v>
      </c>
      <c r="GC43" s="625">
        <f t="shared" si="82"/>
        <v>-5.5</v>
      </c>
      <c r="GD43" s="626">
        <f t="shared" si="83"/>
        <v>-1.5</v>
      </c>
      <c r="GE43" s="624">
        <f t="shared" si="84"/>
        <v>0</v>
      </c>
      <c r="GF43" s="582" t="str">
        <f t="shared" si="85"/>
        <v>G16</v>
      </c>
      <c r="GG43" s="692">
        <v>0</v>
      </c>
      <c r="GH43" s="1136">
        <v>0</v>
      </c>
      <c r="GI43" s="692"/>
      <c r="GJ43" s="1136"/>
      <c r="GK43" s="1641">
        <f t="shared" si="86"/>
        <v>599.5</v>
      </c>
      <c r="GL43" s="1641">
        <f t="shared" si="87"/>
        <v>599.5</v>
      </c>
      <c r="GM43" s="1642">
        <f>IF(ABS(GK43-GL43)&gt;='Job Info.'!$L$22,ABS(GK43-GL43),0)</f>
        <v>0</v>
      </c>
      <c r="HA43" s="1242" t="s">
        <v>1412</v>
      </c>
      <c r="HB43" s="1243">
        <v>1</v>
      </c>
      <c r="HC43" s="1243" t="s">
        <v>1714</v>
      </c>
      <c r="HD43" s="1244">
        <v>50</v>
      </c>
      <c r="HE43" s="1245">
        <v>6.5</v>
      </c>
      <c r="HF43" s="1243">
        <v>17</v>
      </c>
      <c r="HG43" s="1243"/>
      <c r="HH43" s="1243"/>
      <c r="HI43" s="1243"/>
      <c r="HJ43" s="1243"/>
      <c r="HK43" s="1243"/>
      <c r="HL43" s="1243"/>
      <c r="HM43" s="1243"/>
      <c r="HN43" s="1243"/>
      <c r="HO43" s="1243"/>
      <c r="HP43" s="1243">
        <v>3</v>
      </c>
      <c r="HQ43" s="1243"/>
      <c r="HR43" s="1243"/>
      <c r="HS43" s="1243"/>
      <c r="HT43" s="1243"/>
      <c r="HU43" s="1243">
        <v>-46</v>
      </c>
      <c r="HV43" s="1243"/>
      <c r="HW43" s="1243"/>
      <c r="HX43" s="1243"/>
      <c r="HY43" s="1247"/>
      <c r="HZ43" s="1247"/>
      <c r="IA43" s="1247" t="s">
        <v>1715</v>
      </c>
      <c r="IB43" s="1247" t="s">
        <v>1716</v>
      </c>
      <c r="IC43" s="1247"/>
      <c r="ID43" s="1248">
        <v>11.125</v>
      </c>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39"/>
        <v>0</v>
      </c>
    </row>
    <row r="44" spans="1:272" ht="12.6" customHeight="1" x14ac:dyDescent="0.25">
      <c r="A44" s="2683" t="str">
        <f t="shared" si="48"/>
        <v/>
      </c>
      <c r="B44" s="2684" t="str">
        <f t="shared" si="48"/>
        <v/>
      </c>
      <c r="C44" s="2685"/>
      <c r="D44" s="2686" t="str">
        <f t="shared" si="49"/>
        <v/>
      </c>
      <c r="E44" s="2687" t="str">
        <f t="shared" si="50"/>
        <v/>
      </c>
      <c r="F44" s="2688" t="str">
        <f t="shared" si="51"/>
        <v/>
      </c>
      <c r="G44" s="2689" t="str">
        <f t="shared" si="52"/>
        <v/>
      </c>
      <c r="H44" s="2690" t="str">
        <f t="shared" si="53"/>
        <v/>
      </c>
      <c r="I44" s="2691" t="str">
        <f t="shared" si="54"/>
        <v/>
      </c>
      <c r="J44" s="2686" t="str">
        <f t="shared" si="55"/>
        <v/>
      </c>
      <c r="K44" s="2690" t="str">
        <f t="shared" si="56"/>
        <v/>
      </c>
      <c r="L44" s="2692" t="str">
        <f t="shared" si="57"/>
        <v/>
      </c>
      <c r="M44" s="2693" t="str">
        <f t="shared" si="58"/>
        <v/>
      </c>
      <c r="N44" s="2694" t="str">
        <f t="shared" si="58"/>
        <v/>
      </c>
      <c r="O44" s="2689" t="str">
        <f t="shared" si="59"/>
        <v/>
      </c>
      <c r="P44" s="2690" t="str">
        <f t="shared" si="60"/>
        <v/>
      </c>
      <c r="Q44" s="2686" t="str">
        <f t="shared" si="61"/>
        <v/>
      </c>
      <c r="R44" s="2687" t="str">
        <f t="shared" si="62"/>
        <v/>
      </c>
      <c r="S44" s="2695" t="str">
        <f t="shared" si="63"/>
        <v/>
      </c>
      <c r="T44" s="2690" t="str">
        <f t="shared" si="64"/>
        <v/>
      </c>
      <c r="U44" s="2686" t="str">
        <f t="shared" si="65"/>
        <v/>
      </c>
      <c r="V44" s="2690" t="str">
        <f t="shared" si="66"/>
        <v/>
      </c>
      <c r="W44" s="2694">
        <f t="shared" si="67"/>
        <v>0</v>
      </c>
      <c r="X44" s="2696" t="str">
        <f t="shared" si="68"/>
        <v/>
      </c>
      <c r="Y44" s="2697" t="str">
        <f t="shared" si="69"/>
        <v/>
      </c>
      <c r="Z44" s="2698" t="s">
        <v>116</v>
      </c>
      <c r="AA44" s="2699" t="str">
        <f t="shared" si="70"/>
        <v/>
      </c>
      <c r="AB44" s="2683" t="str">
        <f t="shared" si="14"/>
        <v/>
      </c>
      <c r="AC44" s="2691" t="str">
        <f t="shared" si="3"/>
        <v/>
      </c>
      <c r="AD44" s="2686" t="str">
        <f t="shared" ca="1" si="40"/>
        <v/>
      </c>
      <c r="AE44" s="2690" t="str">
        <f t="shared" ca="1" si="41"/>
        <v/>
      </c>
      <c r="AF44" s="2691" t="str">
        <f t="shared" ca="1" si="42"/>
        <v/>
      </c>
      <c r="AG44" s="2686" t="str">
        <f t="shared" ca="1" si="43"/>
        <v/>
      </c>
      <c r="AH44" s="2690" t="str">
        <f t="shared" ca="1" si="44"/>
        <v/>
      </c>
      <c r="AI44" s="2686" t="str">
        <f t="shared" ca="1" si="45"/>
        <v/>
      </c>
      <c r="AJ44" s="2690" t="str">
        <f t="shared" ca="1" si="46"/>
        <v/>
      </c>
      <c r="AK44" s="2732" t="str">
        <f t="shared" si="15"/>
        <v/>
      </c>
      <c r="AL44" s="2733" t="str">
        <f t="shared" si="4"/>
        <v/>
      </c>
      <c r="AM44" s="2734" t="str">
        <f t="shared" si="100"/>
        <v/>
      </c>
      <c r="AN44" s="2691" t="str">
        <f t="shared" si="100"/>
        <v/>
      </c>
      <c r="AO44" s="2735" t="str">
        <f t="shared" si="100"/>
        <v/>
      </c>
      <c r="AP44" s="2693" t="str">
        <f t="shared" si="5"/>
        <v/>
      </c>
      <c r="AQ44" s="2736" t="str">
        <f t="shared" si="5"/>
        <v/>
      </c>
      <c r="AR44" s="2689" t="str">
        <f t="shared" si="17"/>
        <v/>
      </c>
      <c r="AS44" s="2690" t="str">
        <f t="shared" si="18"/>
        <v/>
      </c>
      <c r="AT44" s="2737" t="str">
        <f t="shared" si="19"/>
        <v/>
      </c>
      <c r="AU44" s="2738" t="str">
        <f t="shared" si="6"/>
        <v/>
      </c>
      <c r="AV44" s="2695" t="str">
        <f t="shared" si="20"/>
        <v/>
      </c>
      <c r="AW44" s="2690" t="str">
        <f t="shared" si="21"/>
        <v/>
      </c>
      <c r="AX44" s="2737" t="str">
        <f t="shared" si="22"/>
        <v/>
      </c>
      <c r="AY44" s="2738" t="str">
        <f t="shared" si="7"/>
        <v/>
      </c>
      <c r="AZ44" s="2695" t="str">
        <f t="shared" si="23"/>
        <v/>
      </c>
      <c r="BA44" s="2690" t="str">
        <f t="shared" si="24"/>
        <v/>
      </c>
      <c r="BB44" s="2737" t="str">
        <f t="shared" si="25"/>
        <v/>
      </c>
      <c r="BC44" s="2738" t="str">
        <f t="shared" si="8"/>
        <v/>
      </c>
      <c r="BD44" s="2695" t="str">
        <f t="shared" si="26"/>
        <v/>
      </c>
      <c r="BE44" s="2690" t="str">
        <f t="shared" si="27"/>
        <v/>
      </c>
      <c r="BF44" s="2737" t="str">
        <f t="shared" si="28"/>
        <v/>
      </c>
      <c r="BG44" s="2738" t="str">
        <f t="shared" si="9"/>
        <v/>
      </c>
      <c r="BH44" s="261"/>
      <c r="BJ44" s="1302" t="str">
        <f t="shared" si="99"/>
        <v/>
      </c>
      <c r="BK44" s="993" t="b">
        <f t="shared" si="101"/>
        <v>0</v>
      </c>
      <c r="BL44" s="1784" t="b">
        <v>0</v>
      </c>
      <c r="BM44" s="989">
        <f t="shared" si="88"/>
        <v>0</v>
      </c>
      <c r="BN44" s="989">
        <f t="shared" si="89"/>
        <v>0</v>
      </c>
      <c r="BO44" s="989">
        <f t="shared" si="90"/>
        <v>0</v>
      </c>
      <c r="BP44" s="989">
        <f t="shared" si="71"/>
        <v>0</v>
      </c>
      <c r="BQ44" s="989">
        <f t="shared" si="91"/>
        <v>0</v>
      </c>
      <c r="BR44" s="989" t="b">
        <f t="shared" si="92"/>
        <v>1</v>
      </c>
      <c r="BS44" s="1303">
        <f t="shared" si="93"/>
        <v>6</v>
      </c>
      <c r="BT44" s="990" t="str">
        <f t="shared" si="94"/>
        <v>No</v>
      </c>
      <c r="BU44" s="1303">
        <f t="shared" si="95"/>
        <v>6</v>
      </c>
      <c r="BV44" s="990" t="str">
        <f t="shared" si="96"/>
        <v>No</v>
      </c>
      <c r="BW44" s="991">
        <f t="shared" ca="1" si="29"/>
        <v>0</v>
      </c>
      <c r="BX44" s="991" t="str">
        <f t="shared" ca="1" si="36"/>
        <v/>
      </c>
      <c r="BY44" s="991" t="b">
        <f t="shared" ca="1" si="30"/>
        <v>0</v>
      </c>
      <c r="BZ44" s="1304" t="b">
        <f t="shared" si="37"/>
        <v>0</v>
      </c>
      <c r="CB44" s="672"/>
      <c r="CC44" s="1685"/>
      <c r="CD44" s="699"/>
      <c r="CE44" s="700"/>
      <c r="CF44" s="1329"/>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1599"/>
      <c r="DE44" s="1600"/>
      <c r="DF44" s="141"/>
      <c r="DG44" s="141"/>
      <c r="DH44" s="745"/>
      <c r="DI44" s="673"/>
      <c r="DJ44" s="692"/>
      <c r="DK44" s="1332"/>
      <c r="DL44" s="674"/>
      <c r="DM44" s="693"/>
      <c r="DN44" s="1335"/>
      <c r="DO44" s="675"/>
      <c r="DP44" s="676"/>
      <c r="DQ44" s="1420"/>
      <c r="DR44" s="677"/>
      <c r="DS44" s="1612"/>
      <c r="DT44" s="1607"/>
      <c r="DU44" s="1608"/>
      <c r="DV44" s="678"/>
      <c r="DW44" s="1337"/>
      <c r="DX44" s="679"/>
      <c r="DY44" s="674"/>
      <c r="DZ44" s="678"/>
      <c r="EA44" s="1337"/>
      <c r="EB44" s="679"/>
      <c r="EC44" s="674"/>
      <c r="ED44" s="678"/>
      <c r="EE44" s="1337"/>
      <c r="EF44" s="679"/>
      <c r="EG44" s="674"/>
      <c r="EH44" s="678"/>
      <c r="EI44" s="1337"/>
      <c r="EJ44" s="679"/>
      <c r="EK44" s="680"/>
      <c r="EL44" s="141"/>
      <c r="EM44" s="1632" t="str">
        <f t="shared" si="97"/>
        <v/>
      </c>
      <c r="EN44" s="1633" t="str">
        <f t="shared" si="72"/>
        <v/>
      </c>
      <c r="EO44" s="648" t="str">
        <f t="shared" si="73"/>
        <v/>
      </c>
      <c r="EP44" s="649" t="str">
        <f t="shared" si="74"/>
        <v/>
      </c>
      <c r="EQ44" s="813" t="str">
        <f t="shared" si="75"/>
        <v/>
      </c>
      <c r="ER44" s="1587" t="str">
        <f t="shared" si="76"/>
        <v/>
      </c>
      <c r="ES44" s="1588" t="str">
        <f t="shared" si="77"/>
        <v/>
      </c>
      <c r="ET44" s="1589" t="str">
        <f t="shared" si="78"/>
        <v/>
      </c>
      <c r="EU44" s="1590" t="str">
        <f t="shared" si="79"/>
        <v/>
      </c>
      <c r="EX44" s="503" t="str">
        <f t="shared" ca="1" si="31"/>
        <v/>
      </c>
      <c r="EY44" s="940" t="str">
        <f t="shared" si="10"/>
        <v/>
      </c>
      <c r="EZ44" s="940" t="str">
        <f t="shared" si="32"/>
        <v/>
      </c>
      <c r="FA44" s="958" t="str">
        <f t="shared" ca="1" si="38"/>
        <v/>
      </c>
      <c r="FB44" s="134" t="str">
        <f t="shared" ca="1" si="33"/>
        <v/>
      </c>
      <c r="FC44" s="134">
        <f t="shared" ca="1" si="11"/>
        <v>0</v>
      </c>
      <c r="FD44" s="134">
        <f t="shared" ca="1" si="12"/>
        <v>0</v>
      </c>
      <c r="FE44" s="134">
        <f t="shared" ca="1" si="13"/>
        <v>0</v>
      </c>
      <c r="FF44" s="134">
        <f t="shared" ca="1" si="34"/>
        <v>0</v>
      </c>
      <c r="FN44" s="993" t="b">
        <v>0</v>
      </c>
      <c r="FO44" s="754" t="b">
        <f t="shared" si="98"/>
        <v>1</v>
      </c>
      <c r="FP44" s="754" t="b">
        <v>0</v>
      </c>
      <c r="FQ44" s="754" t="b">
        <f t="shared" si="35"/>
        <v>1</v>
      </c>
      <c r="FX44" s="251"/>
      <c r="GA44" s="581" t="str">
        <f t="shared" si="80"/>
        <v/>
      </c>
      <c r="GB44" s="623" t="str">
        <f t="shared" si="81"/>
        <v/>
      </c>
      <c r="GC44" s="625" t="str">
        <f t="shared" si="82"/>
        <v/>
      </c>
      <c r="GD44" s="626" t="str">
        <f t="shared" si="83"/>
        <v/>
      </c>
      <c r="GE44" s="624" t="str">
        <f t="shared" si="84"/>
        <v/>
      </c>
      <c r="GF44" s="582" t="str">
        <f t="shared" si="85"/>
        <v/>
      </c>
      <c r="GG44" s="692"/>
      <c r="GH44" s="1136"/>
      <c r="GI44" s="692"/>
      <c r="GJ44" s="1136"/>
      <c r="GK44" s="1641">
        <f t="shared" si="86"/>
        <v>0</v>
      </c>
      <c r="GL44" s="1641" t="e">
        <f t="shared" si="87"/>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39"/>
        <v>0</v>
      </c>
    </row>
    <row r="45" spans="1:272" ht="12.6" customHeight="1" thickBot="1" x14ac:dyDescent="0.35">
      <c r="A45" s="2701" t="str">
        <f t="shared" si="48"/>
        <v/>
      </c>
      <c r="B45" s="2702" t="str">
        <f t="shared" si="48"/>
        <v/>
      </c>
      <c r="C45" s="2703"/>
      <c r="D45" s="2704" t="str">
        <f>IF(CV85="","",TRUNC(CV85/12))</f>
        <v/>
      </c>
      <c r="E45" s="2705" t="str">
        <f>IF(CV85="","",CV85-(D45*12))</f>
        <v/>
      </c>
      <c r="F45" s="2706" t="str">
        <f t="shared" si="51"/>
        <v/>
      </c>
      <c r="G45" s="2707" t="str">
        <f>IF(DD85=0,"",TRUNC(DD85/12))</f>
        <v/>
      </c>
      <c r="H45" s="2708" t="str">
        <f>IF(DD85=0,"",DD85-(G45*12))</f>
        <v/>
      </c>
      <c r="I45" s="2709" t="str">
        <f>IF(DD85=0,"",CE85)</f>
        <v/>
      </c>
      <c r="J45" s="2704" t="str">
        <f>IF(DJ85=0,"",TRUNC(DJ85/12))</f>
        <v/>
      </c>
      <c r="K45" s="2708" t="str">
        <f>IF(DJ85=0,"",DJ85-(J45*12))</f>
        <v/>
      </c>
      <c r="L45" s="2710" t="str">
        <f>IF(DJ85=0,"",CN85)</f>
        <v/>
      </c>
      <c r="M45" s="2711" t="str">
        <f t="shared" si="58"/>
        <v/>
      </c>
      <c r="N45" s="2712" t="str">
        <f t="shared" si="58"/>
        <v/>
      </c>
      <c r="O45" s="2707" t="str">
        <f>IF(DZ85="","",IF(AND(DZ85&gt;-12,DZ85&lt;0),-0.000001,TRUNC(DZ85/12)))</f>
        <v/>
      </c>
      <c r="P45" s="2708" t="str">
        <f>IF(DZ85="","",IF(AND(DZ85&lt;0,DZ85-(O45*12)=0),-0.00001,DZ85-(O45*12)))</f>
        <v/>
      </c>
      <c r="Q45" s="2704" t="str">
        <f>IF(EA85="","",IF(AND(EA85&gt;-12,EA85&lt;0),-0.000001,TRUNC(EA85/12)))</f>
        <v/>
      </c>
      <c r="R45" s="2705" t="str">
        <f>IF(EA85="","",IF(AND(EA85&lt;0,EA85-(Q45*12)=0),-0.00001,EA85-(Q45*12)))</f>
        <v/>
      </c>
      <c r="S45" s="2713" t="str">
        <f>IF(DR85="","",IF(DR85="ERR",TRUNC(DQ85/12),TRUNC(DR85/12)))</f>
        <v/>
      </c>
      <c r="T45" s="2708" t="str">
        <f>IF(DR85="","",IF(DR85="ERR",DQ85-(S45*12),DR85-(S45*12)))</f>
        <v/>
      </c>
      <c r="U45" s="2704" t="str">
        <f>IF(DY85="","",IF(DY85="ERR",TRUNC(DX85/12),TRUNC(DY85/12)))</f>
        <v/>
      </c>
      <c r="V45" s="2708" t="str">
        <f>IF(DY85="","",IF(DY85="ERR",DX85-(U45*12),DY85-(U45*12)))</f>
        <v/>
      </c>
      <c r="W45" s="2712">
        <f>IF(EC85="",0,EC85)</f>
        <v>0</v>
      </c>
      <c r="X45" s="2714" t="str">
        <f>IF(EN85="","",EN85)</f>
        <v/>
      </c>
      <c r="Y45" s="2715" t="str">
        <f>IF(ES85="","",ES85)</f>
        <v/>
      </c>
      <c r="Z45" s="2716" t="s">
        <v>116</v>
      </c>
      <c r="AA45" s="2717" t="str">
        <f t="shared" si="70"/>
        <v/>
      </c>
      <c r="AB45" s="2701" t="str">
        <f t="shared" si="14"/>
        <v/>
      </c>
      <c r="AC45" s="2709" t="str">
        <f t="shared" si="3"/>
        <v/>
      </c>
      <c r="AD45" s="2704" t="str">
        <f t="shared" ca="1" si="40"/>
        <v/>
      </c>
      <c r="AE45" s="2708" t="str">
        <f t="shared" ca="1" si="41"/>
        <v/>
      </c>
      <c r="AF45" s="2709" t="str">
        <f t="shared" ca="1" si="42"/>
        <v/>
      </c>
      <c r="AG45" s="2704" t="str">
        <f t="shared" ca="1" si="43"/>
        <v/>
      </c>
      <c r="AH45" s="2708" t="str">
        <f t="shared" ca="1" si="44"/>
        <v/>
      </c>
      <c r="AI45" s="2704" t="str">
        <f t="shared" ca="1" si="45"/>
        <v/>
      </c>
      <c r="AJ45" s="2708" t="str">
        <f t="shared" ca="1" si="46"/>
        <v/>
      </c>
      <c r="AK45" s="2739" t="str">
        <f t="shared" si="15"/>
        <v/>
      </c>
      <c r="AL45" s="2740" t="str">
        <f t="shared" si="4"/>
        <v/>
      </c>
      <c r="AM45" s="2741" t="str">
        <f t="shared" si="100"/>
        <v/>
      </c>
      <c r="AN45" s="2709" t="str">
        <f t="shared" si="100"/>
        <v/>
      </c>
      <c r="AO45" s="2742" t="str">
        <f t="shared" si="100"/>
        <v/>
      </c>
      <c r="AP45" s="2711" t="str">
        <f t="shared" si="5"/>
        <v/>
      </c>
      <c r="AQ45" s="2743" t="str">
        <f t="shared" si="5"/>
        <v/>
      </c>
      <c r="AR45" s="2707" t="str">
        <f t="shared" si="17"/>
        <v/>
      </c>
      <c r="AS45" s="2708" t="str">
        <f t="shared" si="18"/>
        <v/>
      </c>
      <c r="AT45" s="2744" t="str">
        <f t="shared" si="19"/>
        <v/>
      </c>
      <c r="AU45" s="2745" t="str">
        <f t="shared" si="6"/>
        <v/>
      </c>
      <c r="AV45" s="2713" t="str">
        <f t="shared" si="20"/>
        <v/>
      </c>
      <c r="AW45" s="2708" t="str">
        <f t="shared" si="21"/>
        <v/>
      </c>
      <c r="AX45" s="2744" t="str">
        <f t="shared" si="22"/>
        <v/>
      </c>
      <c r="AY45" s="2745" t="str">
        <f t="shared" si="7"/>
        <v/>
      </c>
      <c r="AZ45" s="2713" t="str">
        <f t="shared" si="23"/>
        <v/>
      </c>
      <c r="BA45" s="2708" t="str">
        <f t="shared" si="24"/>
        <v/>
      </c>
      <c r="BB45" s="2744" t="str">
        <f t="shared" si="25"/>
        <v/>
      </c>
      <c r="BC45" s="2745" t="str">
        <f t="shared" si="8"/>
        <v/>
      </c>
      <c r="BD45" s="2713" t="str">
        <f t="shared" si="26"/>
        <v/>
      </c>
      <c r="BE45" s="2708" t="str">
        <f t="shared" si="27"/>
        <v/>
      </c>
      <c r="BF45" s="2744" t="str">
        <f t="shared" si="28"/>
        <v/>
      </c>
      <c r="BG45" s="2745" t="str">
        <f t="shared" si="9"/>
        <v/>
      </c>
      <c r="BH45" s="261"/>
      <c r="BJ45" s="1302" t="str">
        <f t="shared" si="99"/>
        <v/>
      </c>
      <c r="BK45" s="993" t="b">
        <f t="shared" si="101"/>
        <v>0</v>
      </c>
      <c r="BL45" s="1784" t="b">
        <v>0</v>
      </c>
      <c r="BM45" s="989">
        <f t="shared" si="88"/>
        <v>0</v>
      </c>
      <c r="BN45" s="989">
        <f t="shared" si="89"/>
        <v>0</v>
      </c>
      <c r="BO45" s="989">
        <f t="shared" si="90"/>
        <v>0</v>
      </c>
      <c r="BP45" s="989">
        <f t="shared" si="71"/>
        <v>0</v>
      </c>
      <c r="BQ45" s="989">
        <f t="shared" si="91"/>
        <v>0</v>
      </c>
      <c r="BR45" s="989" t="b">
        <f t="shared" si="92"/>
        <v>1</v>
      </c>
      <c r="BS45" s="1303">
        <f t="shared" si="93"/>
        <v>6</v>
      </c>
      <c r="BT45" s="990" t="str">
        <f t="shared" si="94"/>
        <v>No</v>
      </c>
      <c r="BU45" s="1303">
        <f t="shared" si="95"/>
        <v>6</v>
      </c>
      <c r="BV45" s="990" t="str">
        <f t="shared" si="96"/>
        <v>No</v>
      </c>
      <c r="BW45" s="991">
        <f t="shared" ca="1" si="29"/>
        <v>0</v>
      </c>
      <c r="BX45" s="991" t="str">
        <f t="shared" ca="1" si="36"/>
        <v/>
      </c>
      <c r="BY45" s="991" t="b">
        <f t="shared" ca="1" si="30"/>
        <v>0</v>
      </c>
      <c r="BZ45" s="1304" t="b">
        <f t="shared" si="37"/>
        <v>0</v>
      </c>
      <c r="CB45" s="681"/>
      <c r="CC45" s="1686"/>
      <c r="CD45" s="704"/>
      <c r="CE45" s="705"/>
      <c r="CF45" s="1330"/>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1601"/>
      <c r="DE45" s="1602"/>
      <c r="DF45" s="141"/>
      <c r="DG45" s="141"/>
      <c r="DH45" s="681"/>
      <c r="DI45" s="682"/>
      <c r="DJ45" s="694"/>
      <c r="DK45" s="1333"/>
      <c r="DL45" s="683"/>
      <c r="DM45" s="695"/>
      <c r="DN45" s="1336"/>
      <c r="DO45" s="684"/>
      <c r="DP45" s="685"/>
      <c r="DQ45" s="1421"/>
      <c r="DR45" s="686"/>
      <c r="DS45" s="1613"/>
      <c r="DT45" s="1609"/>
      <c r="DU45" s="1610"/>
      <c r="DV45" s="687"/>
      <c r="DW45" s="1338"/>
      <c r="DX45" s="688"/>
      <c r="DY45" s="683"/>
      <c r="DZ45" s="687"/>
      <c r="EA45" s="1338"/>
      <c r="EB45" s="688"/>
      <c r="EC45" s="683"/>
      <c r="ED45" s="687"/>
      <c r="EE45" s="1338"/>
      <c r="EF45" s="688"/>
      <c r="EG45" s="683"/>
      <c r="EH45" s="687"/>
      <c r="EI45" s="1338"/>
      <c r="EJ45" s="688"/>
      <c r="EK45" s="689"/>
      <c r="EL45" s="141"/>
      <c r="EM45" s="1634" t="str">
        <f t="shared" si="97"/>
        <v/>
      </c>
      <c r="EN45" s="1635" t="str">
        <f t="shared" si="72"/>
        <v/>
      </c>
      <c r="EO45" s="650" t="str">
        <f t="shared" si="73"/>
        <v/>
      </c>
      <c r="EP45" s="651" t="str">
        <f t="shared" si="74"/>
        <v/>
      </c>
      <c r="EQ45" s="814" t="str">
        <f t="shared" si="75"/>
        <v/>
      </c>
      <c r="ER45" s="1593" t="str">
        <f t="shared" si="76"/>
        <v/>
      </c>
      <c r="ES45" s="1594" t="str">
        <f t="shared" si="77"/>
        <v/>
      </c>
      <c r="ET45" s="1595" t="str">
        <f t="shared" si="78"/>
        <v/>
      </c>
      <c r="EU45" s="1596" t="str">
        <f t="shared" si="79"/>
        <v/>
      </c>
      <c r="EX45" s="503" t="str">
        <f t="shared" ca="1" si="31"/>
        <v/>
      </c>
      <c r="EY45" s="940" t="str">
        <f t="shared" si="10"/>
        <v/>
      </c>
      <c r="EZ45" s="940" t="str">
        <f t="shared" si="32"/>
        <v/>
      </c>
      <c r="FA45" s="958" t="str">
        <f t="shared" ca="1" si="38"/>
        <v/>
      </c>
      <c r="FB45" s="134" t="str">
        <f t="shared" ca="1" si="33"/>
        <v/>
      </c>
      <c r="FC45" s="134">
        <f t="shared" ca="1" si="11"/>
        <v>0</v>
      </c>
      <c r="FD45" s="134">
        <f t="shared" ca="1" si="12"/>
        <v>0</v>
      </c>
      <c r="FE45" s="134">
        <f t="shared" ca="1" si="13"/>
        <v>0</v>
      </c>
      <c r="FF45" s="134">
        <f t="shared" ca="1" si="34"/>
        <v>0</v>
      </c>
      <c r="FN45" s="993" t="b">
        <v>0</v>
      </c>
      <c r="FO45" s="754" t="b">
        <f t="shared" si="98"/>
        <v>1</v>
      </c>
      <c r="FP45" s="754" t="b">
        <v>0</v>
      </c>
      <c r="FQ45" s="754" t="b">
        <f t="shared" si="35"/>
        <v>1</v>
      </c>
      <c r="FX45" s="251"/>
      <c r="FZ45" s="104"/>
      <c r="GA45" s="581" t="str">
        <f t="shared" si="80"/>
        <v/>
      </c>
      <c r="GB45" s="623" t="str">
        <f t="shared" si="81"/>
        <v/>
      </c>
      <c r="GC45" s="625" t="str">
        <f t="shared" si="82"/>
        <v/>
      </c>
      <c r="GD45" s="626" t="str">
        <f t="shared" si="83"/>
        <v/>
      </c>
      <c r="GE45" s="624" t="str">
        <f t="shared" si="84"/>
        <v/>
      </c>
      <c r="GF45" s="582" t="str">
        <f t="shared" si="85"/>
        <v/>
      </c>
      <c r="GG45" s="1137"/>
      <c r="GH45" s="1138"/>
      <c r="GI45" s="1137"/>
      <c r="GJ45" s="1138"/>
      <c r="GK45" s="1641">
        <f t="shared" si="86"/>
        <v>0</v>
      </c>
      <c r="GL45" s="1641" t="e">
        <f t="shared" si="87"/>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3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23</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2">IF(GF48="","",CE48)</f>
        <v/>
      </c>
      <c r="GB48" s="623" t="str">
        <f t="shared" ref="GB48" si="103">IF(GF48="","",CF48)</f>
        <v/>
      </c>
      <c r="GC48" s="625" t="str">
        <f t="shared" ref="GC48" si="104">IF(GF48="","",IF(CD88="",0,CD88))</f>
        <v/>
      </c>
      <c r="GD48" s="626" t="str">
        <f t="shared" ref="GD48" si="105">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120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117"/>
      <c r="FM50" s="117"/>
      <c r="FN50" s="1993" t="s">
        <v>616</v>
      </c>
      <c r="FO50" s="1994"/>
      <c r="FP50" s="1994"/>
      <c r="FQ50" s="1994"/>
      <c r="FR50" s="1994"/>
      <c r="FS50" s="1995"/>
      <c r="FT50" s="2040" t="s">
        <v>617</v>
      </c>
      <c r="FU50" s="2041"/>
      <c r="FV50" s="2041"/>
      <c r="FW50" s="2041"/>
      <c r="FX50" s="2041"/>
      <c r="FY50" s="2041"/>
      <c r="FZ50" s="2042"/>
      <c r="GA50" s="246"/>
      <c r="GB50" s="246"/>
      <c r="GC50" s="117"/>
      <c r="GD50" s="246"/>
      <c r="GE50" s="246"/>
      <c r="GF50" s="246"/>
      <c r="GG50" s="246"/>
      <c r="GH50" s="246"/>
      <c r="GI50" s="117"/>
      <c r="GJ50" s="243"/>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84"/>
      <c r="EQ51" s="1977"/>
      <c r="ER51" s="1977"/>
      <c r="ES51" s="1977"/>
      <c r="ET51" s="1977"/>
      <c r="EU51" s="1984"/>
      <c r="EV51" s="293"/>
      <c r="EW51" s="293"/>
      <c r="EX51" s="1980" t="s">
        <v>618</v>
      </c>
      <c r="EY51" s="1978" t="s">
        <v>619</v>
      </c>
      <c r="EZ51" s="293"/>
      <c r="FA51" s="293"/>
      <c r="FB51" s="293"/>
      <c r="FC51" s="293"/>
      <c r="FD51" s="293"/>
      <c r="FF51" s="2070" t="s">
        <v>947</v>
      </c>
      <c r="FG51" s="2071"/>
      <c r="FH51" s="2071"/>
      <c r="FI51" s="2071"/>
      <c r="FN51" s="1996"/>
      <c r="FO51" s="1997"/>
      <c r="FP51" s="1997"/>
      <c r="FQ51" s="1997"/>
      <c r="FR51" s="1997"/>
      <c r="FS51" s="1998"/>
      <c r="FT51" s="2043"/>
      <c r="FU51" s="2044"/>
      <c r="FV51" s="2044"/>
      <c r="FW51" s="2044"/>
      <c r="FX51" s="2044"/>
      <c r="FY51" s="2044"/>
      <c r="FZ51" s="2045"/>
      <c r="GA51" s="102"/>
      <c r="GB51" s="102"/>
      <c r="GC51" s="102"/>
      <c r="GD51" s="102"/>
      <c r="GE51" s="102"/>
      <c r="GF51" s="102"/>
      <c r="GG51" s="104"/>
      <c r="GH51" s="104"/>
      <c r="GJ51" s="140"/>
    </row>
    <row r="52" spans="1:193" ht="24.95"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1015</v>
      </c>
      <c r="DA52" s="2087"/>
      <c r="DB52" s="2140" t="s">
        <v>510</v>
      </c>
      <c r="DC52" s="2006" t="s">
        <v>513</v>
      </c>
      <c r="DD52" s="2006" t="s">
        <v>514</v>
      </c>
      <c r="DE52" s="2140" t="s">
        <v>544</v>
      </c>
      <c r="DF52" s="2086" t="s">
        <v>1016</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84"/>
      <c r="EQ52" s="1977"/>
      <c r="ER52" s="1977"/>
      <c r="ES52" s="1977"/>
      <c r="ET52" s="1977"/>
      <c r="EU52" s="1984"/>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068" t="s">
        <v>493</v>
      </c>
      <c r="FP52" s="2056" t="s">
        <v>494</v>
      </c>
      <c r="FQ52" s="2056" t="s">
        <v>495</v>
      </c>
      <c r="FR52" s="2058" t="s">
        <v>496</v>
      </c>
      <c r="FS52" s="2054"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84"/>
      <c r="EQ53" s="1977"/>
      <c r="ER53" s="1977"/>
      <c r="ES53" s="1977"/>
      <c r="ET53" s="1977"/>
      <c r="EU53" s="1984"/>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069"/>
      <c r="FP53" s="2057"/>
      <c r="FQ53" s="2057"/>
      <c r="FR53" s="2059"/>
      <c r="FS53" s="2055"/>
      <c r="FT53" s="2047"/>
      <c r="FU53" s="1990"/>
      <c r="FV53" s="1990"/>
      <c r="FW53" s="1990"/>
      <c r="FX53" s="1990"/>
      <c r="FY53" s="1990"/>
      <c r="FZ53" s="1990"/>
      <c r="GA53" s="1990"/>
      <c r="GB53" s="1992"/>
      <c r="GC53" s="1988"/>
      <c r="GD53" s="208" t="s">
        <v>623</v>
      </c>
      <c r="GE53" s="142" t="s">
        <v>624</v>
      </c>
      <c r="GF53" s="135" t="s">
        <v>626</v>
      </c>
      <c r="GG53" s="135" t="s">
        <v>627</v>
      </c>
      <c r="GH53" s="135" t="s">
        <v>628</v>
      </c>
      <c r="GI53" s="136" t="s">
        <v>629</v>
      </c>
      <c r="GJ53" s="1986"/>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6">IF(ISERROR(AR14),TRUE,IF(OR(AR14="",ISBLANK(AR14)),FALSE,IF(ISTEXT(AR14),IF(AND(AR14="P",LEFT(AS14,1)="#"),FALSE,TRUE),IF(ISTEXT(AS14),TRUE,FALSE))))</f>
        <v>0</v>
      </c>
      <c r="FG54" s="754" t="b">
        <f t="shared" ref="FG54:FG85" si="107">IF(ISERROR(AV14),TRUE,IF(OR(AV14="",ISBLANK(AV14)),FALSE,IF(ISTEXT(AV14),IF(AND(AV14="P",LEFT(AW14,1)="#"),FALSE,TRUE),IF(ISTEXT(AW14),TRUE,FALSE))))</f>
        <v>0</v>
      </c>
      <c r="FH54" s="754" t="b">
        <f t="shared" ref="FH54:FH85" si="108">IF(ISERROR(AZ14),TRUE,IF(OR(AZ14="",ISBLANK(AZ14)),FALSE,IF(ISTEXT(AZ14),IF(AND(AZ14="P",LEFT(BA14,1)="#"),FALSE,TRUE),IF(ISTEXT(BA14),TRUE,FALSE))))</f>
        <v>0</v>
      </c>
      <c r="FI54" s="754" t="b">
        <f t="shared" ref="FI54:FI85" si="109">IF(ISERROR(BD14),TRUE,IF(OR(BD14="",ISBLANK(BD14)),FALSE,IF(ISTEXT(BD14),IF(AND(BD14="P",LEFT(BE14,1)="#"),FALSE,TRUE),IF(ISTEXT(BE14),TRUE,FALSE))))</f>
        <v>0</v>
      </c>
      <c r="FJ54" s="782"/>
      <c r="FK54" s="519" t="str">
        <f>IF(ISBLANK(DH14),"",DH14)</f>
        <v>G1</v>
      </c>
      <c r="FL54" s="311">
        <f>VLOOKUP(DH14,$CB$54:$DK$85,36,FALSE)</f>
        <v>603.5</v>
      </c>
      <c r="FM54" s="312" t="str">
        <f t="shared" ref="FM54:FM85" si="110">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83</v>
      </c>
      <c r="FR54" s="313">
        <f>IF(FS54="",0,IF(OR(FS54=0,DL14=""),0,FS54-(FN54+FO54*FP54+FQ54)))</f>
        <v>0</v>
      </c>
      <c r="FS54" s="314">
        <f>IF(SUM(DJ14:DN14)=0,"",VLOOKUP(DH14,CB28:CF45,4,FALSE)*12+VLOOKUP(DH14,CB28:CF45,5,FALSE))</f>
        <v>611</v>
      </c>
      <c r="FT54" s="263">
        <f>IF(SUM(DJ14:DN14)=0,"",IF(FU54="","",FL54))</f>
        <v>603.5</v>
      </c>
      <c r="FU54" s="266">
        <f>IF(SUM(DJ14:DN14)=0,"",1)</f>
        <v>1</v>
      </c>
      <c r="FV54" s="315">
        <f>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77.5</v>
      </c>
      <c r="FZ54" s="267">
        <f>IF(FY54="","",CEILING(FT54-IF(FV54="",0,FV54)-(FO54*FX54)-0.0625,0.125))</f>
        <v>77.5</v>
      </c>
      <c r="GA54" s="267">
        <f>IF(SUM(DJ14:DN14)=0,"",IF(FW54="",0,FW54)+FO54*FX54+IF(FY54="",0,FY54))</f>
        <v>603.5</v>
      </c>
      <c r="GB54" s="268">
        <f ca="1">IF(SUM(DJ14:DN14)=0,"",IF(FY54="","",2+SUM(FO54:OFFSET(FO54,(FU54-1)*-1,0))))</f>
        <v>7</v>
      </c>
      <c r="GC54" s="316">
        <f>VLOOKUP(DH14,$CB$54:$CD$85,3,FALSE)</f>
        <v>-0.25</v>
      </c>
      <c r="GD54" s="317" t="str">
        <f t="shared" ref="GD54:GD85" si="111">IF(ISBLANK(DT14),"",MAX(0,DT14+VLOOKUP(FK54,$CB$54:$CD$85,3,FALSE)))</f>
        <v/>
      </c>
      <c r="GE54" s="318" t="str">
        <f t="shared" ref="GE54:GE85" si="112">IF(ISBLANK(DU14),"",MAX(0,DU14+VLOOKUP(FK54,$CB$54:$CM$85,12,FALSE)))</f>
        <v/>
      </c>
      <c r="GF54" s="269" t="str">
        <f t="shared" ref="GF54:GF85" si="113">IF(AND(ISBLANK(DV14),ISBLANK(DW14)),"",IF(DV14="P",IF(ISNUMBER(DW14),CONCATENATE("#", DW14),DW14),CEILING((DV14*12+DW14+GC54)/COS(VLOOKUP(FK54,$CB$54:$EU$85,72,FALSE))-0.0625,0.125)))</f>
        <v>#1</v>
      </c>
      <c r="GG54" s="270" t="str">
        <f t="shared" ref="GG54:GG85" si="114">IF(AND(ISBLANK(DZ14),ISBLANK(EA14)),"",IF(DZ14="P",IF(ISNUMBER(EA14),CONCATENATE("#", EA14),EA14),CEILING((DZ14*12+EA14+GC54)/COS(VLOOKUP(FK54,$CB$54:$EU$85,72,FALSE))-0.0625,0.125)))</f>
        <v/>
      </c>
      <c r="GH54" s="270" t="str">
        <f t="shared" ref="GH54:GH85" si="115">IF(AND(ISBLANK(ED14),ISBLANK(EE14)),"",IF(ED14="P",IF(ISNUMBER(EE14),CONCATENATE("#", EE14),EE14),CEILING((ED14*12+EE14+GC54)/COS(VLOOKUP(FK54,$CB$54:$EU$85,72,FALSE))-0.0625,0.125)))</f>
        <v/>
      </c>
      <c r="GI54" s="271" t="str">
        <f t="shared" ref="GI54:GI85" si="116">IF(AND(ISBLANK(EH14),ISBLANK(EI14)),"",IF(EH14="P",IF(ISNUMBER(EI14),CONCATENATE("#", EI14),EI14),CEILING((EH14*12+EI14+GC54)/COS(VLOOKUP(FK54,$CB$54:$EU$85,72,FALSE))-0.0625,0.125)))</f>
        <v/>
      </c>
      <c r="GJ54" s="319">
        <f t="shared" ref="GJ54:GJ84" si="117">IF(FY54="",GJ55,(FY54-(FQ54+VLOOKUP(FK54,$CB$54:$EU$85,12,FALSE)-VLOOKUP(FK54,$CB$54:$EU$85,34,FALSE))/COS(VLOOKUP(FK54,$CB$54:$EU$85,72,FALSE)))/2)</f>
        <v>-3.5852264657073363E-2</v>
      </c>
      <c r="GK54" s="916" t="str">
        <f t="shared" ref="GK54:GK85" ca="1" si="118">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6"/>
        <v>0</v>
      </c>
      <c r="FG55" s="754" t="b">
        <f t="shared" si="107"/>
        <v>0</v>
      </c>
      <c r="FH55" s="754" t="b">
        <f t="shared" si="108"/>
        <v>0</v>
      </c>
      <c r="FI55" s="917" t="b">
        <f t="shared" si="109"/>
        <v>0</v>
      </c>
      <c r="FJ55" s="920" t="str">
        <f t="shared" ref="FJ55:FJ85" si="119">IF(AND(COUNTA(DH15:EK15)&gt;0,FK55=FK54,FK55&lt;&gt;""),"G","")</f>
        <v/>
      </c>
      <c r="FK55" s="919" t="str">
        <f t="shared" ref="FK55:FK85" si="120">IF(ISBLANK(DH15),FK54,DH15)</f>
        <v>G2</v>
      </c>
      <c r="FL55" s="320">
        <f t="shared" ref="FL55:FL85" si="121">IF(ISERROR(VLOOKUP(DH15,$CB$54:$DK$85,36,FALSE)),FL54,VLOOKUP(DH15,$CB$54:$DK$85,36,FALSE))</f>
        <v>612</v>
      </c>
      <c r="FM55" s="312" t="str">
        <f t="shared" si="110"/>
        <v/>
      </c>
      <c r="FN55" s="272">
        <f t="shared" ref="FN55:FN85" ca="1" si="122">IF(OR(FS55=0,DL15=""),"",IF(UPPER(FM54)="X",0,CEILING(IF(AND(DJ15="",DK15=""),IF(UPPER(FM55)="X",FP55,IF(AND(DM15="",DN15=""),(FS55-FO55*FP55)/2,(DJ15*12+DK15+(DL15*(DM15*12+DN15)))-FO55*FP55)),(DJ15*12+DK15))-0.0625,0.125)))</f>
        <v>91.5</v>
      </c>
      <c r="FO55" s="273">
        <f t="shared" ref="FO55:FO85" ca="1" si="123">IF(OR(FS55=0,DL15=""),"",DL15-IF(AND(DJ15="",DK15="",FM54&lt;&gt;"X"),1,0)-IF(AND(DM15="",DN15="",FM55=""),1,0))</f>
        <v>5</v>
      </c>
      <c r="FP55" s="274">
        <f t="shared" ref="FP55:FP85" ca="1" si="124">IF(OR(FS55=0,DL15=""),"",CEILING(IF(AND(DM15="",DN15=""),IF(DL15=FO55,(FS55-FN55-FQ55)/FO55,(FS55-IF(AND(DJ15="",DK15=""),0,FN55)-IF(FM55="",0,FQ55))/DL15),DM15*12+DN15)-0.0625,0.125))</f>
        <v>96</v>
      </c>
      <c r="FQ55" s="274">
        <f t="shared" ref="FQ55:FQ85" ca="1" si="125">IF(OR(FS55=0,DL15=""),"",IF(UPPER(FM55)="X",0,FS55-FN55-FO55*FP55))</f>
        <v>48</v>
      </c>
      <c r="FR55" s="321">
        <f t="shared" ref="FR55:FR85" ca="1" si="126">IF(OR(FS55=0,DL15=""),0,FS55-(FN55+FO55*FP55+FQ55))</f>
        <v>0</v>
      </c>
      <c r="FS55" s="322">
        <f t="shared" ref="FS55:FS85" ca="1" si="127">IF(ISBLANK(DH15),IF(FR54=0,IF(OR(DI15="F",DI15="N"),OFFSET(FS54,(-1*(FU54-1)),0),0),FR54),VLOOKUP(DH15,$CB$28:$CF$45,4,FALSE)*12+VLOOKUP(DH15,$CB$28:$CF$45,5,FALSE))</f>
        <v>619.5</v>
      </c>
      <c r="FT55" s="272">
        <f ca="1">IF(FU55="","",IF(FU55=1,IF(FL55="",OFFSET(FL55,(-1*FU54),0),FL55),FT54-GA54))</f>
        <v>612</v>
      </c>
      <c r="FU55" s="275">
        <f ca="1">IF(FS55=0,"",IF(FR54=0,1,FU54+1))</f>
        <v>1</v>
      </c>
      <c r="FV55" s="323">
        <f ca="1">IF(FW55="","",CEILING(FW55+GJ55-0.0625,0.125))</f>
        <v>86</v>
      </c>
      <c r="FW55" s="276">
        <f t="shared" ref="FW55:FW85" ca="1" si="128">IF(OR(FN55=0,FN55=""),"",(FN55+VLOOKUP(FK55,$CB$54:$CD$85,3,FALSE)-VLOOKUP(FK55,$CB$54:$DD$85,29,FALSE))/COS(VLOOKUP(FK55,$CB$54:$EU$85,72,FALSE)))</f>
        <v>86</v>
      </c>
      <c r="FX55" s="276">
        <f t="shared" ref="FX55:FX85" ca="1" si="129">IF(FO55=0,0,IF(FP55="","",CEILING(FP55/COS(VLOOKUP(FK55,$CB$54:$EU$85,72,FALSE))-0.0625,0.125)))</f>
        <v>96</v>
      </c>
      <c r="FY55" s="276">
        <f ca="1">IF(OR(FQ55=0,FQ55=""),"",FT55-IF(FW55="",0,FW55)-FO55*FX55)</f>
        <v>46</v>
      </c>
      <c r="FZ55" s="276">
        <f t="shared" ref="FZ55:FZ85" ca="1" si="130">IF(FY55="","",CEILING(FT55-IF(FV55="",0,FV55)-(FO55*FX55)-0.0625,0.125))</f>
        <v>46</v>
      </c>
      <c r="GA55" s="276">
        <f ca="1">IF(FP55="","",IF(FW55="",0,FW55)+FO55*FX55+IF(FY55="",0,FY55))</f>
        <v>612</v>
      </c>
      <c r="GB55" s="277">
        <f ca="1">IF(FY55="","",2+SUM(FO55:OFFSET(FO55,(FU55-1)*-1,0)))</f>
        <v>7</v>
      </c>
      <c r="GC55" s="316">
        <f t="shared" ref="GC55:GC85" si="131">IF(ISERROR(VLOOKUP(DH15,$CB$54:$CD$85,3,FALSE)),GC54,VLOOKUP(DH15,$CB$54:$CD$85,3,FALSE))</f>
        <v>-5.5</v>
      </c>
      <c r="GD55" s="324" t="str">
        <f t="shared" si="111"/>
        <v/>
      </c>
      <c r="GE55" s="325" t="str">
        <f t="shared" si="112"/>
        <v/>
      </c>
      <c r="GF55" s="278" t="str">
        <f t="shared" si="113"/>
        <v>#6</v>
      </c>
      <c r="GG55" s="279" t="str">
        <f t="shared" si="114"/>
        <v/>
      </c>
      <c r="GH55" s="279" t="str">
        <f t="shared" si="115"/>
        <v/>
      </c>
      <c r="GI55" s="280" t="str">
        <f t="shared" si="116"/>
        <v/>
      </c>
      <c r="GJ55" s="326">
        <f t="shared" ca="1" si="117"/>
        <v>0</v>
      </c>
      <c r="GK55" s="913" t="str">
        <f t="shared" ca="1" si="118"/>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6"/>
        <v>0</v>
      </c>
      <c r="FG56" s="754" t="b">
        <f t="shared" si="107"/>
        <v>0</v>
      </c>
      <c r="FH56" s="754" t="b">
        <f t="shared" si="108"/>
        <v>0</v>
      </c>
      <c r="FI56" s="917" t="b">
        <f t="shared" si="109"/>
        <v>0</v>
      </c>
      <c r="FJ56" s="920" t="str">
        <f t="shared" si="119"/>
        <v/>
      </c>
      <c r="FK56" s="919" t="str">
        <f t="shared" si="120"/>
        <v>G3</v>
      </c>
      <c r="FL56" s="320">
        <f t="shared" si="121"/>
        <v>621</v>
      </c>
      <c r="FM56" s="312" t="str">
        <f t="shared" si="110"/>
        <v/>
      </c>
      <c r="FN56" s="272">
        <f t="shared" ca="1" si="122"/>
        <v>48</v>
      </c>
      <c r="FO56" s="273">
        <f t="shared" ca="1" si="123"/>
        <v>5</v>
      </c>
      <c r="FP56" s="274">
        <f t="shared" ca="1" si="124"/>
        <v>96</v>
      </c>
      <c r="FQ56" s="274">
        <f t="shared" ca="1" si="125"/>
        <v>100.5</v>
      </c>
      <c r="FR56" s="321">
        <f t="shared" ca="1" si="126"/>
        <v>0</v>
      </c>
      <c r="FS56" s="322">
        <f t="shared" ca="1" si="127"/>
        <v>628.5</v>
      </c>
      <c r="FT56" s="272">
        <f t="shared" ref="FT56:FT85" ca="1" si="132">IF(FU56="","",IF(FU56=1,IF(FL56="",OFFSET(FL56,(-1*FU55),0),FL56),FT55-GA55))</f>
        <v>621</v>
      </c>
      <c r="FU56" s="1386">
        <f t="shared" ref="FU56:FU85" ca="1" si="133">IF(FS56=0,"",IF(FR55=0,1,FU55+1))</f>
        <v>1</v>
      </c>
      <c r="FV56" s="323">
        <f t="shared" ref="FV56:FV85" ca="1" si="134">IF(FW56="","",CEILING(FW56+GJ56-0.0625,0.125))</f>
        <v>46</v>
      </c>
      <c r="FW56" s="276">
        <f t="shared" ca="1" si="128"/>
        <v>46</v>
      </c>
      <c r="FX56" s="276">
        <f t="shared" ca="1" si="129"/>
        <v>96</v>
      </c>
      <c r="FY56" s="276">
        <f t="shared" ref="FY56:FY85" ca="1" si="135">IF(OR(FQ56=0,FQ56=""),"",FT56-IF(FW56="",0,FW56)-FO56*FX56)</f>
        <v>95</v>
      </c>
      <c r="FZ56" s="276">
        <f t="shared" ca="1" si="130"/>
        <v>95</v>
      </c>
      <c r="GA56" s="276">
        <f t="shared" ref="GA56:GA85" ca="1" si="136">IF(FP56="","",IF(FW56="",0,FW56)+FO56*FX56+IF(FY56="",0,FY56))</f>
        <v>621</v>
      </c>
      <c r="GB56" s="277">
        <f ca="1">IF(FY56="","",2+SUM(FO56:OFFSET(FO56,(FU56-1)*-1,0)))</f>
        <v>7</v>
      </c>
      <c r="GC56" s="316">
        <f t="shared" si="131"/>
        <v>-0.25</v>
      </c>
      <c r="GD56" s="324" t="str">
        <f t="shared" si="111"/>
        <v/>
      </c>
      <c r="GE56" s="325" t="str">
        <f t="shared" si="112"/>
        <v/>
      </c>
      <c r="GF56" s="278" t="str">
        <f t="shared" si="113"/>
        <v>#1</v>
      </c>
      <c r="GG56" s="279" t="str">
        <f t="shared" si="114"/>
        <v/>
      </c>
      <c r="GH56" s="279" t="str">
        <f t="shared" si="115"/>
        <v/>
      </c>
      <c r="GI56" s="280" t="str">
        <f t="shared" si="116"/>
        <v/>
      </c>
      <c r="GJ56" s="326">
        <f t="shared" ca="1" si="117"/>
        <v>0</v>
      </c>
      <c r="GK56" s="913" t="str">
        <f t="shared" ca="1" si="118"/>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6"/>
        <v>0</v>
      </c>
      <c r="FG57" s="754" t="b">
        <f t="shared" si="107"/>
        <v>0</v>
      </c>
      <c r="FH57" s="754" t="b">
        <f t="shared" si="108"/>
        <v>0</v>
      </c>
      <c r="FI57" s="917" t="b">
        <f t="shared" si="109"/>
        <v>0</v>
      </c>
      <c r="FJ57" s="920" t="str">
        <f t="shared" si="119"/>
        <v/>
      </c>
      <c r="FK57" s="919" t="str">
        <f t="shared" si="120"/>
        <v>G4</v>
      </c>
      <c r="FL57" s="320">
        <f t="shared" si="121"/>
        <v>620</v>
      </c>
      <c r="FM57" s="312" t="str">
        <f t="shared" si="110"/>
        <v/>
      </c>
      <c r="FN57" s="272">
        <f t="shared" ca="1" si="122"/>
        <v>48</v>
      </c>
      <c r="FO57" s="273">
        <f t="shared" ca="1" si="123"/>
        <v>5</v>
      </c>
      <c r="FP57" s="274">
        <f t="shared" ca="1" si="124"/>
        <v>96</v>
      </c>
      <c r="FQ57" s="274">
        <f t="shared" ca="1" si="125"/>
        <v>96</v>
      </c>
      <c r="FR57" s="321">
        <f t="shared" ca="1" si="126"/>
        <v>0</v>
      </c>
      <c r="FS57" s="322">
        <f t="shared" ca="1" si="127"/>
        <v>624</v>
      </c>
      <c r="FT57" s="272">
        <f t="shared" ca="1" si="132"/>
        <v>620</v>
      </c>
      <c r="FU57" s="1386">
        <f t="shared" ca="1" si="133"/>
        <v>1</v>
      </c>
      <c r="FV57" s="323">
        <f t="shared" ca="1" si="134"/>
        <v>46</v>
      </c>
      <c r="FW57" s="276">
        <f t="shared" ca="1" si="128"/>
        <v>46</v>
      </c>
      <c r="FX57" s="276">
        <f t="shared" ca="1" si="129"/>
        <v>96</v>
      </c>
      <c r="FY57" s="276">
        <f t="shared" ca="1" si="135"/>
        <v>94</v>
      </c>
      <c r="FZ57" s="276">
        <f t="shared" ca="1" si="130"/>
        <v>94</v>
      </c>
      <c r="GA57" s="276">
        <f t="shared" ca="1" si="136"/>
        <v>620</v>
      </c>
      <c r="GB57" s="277">
        <f ca="1">IF(FY57="","",2+SUM(FO57:OFFSET(FO57,(FU57-1)*-1,0)))</f>
        <v>7</v>
      </c>
      <c r="GC57" s="316">
        <f t="shared" si="131"/>
        <v>-0.25</v>
      </c>
      <c r="GD57" s="324" t="str">
        <f t="shared" si="111"/>
        <v/>
      </c>
      <c r="GE57" s="325">
        <f t="shared" si="112"/>
        <v>1.75</v>
      </c>
      <c r="GF57" s="278" t="str">
        <f t="shared" si="113"/>
        <v>#1</v>
      </c>
      <c r="GG57" s="279">
        <f t="shared" si="114"/>
        <v>612</v>
      </c>
      <c r="GH57" s="279" t="str">
        <f t="shared" si="115"/>
        <v/>
      </c>
      <c r="GI57" s="280" t="str">
        <f t="shared" si="116"/>
        <v/>
      </c>
      <c r="GJ57" s="326">
        <f t="shared" ca="1" si="117"/>
        <v>0</v>
      </c>
      <c r="GK57" s="913" t="str">
        <f t="shared" ca="1" si="118"/>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6"/>
        <v>0</v>
      </c>
      <c r="FG58" s="754" t="b">
        <f t="shared" si="107"/>
        <v>0</v>
      </c>
      <c r="FH58" s="754" t="b">
        <f t="shared" si="108"/>
        <v>0</v>
      </c>
      <c r="FI58" s="917" t="b">
        <f t="shared" si="109"/>
        <v>0</v>
      </c>
      <c r="FJ58" s="920" t="str">
        <f t="shared" si="119"/>
        <v/>
      </c>
      <c r="FK58" s="919" t="str">
        <f t="shared" si="120"/>
        <v>G5</v>
      </c>
      <c r="FL58" s="320">
        <f t="shared" si="121"/>
        <v>620</v>
      </c>
      <c r="FM58" s="312" t="str">
        <f t="shared" si="110"/>
        <v/>
      </c>
      <c r="FN58" s="272">
        <f t="shared" ca="1" si="122"/>
        <v>96</v>
      </c>
      <c r="FO58" s="273">
        <f t="shared" ca="1" si="123"/>
        <v>5</v>
      </c>
      <c r="FP58" s="274">
        <f t="shared" ca="1" si="124"/>
        <v>96</v>
      </c>
      <c r="FQ58" s="274">
        <f t="shared" ca="1" si="125"/>
        <v>48</v>
      </c>
      <c r="FR58" s="321">
        <f t="shared" ca="1" si="126"/>
        <v>0</v>
      </c>
      <c r="FS58" s="322">
        <f t="shared" ca="1" si="127"/>
        <v>624</v>
      </c>
      <c r="FT58" s="272">
        <f t="shared" ca="1" si="132"/>
        <v>620</v>
      </c>
      <c r="FU58" s="275">
        <f t="shared" ca="1" si="133"/>
        <v>1</v>
      </c>
      <c r="FV58" s="323">
        <f t="shared" ca="1" si="134"/>
        <v>94</v>
      </c>
      <c r="FW58" s="276">
        <f t="shared" ca="1" si="128"/>
        <v>94</v>
      </c>
      <c r="FX58" s="276">
        <f t="shared" ca="1" si="129"/>
        <v>96</v>
      </c>
      <c r="FY58" s="276">
        <f t="shared" ca="1" si="135"/>
        <v>46</v>
      </c>
      <c r="FZ58" s="276">
        <f t="shared" ca="1" si="130"/>
        <v>46</v>
      </c>
      <c r="GA58" s="276">
        <f t="shared" ca="1" si="136"/>
        <v>620</v>
      </c>
      <c r="GB58" s="277">
        <f ca="1">IF(FY58="","",2+SUM(FO58:OFFSET(FO58,(FU58-1)*-1,0)))</f>
        <v>7</v>
      </c>
      <c r="GC58" s="316">
        <f t="shared" si="131"/>
        <v>-0.25</v>
      </c>
      <c r="GD58" s="324">
        <f t="shared" si="111"/>
        <v>1.75</v>
      </c>
      <c r="GE58" s="325" t="str">
        <f t="shared" si="112"/>
        <v/>
      </c>
      <c r="GF58" s="278" t="str">
        <f t="shared" si="113"/>
        <v>#6</v>
      </c>
      <c r="GG58" s="279">
        <f t="shared" si="114"/>
        <v>12</v>
      </c>
      <c r="GH58" s="279" t="str">
        <f t="shared" si="115"/>
        <v/>
      </c>
      <c r="GI58" s="280" t="str">
        <f t="shared" si="116"/>
        <v/>
      </c>
      <c r="GJ58" s="326">
        <f t="shared" ca="1" si="117"/>
        <v>0</v>
      </c>
      <c r="GK58" s="913" t="str">
        <f t="shared" ca="1" si="118"/>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6"/>
        <v>0</v>
      </c>
      <c r="FG59" s="754" t="b">
        <f t="shared" si="107"/>
        <v>0</v>
      </c>
      <c r="FH59" s="754" t="b">
        <f t="shared" si="108"/>
        <v>0</v>
      </c>
      <c r="FI59" s="917" t="b">
        <f t="shared" si="109"/>
        <v>0</v>
      </c>
      <c r="FJ59" s="920" t="str">
        <f t="shared" si="119"/>
        <v/>
      </c>
      <c r="FK59" s="919" t="str">
        <f t="shared" si="120"/>
        <v>G6</v>
      </c>
      <c r="FL59" s="320">
        <f t="shared" si="121"/>
        <v>620</v>
      </c>
      <c r="FM59" s="312" t="str">
        <f t="shared" si="110"/>
        <v/>
      </c>
      <c r="FN59" s="272">
        <f t="shared" ca="1" si="122"/>
        <v>48</v>
      </c>
      <c r="FO59" s="273">
        <f t="shared" ca="1" si="123"/>
        <v>5</v>
      </c>
      <c r="FP59" s="274">
        <f t="shared" ca="1" si="124"/>
        <v>96</v>
      </c>
      <c r="FQ59" s="274">
        <f t="shared" ca="1" si="125"/>
        <v>96</v>
      </c>
      <c r="FR59" s="321">
        <f t="shared" ca="1" si="126"/>
        <v>0</v>
      </c>
      <c r="FS59" s="322">
        <f t="shared" ca="1" si="127"/>
        <v>624</v>
      </c>
      <c r="FT59" s="272">
        <f t="shared" ca="1" si="132"/>
        <v>620</v>
      </c>
      <c r="FU59" s="275">
        <f t="shared" ca="1" si="133"/>
        <v>1</v>
      </c>
      <c r="FV59" s="323">
        <f t="shared" ca="1" si="134"/>
        <v>46</v>
      </c>
      <c r="FW59" s="276">
        <f t="shared" ca="1" si="128"/>
        <v>46</v>
      </c>
      <c r="FX59" s="276">
        <f t="shared" ca="1" si="129"/>
        <v>96</v>
      </c>
      <c r="FY59" s="276">
        <f t="shared" ca="1" si="135"/>
        <v>94</v>
      </c>
      <c r="FZ59" s="276">
        <f t="shared" ca="1" si="130"/>
        <v>94</v>
      </c>
      <c r="GA59" s="276">
        <f t="shared" ca="1" si="136"/>
        <v>620</v>
      </c>
      <c r="GB59" s="277">
        <f ca="1">IF(FY59="","",2+SUM(FO59:OFFSET(FO59,(FU59-1)*-1,0)))</f>
        <v>7</v>
      </c>
      <c r="GC59" s="316">
        <f t="shared" si="131"/>
        <v>-0.25</v>
      </c>
      <c r="GD59" s="324" t="str">
        <f t="shared" si="111"/>
        <v/>
      </c>
      <c r="GE59" s="325">
        <f t="shared" si="112"/>
        <v>1.75</v>
      </c>
      <c r="GF59" s="278" t="str">
        <f t="shared" si="113"/>
        <v>#1</v>
      </c>
      <c r="GG59" s="279">
        <f t="shared" si="114"/>
        <v>612</v>
      </c>
      <c r="GH59" s="279" t="str">
        <f t="shared" si="115"/>
        <v/>
      </c>
      <c r="GI59" s="280" t="str">
        <f t="shared" si="116"/>
        <v/>
      </c>
      <c r="GJ59" s="326">
        <f t="shared" ca="1" si="117"/>
        <v>0</v>
      </c>
      <c r="GK59" s="913" t="str">
        <f t="shared" ca="1" si="118"/>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6"/>
        <v>0</v>
      </c>
      <c r="FG60" s="754" t="b">
        <f t="shared" si="107"/>
        <v>0</v>
      </c>
      <c r="FH60" s="754" t="b">
        <f t="shared" si="108"/>
        <v>0</v>
      </c>
      <c r="FI60" s="917" t="b">
        <f t="shared" si="109"/>
        <v>0</v>
      </c>
      <c r="FJ60" s="920" t="str">
        <f t="shared" si="119"/>
        <v/>
      </c>
      <c r="FK60" s="919" t="str">
        <f t="shared" si="120"/>
        <v>G7</v>
      </c>
      <c r="FL60" s="320">
        <f t="shared" si="121"/>
        <v>620</v>
      </c>
      <c r="FM60" s="312" t="str">
        <f t="shared" si="110"/>
        <v/>
      </c>
      <c r="FN60" s="272">
        <f t="shared" ca="1" si="122"/>
        <v>96</v>
      </c>
      <c r="FO60" s="273">
        <f t="shared" ca="1" si="123"/>
        <v>5</v>
      </c>
      <c r="FP60" s="274">
        <f t="shared" ca="1" si="124"/>
        <v>96</v>
      </c>
      <c r="FQ60" s="274">
        <f t="shared" ca="1" si="125"/>
        <v>48</v>
      </c>
      <c r="FR60" s="321">
        <f t="shared" ca="1" si="126"/>
        <v>0</v>
      </c>
      <c r="FS60" s="322">
        <f t="shared" ca="1" si="127"/>
        <v>624</v>
      </c>
      <c r="FT60" s="272">
        <f t="shared" ca="1" si="132"/>
        <v>620</v>
      </c>
      <c r="FU60" s="275">
        <f t="shared" ca="1" si="133"/>
        <v>1</v>
      </c>
      <c r="FV60" s="323">
        <f t="shared" ca="1" si="134"/>
        <v>94</v>
      </c>
      <c r="FW60" s="276">
        <f t="shared" ca="1" si="128"/>
        <v>94</v>
      </c>
      <c r="FX60" s="276">
        <f t="shared" ca="1" si="129"/>
        <v>96</v>
      </c>
      <c r="FY60" s="276">
        <f t="shared" ca="1" si="135"/>
        <v>46</v>
      </c>
      <c r="FZ60" s="276">
        <f t="shared" ca="1" si="130"/>
        <v>46</v>
      </c>
      <c r="GA60" s="276">
        <f t="shared" ca="1" si="136"/>
        <v>620</v>
      </c>
      <c r="GB60" s="277">
        <f ca="1">IF(FY60="","",2+SUM(FO60:OFFSET(FO60,(FU60-1)*-1,0)))</f>
        <v>7</v>
      </c>
      <c r="GC60" s="316">
        <f t="shared" si="131"/>
        <v>-0.25</v>
      </c>
      <c r="GD60" s="324">
        <f t="shared" si="111"/>
        <v>1.75</v>
      </c>
      <c r="GE60" s="325" t="str">
        <f t="shared" si="112"/>
        <v/>
      </c>
      <c r="GF60" s="278" t="str">
        <f t="shared" si="113"/>
        <v>#6</v>
      </c>
      <c r="GG60" s="279">
        <f t="shared" si="114"/>
        <v>12</v>
      </c>
      <c r="GH60" s="279" t="str">
        <f t="shared" si="115"/>
        <v/>
      </c>
      <c r="GI60" s="280" t="str">
        <f t="shared" si="116"/>
        <v/>
      </c>
      <c r="GJ60" s="326">
        <f t="shared" ca="1" si="117"/>
        <v>0</v>
      </c>
      <c r="GK60" s="913" t="str">
        <f t="shared" ca="1" si="118"/>
        <v/>
      </c>
    </row>
    <row r="61" spans="1:193" ht="12.6" hidden="1" customHeight="1" x14ac:dyDescent="0.2">
      <c r="A61" s="894" t="s">
        <v>1847</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6"/>
        <v>0</v>
      </c>
      <c r="FG61" s="754" t="b">
        <f t="shared" si="107"/>
        <v>0</v>
      </c>
      <c r="FH61" s="754" t="b">
        <f t="shared" si="108"/>
        <v>0</v>
      </c>
      <c r="FI61" s="917" t="b">
        <f t="shared" si="109"/>
        <v>0</v>
      </c>
      <c r="FJ61" s="920" t="str">
        <f t="shared" si="119"/>
        <v/>
      </c>
      <c r="FK61" s="919" t="str">
        <f t="shared" si="120"/>
        <v>G8</v>
      </c>
      <c r="FL61" s="320">
        <f t="shared" si="121"/>
        <v>613.625</v>
      </c>
      <c r="FM61" s="312" t="str">
        <f t="shared" si="110"/>
        <v/>
      </c>
      <c r="FN61" s="272">
        <f t="shared" ca="1" si="122"/>
        <v>96</v>
      </c>
      <c r="FO61" s="273">
        <f t="shared" ca="1" si="123"/>
        <v>5</v>
      </c>
      <c r="FP61" s="274">
        <f t="shared" ca="1" si="124"/>
        <v>96</v>
      </c>
      <c r="FQ61" s="274">
        <f t="shared" ca="1" si="125"/>
        <v>48</v>
      </c>
      <c r="FR61" s="321">
        <f t="shared" ca="1" si="126"/>
        <v>0</v>
      </c>
      <c r="FS61" s="322">
        <f t="shared" ca="1" si="127"/>
        <v>624</v>
      </c>
      <c r="FT61" s="272">
        <f t="shared" ca="1" si="132"/>
        <v>613.625</v>
      </c>
      <c r="FU61" s="275">
        <f t="shared" ca="1" si="133"/>
        <v>1</v>
      </c>
      <c r="FV61" s="323">
        <f t="shared" ca="1" si="134"/>
        <v>94</v>
      </c>
      <c r="FW61" s="276">
        <f t="shared" ca="1" si="128"/>
        <v>94</v>
      </c>
      <c r="FX61" s="276">
        <f t="shared" ca="1" si="129"/>
        <v>96</v>
      </c>
      <c r="FY61" s="276">
        <f t="shared" ca="1" si="135"/>
        <v>39.625</v>
      </c>
      <c r="FZ61" s="276">
        <f t="shared" ca="1" si="130"/>
        <v>39.625</v>
      </c>
      <c r="GA61" s="276">
        <f t="shared" ca="1" si="136"/>
        <v>613.625</v>
      </c>
      <c r="GB61" s="277">
        <f ca="1">IF(FY61="","",2+SUM(FO61:OFFSET(FO61,(FU61-1)*-1,0)))</f>
        <v>7</v>
      </c>
      <c r="GC61" s="316">
        <f t="shared" si="131"/>
        <v>-0.25</v>
      </c>
      <c r="GD61" s="324">
        <f t="shared" si="111"/>
        <v>1.75</v>
      </c>
      <c r="GE61" s="325" t="str">
        <f t="shared" si="112"/>
        <v/>
      </c>
      <c r="GF61" s="278">
        <f t="shared" si="113"/>
        <v>12</v>
      </c>
      <c r="GG61" s="279" t="str">
        <f t="shared" si="114"/>
        <v/>
      </c>
      <c r="GH61" s="279" t="str">
        <f t="shared" si="115"/>
        <v/>
      </c>
      <c r="GI61" s="280" t="str">
        <f t="shared" si="116"/>
        <v/>
      </c>
      <c r="GJ61" s="326">
        <f t="shared" ca="1" si="117"/>
        <v>0</v>
      </c>
      <c r="GK61" s="913" t="str">
        <f t="shared" ca="1" si="118"/>
        <v>B</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6"/>
        <v>0</v>
      </c>
      <c r="FG62" s="754" t="b">
        <f t="shared" si="107"/>
        <v>0</v>
      </c>
      <c r="FH62" s="754" t="b">
        <f t="shared" si="108"/>
        <v>0</v>
      </c>
      <c r="FI62" s="917" t="b">
        <f t="shared" si="109"/>
        <v>0</v>
      </c>
      <c r="FJ62" s="920" t="str">
        <f t="shared" si="119"/>
        <v/>
      </c>
      <c r="FK62" s="919" t="str">
        <f t="shared" si="120"/>
        <v>G9</v>
      </c>
      <c r="FL62" s="320">
        <f t="shared" si="121"/>
        <v>613.625</v>
      </c>
      <c r="FM62" s="312" t="str">
        <f t="shared" si="110"/>
        <v/>
      </c>
      <c r="FN62" s="272">
        <f t="shared" ca="1" si="122"/>
        <v>96</v>
      </c>
      <c r="FO62" s="273">
        <f t="shared" ca="1" si="123"/>
        <v>5</v>
      </c>
      <c r="FP62" s="274">
        <f t="shared" ca="1" si="124"/>
        <v>96</v>
      </c>
      <c r="FQ62" s="274">
        <f t="shared" ca="1" si="125"/>
        <v>48</v>
      </c>
      <c r="FR62" s="321">
        <f t="shared" ca="1" si="126"/>
        <v>0</v>
      </c>
      <c r="FS62" s="322">
        <f t="shared" ca="1" si="127"/>
        <v>624</v>
      </c>
      <c r="FT62" s="272">
        <f t="shared" ca="1" si="132"/>
        <v>613.625</v>
      </c>
      <c r="FU62" s="275">
        <f t="shared" ca="1" si="133"/>
        <v>1</v>
      </c>
      <c r="FV62" s="323">
        <f t="shared" ca="1" si="134"/>
        <v>94</v>
      </c>
      <c r="FW62" s="276">
        <f t="shared" ca="1" si="128"/>
        <v>94</v>
      </c>
      <c r="FX62" s="276">
        <f t="shared" ca="1" si="129"/>
        <v>96</v>
      </c>
      <c r="FY62" s="276">
        <f t="shared" ca="1" si="135"/>
        <v>39.625</v>
      </c>
      <c r="FZ62" s="276">
        <f t="shared" ca="1" si="130"/>
        <v>39.625</v>
      </c>
      <c r="GA62" s="276">
        <f t="shared" ca="1" si="136"/>
        <v>613.625</v>
      </c>
      <c r="GB62" s="277">
        <f ca="1">IF(FY62="","",2+SUM(FO62:OFFSET(FO62,(FU62-1)*-1,0)))</f>
        <v>7</v>
      </c>
      <c r="GC62" s="316">
        <f t="shared" si="131"/>
        <v>-0.25</v>
      </c>
      <c r="GD62" s="324">
        <f t="shared" si="111"/>
        <v>1.75</v>
      </c>
      <c r="GE62" s="325" t="str">
        <f t="shared" si="112"/>
        <v/>
      </c>
      <c r="GF62" s="278">
        <f t="shared" si="113"/>
        <v>12</v>
      </c>
      <c r="GG62" s="279" t="str">
        <f t="shared" si="114"/>
        <v/>
      </c>
      <c r="GH62" s="279" t="str">
        <f t="shared" si="115"/>
        <v/>
      </c>
      <c r="GI62" s="280" t="str">
        <f t="shared" si="116"/>
        <v/>
      </c>
      <c r="GJ62" s="326">
        <f t="shared" ca="1" si="117"/>
        <v>0</v>
      </c>
      <c r="GK62" s="913" t="str">
        <f t="shared" ca="1" si="118"/>
        <v>B</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6"/>
        <v>0</v>
      </c>
      <c r="FG63" s="754" t="b">
        <f t="shared" si="107"/>
        <v>0</v>
      </c>
      <c r="FH63" s="754" t="b">
        <f t="shared" si="108"/>
        <v>0</v>
      </c>
      <c r="FI63" s="917" t="b">
        <f t="shared" si="109"/>
        <v>0</v>
      </c>
      <c r="FJ63" s="920" t="str">
        <f t="shared" si="119"/>
        <v/>
      </c>
      <c r="FK63" s="919" t="str">
        <f t="shared" si="120"/>
        <v>G10</v>
      </c>
      <c r="FL63" s="320">
        <f t="shared" si="121"/>
        <v>620</v>
      </c>
      <c r="FM63" s="312" t="str">
        <f t="shared" si="110"/>
        <v/>
      </c>
      <c r="FN63" s="272">
        <f t="shared" ca="1" si="122"/>
        <v>48</v>
      </c>
      <c r="FO63" s="273">
        <f t="shared" ca="1" si="123"/>
        <v>5</v>
      </c>
      <c r="FP63" s="274">
        <f t="shared" ca="1" si="124"/>
        <v>96</v>
      </c>
      <c r="FQ63" s="274">
        <f t="shared" ca="1" si="125"/>
        <v>96</v>
      </c>
      <c r="FR63" s="321">
        <f t="shared" ca="1" si="126"/>
        <v>0</v>
      </c>
      <c r="FS63" s="322">
        <f t="shared" ca="1" si="127"/>
        <v>624</v>
      </c>
      <c r="FT63" s="272">
        <f t="shared" ca="1" si="132"/>
        <v>620</v>
      </c>
      <c r="FU63" s="275">
        <f t="shared" ca="1" si="133"/>
        <v>1</v>
      </c>
      <c r="FV63" s="323">
        <f t="shared" ca="1" si="134"/>
        <v>46</v>
      </c>
      <c r="FW63" s="276">
        <f t="shared" ca="1" si="128"/>
        <v>46</v>
      </c>
      <c r="FX63" s="276">
        <f t="shared" ca="1" si="129"/>
        <v>96</v>
      </c>
      <c r="FY63" s="276">
        <f t="shared" ca="1" si="135"/>
        <v>94</v>
      </c>
      <c r="FZ63" s="276">
        <f t="shared" ca="1" si="130"/>
        <v>94</v>
      </c>
      <c r="GA63" s="276">
        <f t="shared" ca="1" si="136"/>
        <v>620</v>
      </c>
      <c r="GB63" s="277">
        <f ca="1">IF(FY63="","",2+SUM(FO63:OFFSET(FO63,(FU63-1)*-1,0)))</f>
        <v>7</v>
      </c>
      <c r="GC63" s="316">
        <f t="shared" si="131"/>
        <v>-0.25</v>
      </c>
      <c r="GD63" s="324" t="str">
        <f t="shared" si="111"/>
        <v/>
      </c>
      <c r="GE63" s="325">
        <f t="shared" si="112"/>
        <v>1.75</v>
      </c>
      <c r="GF63" s="278" t="str">
        <f t="shared" si="113"/>
        <v>#1</v>
      </c>
      <c r="GG63" s="279">
        <f t="shared" si="114"/>
        <v>612</v>
      </c>
      <c r="GH63" s="279" t="str">
        <f t="shared" si="115"/>
        <v/>
      </c>
      <c r="GI63" s="280" t="str">
        <f t="shared" si="116"/>
        <v/>
      </c>
      <c r="GJ63" s="326">
        <f t="shared" ca="1" si="117"/>
        <v>0</v>
      </c>
      <c r="GK63" s="913" t="str">
        <f t="shared" ca="1" si="118"/>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6"/>
        <v>0</v>
      </c>
      <c r="FG64" s="754" t="b">
        <f t="shared" si="107"/>
        <v>0</v>
      </c>
      <c r="FH64" s="754" t="b">
        <f t="shared" si="108"/>
        <v>0</v>
      </c>
      <c r="FI64" s="917" t="b">
        <f t="shared" si="109"/>
        <v>0</v>
      </c>
      <c r="FJ64" s="920" t="str">
        <f t="shared" si="119"/>
        <v/>
      </c>
      <c r="FK64" s="919" t="str">
        <f t="shared" si="120"/>
        <v>G11</v>
      </c>
      <c r="FL64" s="320">
        <f t="shared" si="121"/>
        <v>620</v>
      </c>
      <c r="FM64" s="312" t="str">
        <f t="shared" si="110"/>
        <v/>
      </c>
      <c r="FN64" s="272">
        <f t="shared" ca="1" si="122"/>
        <v>96</v>
      </c>
      <c r="FO64" s="273">
        <f t="shared" ca="1" si="123"/>
        <v>5</v>
      </c>
      <c r="FP64" s="274">
        <f t="shared" ca="1" si="124"/>
        <v>96</v>
      </c>
      <c r="FQ64" s="274">
        <f t="shared" ca="1" si="125"/>
        <v>48</v>
      </c>
      <c r="FR64" s="321">
        <f t="shared" ca="1" si="126"/>
        <v>0</v>
      </c>
      <c r="FS64" s="322">
        <f t="shared" ca="1" si="127"/>
        <v>624</v>
      </c>
      <c r="FT64" s="272">
        <f t="shared" ca="1" si="132"/>
        <v>620</v>
      </c>
      <c r="FU64" s="275">
        <f t="shared" ca="1" si="133"/>
        <v>1</v>
      </c>
      <c r="FV64" s="323">
        <f t="shared" ca="1" si="134"/>
        <v>94</v>
      </c>
      <c r="FW64" s="276">
        <f t="shared" ca="1" si="128"/>
        <v>94</v>
      </c>
      <c r="FX64" s="276">
        <f t="shared" ca="1" si="129"/>
        <v>96</v>
      </c>
      <c r="FY64" s="276">
        <f t="shared" ca="1" si="135"/>
        <v>46</v>
      </c>
      <c r="FZ64" s="276">
        <f t="shared" ca="1" si="130"/>
        <v>46</v>
      </c>
      <c r="GA64" s="276">
        <f t="shared" ca="1" si="136"/>
        <v>620</v>
      </c>
      <c r="GB64" s="277">
        <f ca="1">IF(FY64="","",2+SUM(FO64:OFFSET(FO64,(FU64-1)*-1,0)))</f>
        <v>7</v>
      </c>
      <c r="GC64" s="316">
        <f t="shared" si="131"/>
        <v>-0.25</v>
      </c>
      <c r="GD64" s="324">
        <f t="shared" si="111"/>
        <v>1.75</v>
      </c>
      <c r="GE64" s="325" t="str">
        <f t="shared" si="112"/>
        <v/>
      </c>
      <c r="GF64" s="278" t="str">
        <f t="shared" si="113"/>
        <v>#6</v>
      </c>
      <c r="GG64" s="279">
        <f t="shared" si="114"/>
        <v>12</v>
      </c>
      <c r="GH64" s="279" t="str">
        <f t="shared" si="115"/>
        <v/>
      </c>
      <c r="GI64" s="280" t="str">
        <f t="shared" si="116"/>
        <v/>
      </c>
      <c r="GJ64" s="326">
        <f t="shared" ca="1" si="117"/>
        <v>0</v>
      </c>
      <c r="GK64" s="913" t="str">
        <f t="shared" ca="1" si="118"/>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6"/>
        <v>0</v>
      </c>
      <c r="FG65" s="754" t="b">
        <f t="shared" si="107"/>
        <v>0</v>
      </c>
      <c r="FH65" s="754" t="b">
        <f t="shared" si="108"/>
        <v>0</v>
      </c>
      <c r="FI65" s="917" t="b">
        <f t="shared" si="109"/>
        <v>0</v>
      </c>
      <c r="FJ65" s="920" t="str">
        <f t="shared" si="119"/>
        <v/>
      </c>
      <c r="FK65" s="919" t="str">
        <f t="shared" si="120"/>
        <v>G12</v>
      </c>
      <c r="FL65" s="320">
        <f t="shared" si="121"/>
        <v>620</v>
      </c>
      <c r="FM65" s="312" t="str">
        <f t="shared" si="110"/>
        <v/>
      </c>
      <c r="FN65" s="272">
        <f t="shared" ca="1" si="122"/>
        <v>48</v>
      </c>
      <c r="FO65" s="273">
        <f t="shared" ca="1" si="123"/>
        <v>5</v>
      </c>
      <c r="FP65" s="274">
        <f t="shared" ca="1" si="124"/>
        <v>96</v>
      </c>
      <c r="FQ65" s="274">
        <f t="shared" ca="1" si="125"/>
        <v>96</v>
      </c>
      <c r="FR65" s="321">
        <f t="shared" ca="1" si="126"/>
        <v>0</v>
      </c>
      <c r="FS65" s="322">
        <f t="shared" ca="1" si="127"/>
        <v>624</v>
      </c>
      <c r="FT65" s="272">
        <f t="shared" ca="1" si="132"/>
        <v>620</v>
      </c>
      <c r="FU65" s="275">
        <f t="shared" ca="1" si="133"/>
        <v>1</v>
      </c>
      <c r="FV65" s="323">
        <f t="shared" ca="1" si="134"/>
        <v>46</v>
      </c>
      <c r="FW65" s="276">
        <f t="shared" ca="1" si="128"/>
        <v>46</v>
      </c>
      <c r="FX65" s="276">
        <f t="shared" ca="1" si="129"/>
        <v>96</v>
      </c>
      <c r="FY65" s="276">
        <f t="shared" ca="1" si="135"/>
        <v>94</v>
      </c>
      <c r="FZ65" s="276">
        <f t="shared" ca="1" si="130"/>
        <v>94</v>
      </c>
      <c r="GA65" s="276">
        <f t="shared" ca="1" si="136"/>
        <v>620</v>
      </c>
      <c r="GB65" s="277">
        <f ca="1">IF(FY65="","",2+SUM(FO65:OFFSET(FO65,(FU65-1)*-1,0)))</f>
        <v>7</v>
      </c>
      <c r="GC65" s="316">
        <f t="shared" si="131"/>
        <v>-0.25</v>
      </c>
      <c r="GD65" s="324" t="str">
        <f t="shared" si="111"/>
        <v/>
      </c>
      <c r="GE65" s="325">
        <f t="shared" si="112"/>
        <v>1.75</v>
      </c>
      <c r="GF65" s="278" t="str">
        <f t="shared" si="113"/>
        <v>#1</v>
      </c>
      <c r="GG65" s="279">
        <f t="shared" si="114"/>
        <v>612</v>
      </c>
      <c r="GH65" s="279" t="str">
        <f t="shared" si="115"/>
        <v/>
      </c>
      <c r="GI65" s="280" t="str">
        <f t="shared" si="116"/>
        <v/>
      </c>
      <c r="GJ65" s="326">
        <f t="shared" ca="1" si="117"/>
        <v>0</v>
      </c>
      <c r="GK65" s="913" t="str">
        <f t="shared" ca="1" si="118"/>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6"/>
        <v>0</v>
      </c>
      <c r="FG66" s="754" t="b">
        <f t="shared" si="107"/>
        <v>0</v>
      </c>
      <c r="FH66" s="754" t="b">
        <f t="shared" si="108"/>
        <v>0</v>
      </c>
      <c r="FI66" s="917" t="b">
        <f t="shared" si="109"/>
        <v>0</v>
      </c>
      <c r="FJ66" s="920" t="str">
        <f t="shared" si="119"/>
        <v/>
      </c>
      <c r="FK66" s="919" t="str">
        <f t="shared" si="120"/>
        <v>G13</v>
      </c>
      <c r="FL66" s="320">
        <f t="shared" si="121"/>
        <v>620</v>
      </c>
      <c r="FM66" s="312" t="str">
        <f t="shared" si="110"/>
        <v/>
      </c>
      <c r="FN66" s="272">
        <f t="shared" ca="1" si="122"/>
        <v>96</v>
      </c>
      <c r="FO66" s="273">
        <f t="shared" ca="1" si="123"/>
        <v>5</v>
      </c>
      <c r="FP66" s="274">
        <f t="shared" ca="1" si="124"/>
        <v>96</v>
      </c>
      <c r="FQ66" s="274">
        <f t="shared" ca="1" si="125"/>
        <v>48</v>
      </c>
      <c r="FR66" s="321">
        <f t="shared" ca="1" si="126"/>
        <v>0</v>
      </c>
      <c r="FS66" s="322">
        <f t="shared" ca="1" si="127"/>
        <v>624</v>
      </c>
      <c r="FT66" s="272">
        <f t="shared" ca="1" si="132"/>
        <v>620</v>
      </c>
      <c r="FU66" s="275">
        <f t="shared" ca="1" si="133"/>
        <v>1</v>
      </c>
      <c r="FV66" s="323">
        <f t="shared" ca="1" si="134"/>
        <v>94</v>
      </c>
      <c r="FW66" s="276">
        <f t="shared" ca="1" si="128"/>
        <v>94</v>
      </c>
      <c r="FX66" s="276">
        <f t="shared" ca="1" si="129"/>
        <v>96</v>
      </c>
      <c r="FY66" s="276">
        <f t="shared" ca="1" si="135"/>
        <v>46</v>
      </c>
      <c r="FZ66" s="276">
        <f t="shared" ca="1" si="130"/>
        <v>46</v>
      </c>
      <c r="GA66" s="276">
        <f t="shared" ca="1" si="136"/>
        <v>620</v>
      </c>
      <c r="GB66" s="277">
        <f ca="1">IF(FY66="","",2+SUM(FO66:OFFSET(FO66,(FU66-1)*-1,0)))</f>
        <v>7</v>
      </c>
      <c r="GC66" s="316">
        <f t="shared" si="131"/>
        <v>-0.25</v>
      </c>
      <c r="GD66" s="324">
        <f t="shared" si="111"/>
        <v>1.75</v>
      </c>
      <c r="GE66" s="325" t="str">
        <f t="shared" si="112"/>
        <v/>
      </c>
      <c r="GF66" s="278" t="str">
        <f t="shared" si="113"/>
        <v>#6</v>
      </c>
      <c r="GG66" s="279">
        <f t="shared" si="114"/>
        <v>12</v>
      </c>
      <c r="GH66" s="279" t="str">
        <f t="shared" si="115"/>
        <v/>
      </c>
      <c r="GI66" s="280" t="str">
        <f t="shared" si="116"/>
        <v/>
      </c>
      <c r="GJ66" s="326">
        <f t="shared" ca="1" si="117"/>
        <v>0</v>
      </c>
      <c r="GK66" s="913" t="str">
        <f t="shared" ca="1" si="118"/>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6"/>
        <v>0</v>
      </c>
      <c r="FG67" s="754" t="b">
        <f t="shared" si="107"/>
        <v>0</v>
      </c>
      <c r="FH67" s="754" t="b">
        <f t="shared" si="108"/>
        <v>0</v>
      </c>
      <c r="FI67" s="917" t="b">
        <f t="shared" si="109"/>
        <v>0</v>
      </c>
      <c r="FJ67" s="920" t="str">
        <f t="shared" si="119"/>
        <v/>
      </c>
      <c r="FK67" s="919" t="str">
        <f t="shared" si="120"/>
        <v>G14</v>
      </c>
      <c r="FL67" s="320">
        <f t="shared" si="121"/>
        <v>620</v>
      </c>
      <c r="FM67" s="312" t="str">
        <f t="shared" si="110"/>
        <v/>
      </c>
      <c r="FN67" s="272">
        <f t="shared" ca="1" si="122"/>
        <v>48</v>
      </c>
      <c r="FO67" s="273">
        <f t="shared" ca="1" si="123"/>
        <v>5</v>
      </c>
      <c r="FP67" s="274">
        <f t="shared" ca="1" si="124"/>
        <v>96</v>
      </c>
      <c r="FQ67" s="274">
        <f t="shared" ca="1" si="125"/>
        <v>96</v>
      </c>
      <c r="FR67" s="321">
        <f t="shared" ca="1" si="126"/>
        <v>0</v>
      </c>
      <c r="FS67" s="322">
        <f t="shared" ca="1" si="127"/>
        <v>624</v>
      </c>
      <c r="FT67" s="272">
        <f t="shared" ca="1" si="132"/>
        <v>620</v>
      </c>
      <c r="FU67" s="275">
        <f t="shared" ca="1" si="133"/>
        <v>1</v>
      </c>
      <c r="FV67" s="323">
        <f t="shared" ca="1" si="134"/>
        <v>46</v>
      </c>
      <c r="FW67" s="276">
        <f t="shared" ca="1" si="128"/>
        <v>46</v>
      </c>
      <c r="FX67" s="276">
        <f t="shared" ca="1" si="129"/>
        <v>96</v>
      </c>
      <c r="FY67" s="276">
        <f t="shared" ca="1" si="135"/>
        <v>94</v>
      </c>
      <c r="FZ67" s="276">
        <f t="shared" ca="1" si="130"/>
        <v>94</v>
      </c>
      <c r="GA67" s="276">
        <f t="shared" ca="1" si="136"/>
        <v>620</v>
      </c>
      <c r="GB67" s="277">
        <f ca="1">IF(FY67="","",2+SUM(FO67:OFFSET(FO67,(FU67-1)*-1,0)))</f>
        <v>7</v>
      </c>
      <c r="GC67" s="316">
        <f t="shared" si="131"/>
        <v>-0.25</v>
      </c>
      <c r="GD67" s="324" t="str">
        <f t="shared" si="111"/>
        <v/>
      </c>
      <c r="GE67" s="325">
        <f t="shared" si="112"/>
        <v>1.75</v>
      </c>
      <c r="GF67" s="278" t="str">
        <f t="shared" si="113"/>
        <v>#1</v>
      </c>
      <c r="GG67" s="279">
        <f t="shared" si="114"/>
        <v>612</v>
      </c>
      <c r="GH67" s="279" t="str">
        <f t="shared" si="115"/>
        <v/>
      </c>
      <c r="GI67" s="280" t="str">
        <f t="shared" si="116"/>
        <v/>
      </c>
      <c r="GJ67" s="326">
        <f t="shared" ca="1" si="117"/>
        <v>0</v>
      </c>
      <c r="GK67" s="913" t="str">
        <f t="shared" ca="1" si="118"/>
        <v/>
      </c>
    </row>
    <row r="68" spans="78:196" ht="12.6" hidden="1" customHeight="1" x14ac:dyDescent="0.2">
      <c r="BZ68" s="293"/>
      <c r="CA68" s="293"/>
      <c r="CB68" s="365" t="str">
        <f t="shared" ref="CB68:CB85" si="137">IF(CB28="","",CB28)</f>
        <v>G1</v>
      </c>
      <c r="CC68" s="1305"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ref="CK68:CK85" si="138">CM28*-1</f>
        <v>0</v>
      </c>
      <c r="CL68" s="1305" t="str">
        <f>IF(CQ28="","",VLOOKUP(CQ28,SectInfo!$B:$N,12,FALSE))</f>
        <v>M</v>
      </c>
      <c r="CM68" s="1306">
        <f>IF(ISBLANK(CX28),IF(CQ28="","",VLOOKUP(CQ28,SectInfo!$B:$N,13,FALSE)),CX28)</f>
        <v>-1.5</v>
      </c>
      <c r="CN68" s="1306" t="str">
        <f>IF(CQ28="","",IF(VLOOKUP(CQ28,SectInfo!$B:$N,5,FALSE)="","R",UPPER(VLOOKUP(CQ28,SectInfo!$B:$N,5,FALSE))))</f>
        <v>R</v>
      </c>
      <c r="CO68" s="1306">
        <f>IF(ISBLANK(CZ28),IF(CQ28="","",VLOOKUP(CQ28,SectInfo!$B:$N,6,FALSE)),CZ28)</f>
        <v>7.5</v>
      </c>
      <c r="CP68" s="1306">
        <f>IF(CQ28="","",IF(VLOOKUP(CQ28,SectInfo!$B:$N,10,FALSE)="","",(VLOOKUP(CQ28,SectInfo!$B:$N,10,FALSE)*-1)))</f>
        <v>-4.5</v>
      </c>
      <c r="CQ68" s="367" t="str">
        <f>IF(CQ28="","",IF(VLOOKUP(CQ28,SectInfo!$B:$N,7,FALSE)="","",(VLOOKUP(CQ28,SectInfo!$B:$N,7,FALSE)*-1)))</f>
        <v/>
      </c>
      <c r="CR68" s="367">
        <f>IF(CQ28="","",IF(VLOOKUP(CQ28,SectInfo!$B:$N,8,FALSE)="",$FC$4,(VLOOKUP(CQ28,SectInfo!$B:$N,8,FALSE))))</f>
        <v>5</v>
      </c>
      <c r="CS68" s="367">
        <f>IF(CQ28="","",VLOOKUP(CQ28,SectInfo!$B:$N,9,FALSE))</f>
        <v>9.875</v>
      </c>
      <c r="CT68" s="368">
        <f t="shared" ref="CT68:CT85" si="139">CW28*-1</f>
        <v>0</v>
      </c>
      <c r="CU68" s="369">
        <f t="shared" ref="CU68:CU85" si="140">IF(DA28="",0,ATAN(DA28/12))</f>
        <v>0</v>
      </c>
      <c r="CV68" s="274">
        <f t="shared" ref="CV68:CV85" si="141">IF(OR(CD68="",CE28="",CM68=""),"",CEILING(IF(AND(CE28="",CF28=""),"",((CE28*12+CF28)+CD68+CM68)/COS(EU68))-0.0625,0.125))</f>
        <v>609.25</v>
      </c>
      <c r="CW68" s="274">
        <f t="shared" ref="CW68:CW85" si="142">IF(CF68="","",IF(ABS(EM68)&lt;ABS($FA$2),CF68,IF(EM68=0,CF68,CEILING((CF68+((DC68-CD68)/12)*EM68)-0.0625,0.125))))</f>
        <v>7.5</v>
      </c>
      <c r="CX68" s="873">
        <f t="shared" ref="CX68:CX85" si="143">IF(CO68="","",IF(ABS(ER68)&lt;ABS($FA$2),CO68,IF(ER68=0,CO68,CEILING((CO68+((DI68-CM68)/12)*ER68)-0.0625,0.125))))</f>
        <v>7.5</v>
      </c>
      <c r="CY68" s="874">
        <f t="shared" ref="CY68:CY85" si="144">RADIANS(ABS(CL28))</f>
        <v>0</v>
      </c>
      <c r="CZ68" s="874">
        <f t="shared" ref="CZ68:CZ85" si="145">MIN(IF(CH28&gt;0,CH28/2,MAX(CI28/2,CJ68)),IF(CI28&gt;0,CI28/2,MAX(CH28/2,CJ68)),IF(CJ68&gt;0,CJ68,MAX(CI28/2,CH28/2)))/IF(OR(CC68="C",AND(CC68="M",$FG$1="N")),1,COS(CY68))</f>
        <v>8</v>
      </c>
      <c r="DA68" s="874">
        <f t="shared" ref="DA68:DA85" si="146">IF(CD68="","",IF(CJ68&gt;=0,MAX(CH28/2,CI28/2,CJ68),CJ68)/IF(OR(CC68="C",AND(CC68="M",$FG$1="N")),1,COS(CY68)))</f>
        <v>8</v>
      </c>
      <c r="DB68" s="1311">
        <f>IF(CD68="","",CD68+DA68+($EY$4*TAN(CY68)))</f>
        <v>7.75</v>
      </c>
      <c r="DC68" s="1311">
        <f t="shared" ref="DC68:DC85" si="147">IF(CD68="","",IF(NOT(ISBLANK(CO28)),CD68-CO28,MAX(IF(AND(CZ68&gt;=$FB$4,DA68&lt;=$FA$4,OR($FA$1=1,$FA$1=4)),CD68,IF(OR($FA$1=3,$FA$1=4),DB68-$FA$4,DB68+MAX(($FA$4-$FB$4)-(DA68-CZ68)-$EY$4/2*TAN(CY68),0)-$FA$4))-EO68,0)))</f>
        <v>1.75</v>
      </c>
      <c r="DD68" s="1312">
        <f>IF(CD68="",0,IF(DC68/COS(EU68)&lt;0.0625,0,CEILING(DC68/COS(EU68)-0.03125,0.125)))</f>
        <v>1.75</v>
      </c>
      <c r="DE68" s="1311">
        <f t="shared" ref="DE68:DE85" si="148">RADIANS(ABS(CV28))</f>
        <v>0.8028514559173916</v>
      </c>
      <c r="DF68" s="1313">
        <f t="shared" ref="DF68:DF85" si="149">MIN(IF(CR28&gt;0,CR28/2,MAX(CS28/2,CS68)),IF(CS28&gt;0,CS28/2,MAX(CR28/2,CS68)),IF(CS68&gt;0,CS68,MAX(CS28/2,CR28/2)))/IF(OR(CL68="C",AND(CL68="M",$FG$1="N")),1,COS(DE68))</f>
        <v>9.875</v>
      </c>
      <c r="DG68" s="1313">
        <f t="shared" ref="DG68:DG85" si="150">IF(CM68="","",IF(CS68&gt;=0,MAX(CR28/2,CS28/2,CS68),CS68)/IF(OR(CL68="C",AND(CL68="M",$FG$1="N")),1,COS(DE68)))</f>
        <v>9.875</v>
      </c>
      <c r="DH68" s="1311">
        <f>IF(CM68="","",CM68+DG68+($EY$4*TAN(DE68)))</f>
        <v>9.9282954706858551</v>
      </c>
      <c r="DI68" s="1311">
        <f t="shared" ref="DI68:DI85" si="151">IF(CM68="","",IF(NOT(ISBLANK(CY28)),CM68-CY28,MAX(IF(AND(DF68&gt;=$FB$4,DG68&lt;=$FA$4,OR($FA$1=1,$FA$1=4)),CM68,IF(OR($FA$1=3,$FA$1=4),DH68-$FA$4,DH68+MAX(($FA$4-$FB$4)-(DG68-DF68)-$EY$4/2*TAN(DE68),0)-$FA$4))-ET68,0)-CY28))</f>
        <v>3.9282954706858551</v>
      </c>
      <c r="DJ68" s="1312">
        <f>IF(CM68="",0,IF(DI68/COS(EU68)&lt;0.0625,0,CEILING(DI68/COS(EU68)-0.03125,0.125)))</f>
        <v>4</v>
      </c>
      <c r="DK68" s="1311">
        <f>IF(CV68="","",CEILING(CV68-DD68-DJ68-0.0625,0.125))</f>
        <v>603.5</v>
      </c>
      <c r="DL68" s="1311">
        <f>IF(AND(EG68="",CH68=""),"",IF(EG68="ERR","ERR",IF(ISNUMBER(EG68),(EG68/2)*-1,CH68)))</f>
        <v>-6.5</v>
      </c>
      <c r="DM68" s="1311">
        <f t="shared" ref="DM68:DM85" si="152">IF(DL68="ERR","ERR",IF(DL68="","",IF(CR68*TAN(CY68)&lt;=($FE$4-($FD$4-0.0625)),CD68-(DL68-EO68)/IF(OR(CC68="C",AND(CC68="M",$FG$1="N")),1,COS(CY68))-IF(MID(CE68,1,1)="R",0,DC68),(ABS(DL68-EO68)/IF(OR(CC68="C",AND(CC68="M",$FG$1="N")),1,COS(CY68))+CD68)-((CR68/2)*TAN(CY68))-IF(MID(CE68,1,1)="R",0,DC68))))</f>
        <v>6.25</v>
      </c>
      <c r="DN68" s="1311">
        <f t="shared" ref="DN68:DN85" si="153">IF(DL68="ERR","ERR",IF(DL68="","",IF(CI68*TAN(CY68)&lt;=($FE$4-($FD$4-0.0625)),CD68-(DL68-EO68)/IF(OR(CC68="C",AND(CC68="M",$FG$1="N")),1,COS(CY68))-IF(MID(CE68,1,1)="R",0,DC68),(ABS(DL68-EO68)/IF(OR(CC68="C",AND(CC68="M",$FG$1="N")),1,COS(CY68))+CD68)+((CI68/2)*TAN(CY68))-IF(MID(CE68,1,1)="R",0,DC68))))</f>
        <v>6.25</v>
      </c>
      <c r="DO68" s="889">
        <f t="shared" ref="DO68:DO85" si="154">IF(ISBLANK(CO28),IF(DM68&lt;$EX$6+($FD$4-0.0625)/2,"ERR",IF(DM68&lt;$EX$6+$FE$4/2,($FE$4/2+$EX$6),IF(DM68&lt;$FA$4+IF(MID(CE68,1,1)="R",DC68+CO28,0)-$FE$4/2-$EX$6,DM68,IF(DM68&lt;=$FA$4+IF(MID(CE68,1,1)="R",DC68,0)-($FD$4-0.0625)/2-$EX$6,$FA$4+IF(MID(CE68,1,1)="R",DC68,0)-($FE$4/2+$EX$6),"ERR")))),DM68)</f>
        <v>6.25</v>
      </c>
      <c r="DP68" s="889">
        <f t="shared" ref="DP68:DP85" si="155">IF(ISBLANK(CO28),IF(DN68&lt;$EX$6+($FD$4-0.0625)/2,"ERR",IF(DN68&lt;0.5+$FE$4/2,($FE$4/2+$EX$6),IF(DN68&lt;$FA$4+IF(MID(CE68,1,1)="R",DC68+CO28,0)-$FE$4/2-$EX$6,DN68,IF(DN68&lt;=$FA$4+IF(MID(CE68,1,1)="R",DC68,0)-($FD$4-0.0625)/2-$EX$6,$FA$4+IF(MID(CE68,1,1)="R",DC68,0)-($FE$4/2+$EX$6),"ERR")))),DN68)</f>
        <v>6.25</v>
      </c>
      <c r="DQ68" s="1311">
        <f>IF(ISERROR(DM68),"ERR",IF(DM68="","",IF(DO68="ERR","ERR",CEILING(DO68-0.0625,0.125))))</f>
        <v>6.25</v>
      </c>
      <c r="DR68" s="1311">
        <f>IF(ISERROR(DN68),"ERR",IF(DN68="","",IF(DP68="ERR","ERR",CEILING(DP68-0.0625,0.125))))</f>
        <v>6.25</v>
      </c>
      <c r="DS68" s="1311" t="str">
        <f>IF(AND(EJ68="",CQ68=""),"",IF(EJ68="ERR","ERR",IF(ISNUMBER(EJ68),(EJ68/2)*-1,CQ68)))</f>
        <v/>
      </c>
      <c r="DT68" s="1311" t="str">
        <f t="shared" ref="DT68:DT85" si="156">IF(DS68="ERR","ERR",IF(DS68="","",IF(CR68*TAN(DE68)&lt;=($FE$4-($FD$4-0.0625)),CM68-(DS68-ET68)/IF(OR(CL68="C",AND(CL68="M",$FG$1="N")),1,COS(DE68))-IF(MID(CN68,1,1)="R",0,DI68),(ABS(DS68-ET68)/IF(OR(CL68="C",AND(CL68="M",$FG$1="N")),1,COS(DE68))+CM68)-((CR68/2)*TAN(DE68))-IF(MID(CN68,1,1)="R",0,DI68))))</f>
        <v/>
      </c>
      <c r="DU68" s="1311" t="str">
        <f t="shared" ref="DU68:DU85" si="157">IF(DS68="ERR","ERR",IF(DS68="","",IF(CR68*TAN(DE68)&lt;=($FE$4-($FD$4-0.0625)),CM68-(DS68-ET68)/IF(OR(CL68="C",AND(CL68="M",$FG$1="N")),1,COS(DE68))-IF(MID(CN68,1,1)="R",0,DI68),(ABS(DS68-ET68)/IF(OR(CL68="C",AND(CL68="M",$FG$1="N")),1,COS(DE68))+CM68)+((CR68/2)*TAN(DE68))-IF(MID(CN68,1,1)="R",0,DI68))))</f>
        <v/>
      </c>
      <c r="DV68" s="889" t="str">
        <f t="shared" ref="DV68:DV85" si="158">IF(ISBLANK(CY28),IF(DT68&lt;$EX$6+($FD$4-0.0625)/2,"ERR",IF(DT68&lt;$EX$6+$FE$4/2,($FE$4/2+$EX$6),IF(DT68&lt;$FA$4+IF(MID(CN68,1,1)="R",DI68+CY28,0)-$FE$4/2-$EX$6,DT68,IF(DT68&lt;=$FA$4+IF(MID(CN68,1,1)="R",DI68,0)-($FD$4-0.0625)/2-$EX$6,$FA$4+IF(MID(CN68,1,1)="R",DI68,0)-($FE$4/2+$EX$6),"ERR")))),DT68)</f>
        <v>ERR</v>
      </c>
      <c r="DW68" s="889" t="str">
        <f t="shared" ref="DW68:DW85" si="159">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f>IF(CG68="","",IF((CD68-CG68)/COS(CU68)-FB68&lt;=-0.0625,CEILING((CD68-CG68)/COS(CU68)-FB68+0.0625,-0.125),IF((CD68-CG68)/COS(CU68)-FB68&gt;=0.0625,CEILING((CD68-CG68)/COS(CU68)-FB68-0.0625,0.125),0)))</f>
        <v>6.75</v>
      </c>
      <c r="EA68" s="873">
        <f>IF(CP68="","",IF((CM68-CP68)/COS(CU68)-FC68&lt;=-0.0625,CEILING((CM68-CP68)/COS(CU68)-FC68+0.0625,-0.125),IF((CM68-CP68)/COS(CU68)-FC68&gt;=0.0625,CEILING((CM68-CP68)/COS(CU68)-FC68-0.0625,0.125),0)))</f>
        <v>3</v>
      </c>
      <c r="EB68" s="876">
        <f t="shared" ref="EB68:EB85" si="160">IF(CD28="","",$FC$4)</f>
        <v>5</v>
      </c>
      <c r="EC68" s="877">
        <f>IF(AND(DR68="",DY68=""),"",IF(OR(CI68=EB68,CR68=EB68),EB68,CI68))</f>
        <v>5</v>
      </c>
      <c r="ED68" s="876" t="str">
        <f t="shared" ref="ED68:ED85" si="161">IF(DA28="","",CEILING(($EZ$4/COS(CU68)+$FA$4/12*ABS(DA28)+0.5),0.125))</f>
        <v/>
      </c>
      <c r="EE68" s="876" t="str">
        <f t="shared" ref="EE68:EE85" si="162">(IF(CC68="B",MIN(CJ28:CK28),""))</f>
        <v/>
      </c>
      <c r="EF68" s="876" t="str">
        <f t="shared" ref="EF68:EF85" si="163">(IF(CC68="B",MAX(CJ28:CK28),""))</f>
        <v/>
      </c>
      <c r="EG68" s="876" t="str">
        <f t="shared" ref="EG68:EG85" si="164">IF(EE68="","",IF((EF68-EE68)/2&lt;=($FE$4-($FD$4-0.0625)),(EE68+EF68)/2,"ERR"))</f>
        <v/>
      </c>
      <c r="EH68" s="876" t="str">
        <f t="shared" ref="EH68:EH85" si="165">IF(CL68="B",MIN(CT28:CU28),"")</f>
        <v/>
      </c>
      <c r="EI68" s="876" t="str">
        <f t="shared" ref="EI68:EI85" si="166">IF(CL68="B",MAX(CT28:CU28),"")</f>
        <v/>
      </c>
      <c r="EJ68" s="876" t="str">
        <f t="shared" ref="EJ68:EJ85" si="167">IF(EH68="","",IF((EI68-EH68)/2&lt;=($FE$4-($FD$4-0.0625)),(EH68+EI68)/2,"ERR"))</f>
        <v/>
      </c>
      <c r="EK68" s="874">
        <f>IF(CK68="",0,ATAN(CK68/12))</f>
        <v>0</v>
      </c>
      <c r="EL68" s="874">
        <f>CU68-EK68</f>
        <v>0</v>
      </c>
      <c r="EM68" s="874">
        <f t="shared" ref="EM68:EM85" si="168">TAN(EL68)*12</f>
        <v>0</v>
      </c>
      <c r="EN68" s="874" t="str">
        <f t="shared" ref="EN68:EN85" si="169">IF(ABS(EM68)&lt;$FA$2,"",IF(EM68&gt;0,CEILING(EM68-0.0625,0.125),CEILING(EM68+0.0625,-0.125)))</f>
        <v/>
      </c>
      <c r="EO68" s="873">
        <f>IF(CF68="","",CF68*TAN(EK68))</f>
        <v>0</v>
      </c>
      <c r="EP68" s="874">
        <f>IF(CT68="",0,ATAN(CT68/12))</f>
        <v>0</v>
      </c>
      <c r="EQ68" s="874">
        <f>CU68+EP68</f>
        <v>0</v>
      </c>
      <c r="ER68" s="874">
        <f t="shared" ref="ER68:ER85" si="170">TAN(EQ68)*-12</f>
        <v>0</v>
      </c>
      <c r="ES68" s="874" t="str">
        <f t="shared" ref="ES68:ES85" si="171">IF(ABS(ER68)&lt;$FA$2,"",IF(ER68&gt;0,CEILING(ER68-0.0625,0.125),CEILING(ER68+0.0625,-0.125)))</f>
        <v/>
      </c>
      <c r="ET68" s="873">
        <f>IF(CO68="","",CO68*TAN(EP68))</f>
        <v>0</v>
      </c>
      <c r="EU68" s="873">
        <f t="shared" ref="EU68:EU85" si="172">IF((CE28*12+CF28)/COS(CU68)-(CE28*12+CF28)&lt;$FE$2,0,CU68)</f>
        <v>0</v>
      </c>
      <c r="EV68" s="876">
        <f t="shared" ref="EV68:EV85" si="173">MIN(IF(CH28&gt;0,CH28/2,MAX(CI28/2,CJ68)),IF(CI28&gt;0,CI28/2,MAX(CH28/2,CJ68)),IF(CJ68&gt;0,CJ68,MAX(CI28/2,CH28/2)))/COS(CY68)+CD68-DC68</f>
        <v>6</v>
      </c>
      <c r="EW68" s="876">
        <f t="shared" ref="EW68:EW85" si="174">MIN(IF(CR28&gt;0,CR28/2,MAX(CS28/2,CS68)),IF(CS28&gt;0,CS28/2,MAX(CR28/2,CS68)),IF(CS68&gt;0,CS68,MAX(CS28/2,CR28/2)))/COS(DE68)+CM68-DI68</f>
        <v>8.7873253581181938</v>
      </c>
      <c r="EX68" s="942" t="e">
        <f t="shared" ref="EX68:EX85" si="175">IF(CD28="","",IF(EZ68&lt;1.2,5+$EX$4,IF(EZ68&lt;1.79,6+$EX$4,IF(EZ68&lt;2.3,7+$EX$4,IF(EZ68&lt;3.76,8+$EX$4,IF(EZ68&lt;4.76,10+$EY$4,IF(EZ68&lt;8.45,12+$EY$4,"ERR")))))))</f>
        <v>#VALUE!</v>
      </c>
      <c r="EY68" s="879" t="e">
        <f>TRUNC(IF(FA68&lt;1.03,25.667,IF(FA68&lt;1.2,29.667,IF(FA68&lt;1.79,33.583,IF(FA68&lt;2.3,37.75,IF(FA68&lt;3.76,42,IF(FA68&lt;4.76,50.167,IF(FA68&lt;8.45,58.167,"ERR"))))))))</f>
        <v>#VALUE!</v>
      </c>
      <c r="EZ68" s="959" t="e">
        <f t="shared" ref="EZ68:EZ85" si="176">(0.03*BP28*((CE28+CF28/12)/BO28)*(BO28^2-IF(ISEVEN(BO28),0,1)))/BM28</f>
        <v>#VALUE!</v>
      </c>
      <c r="FA68" s="960" t="e">
        <f t="shared" ref="FA68:FA85" si="177">(0.026*BP28*((CE28+CF28/12)/BO28)*(BO28^2-IF(ISEVEN(BO28),0,1)))/BM28</f>
        <v>#VALUE!</v>
      </c>
      <c r="FB68" s="880">
        <f t="shared" ref="FB68:FB85" si="178">IF(CG68="","",IF(ABS(DA28*((BM28-IF(DA28&gt;0,$FF$4,0))/12))&gt;$CX$2,DA28*((BM28-IF(DA28&gt;0,$FF$4,0))/12),0))</f>
        <v>0</v>
      </c>
      <c r="FC68" s="881">
        <f t="shared" ref="FC68:FC85" si="179">IF(CP68="","",IF(ABS(DA28*((BM28-IF(DA28&lt;0,$FF$4,0))/12))&gt;$CX$2,DA28*((BM28-IF(DA28&lt;0,$FF$4,0))/12)*-1,0))</f>
        <v>0</v>
      </c>
      <c r="FD68" s="512">
        <f t="shared" ref="FD68:FD85" si="180">IF(CF68="",0,MAX(0,DB68-$FA$4))</f>
        <v>1.75</v>
      </c>
      <c r="FE68" s="513">
        <f t="shared" ref="FE68:FE85" si="181">IF(CO68="",0,MAX(0,DH68-$FA$4))</f>
        <v>3.9282954706858551</v>
      </c>
      <c r="FF68" s="754" t="b">
        <f t="shared" si="106"/>
        <v>0</v>
      </c>
      <c r="FG68" s="754" t="b">
        <f t="shared" si="107"/>
        <v>0</v>
      </c>
      <c r="FH68" s="754" t="b">
        <f t="shared" si="108"/>
        <v>0</v>
      </c>
      <c r="FI68" s="917" t="b">
        <f t="shared" si="109"/>
        <v>0</v>
      </c>
      <c r="FJ68" s="920" t="str">
        <f t="shared" si="119"/>
        <v/>
      </c>
      <c r="FK68" s="919" t="str">
        <f t="shared" si="120"/>
        <v>G15</v>
      </c>
      <c r="FL68" s="320">
        <f t="shared" si="121"/>
        <v>612</v>
      </c>
      <c r="FM68" s="312" t="str">
        <f t="shared" si="110"/>
        <v/>
      </c>
      <c r="FN68" s="272">
        <f t="shared" ca="1" si="122"/>
        <v>48</v>
      </c>
      <c r="FO68" s="273">
        <f t="shared" ca="1" si="123"/>
        <v>5</v>
      </c>
      <c r="FP68" s="274">
        <f t="shared" ca="1" si="124"/>
        <v>96</v>
      </c>
      <c r="FQ68" s="274">
        <f t="shared" ca="1" si="125"/>
        <v>87</v>
      </c>
      <c r="FR68" s="321">
        <f t="shared" ca="1" si="126"/>
        <v>0</v>
      </c>
      <c r="FS68" s="322">
        <f t="shared" ca="1" si="127"/>
        <v>615</v>
      </c>
      <c r="FT68" s="272">
        <f t="shared" ca="1" si="132"/>
        <v>612</v>
      </c>
      <c r="FU68" s="275">
        <f t="shared" ca="1" si="133"/>
        <v>1</v>
      </c>
      <c r="FV68" s="323">
        <f t="shared" ca="1" si="134"/>
        <v>46</v>
      </c>
      <c r="FW68" s="276">
        <f t="shared" ca="1" si="128"/>
        <v>46</v>
      </c>
      <c r="FX68" s="276">
        <f t="shared" ca="1" si="129"/>
        <v>96</v>
      </c>
      <c r="FY68" s="276">
        <f t="shared" ca="1" si="135"/>
        <v>86</v>
      </c>
      <c r="FZ68" s="276">
        <f t="shared" ca="1" si="130"/>
        <v>86</v>
      </c>
      <c r="GA68" s="276">
        <f t="shared" ca="1" si="136"/>
        <v>612</v>
      </c>
      <c r="GB68" s="277">
        <f ca="1">IF(FY68="","",2+SUM(FO68:OFFSET(FO68,(FU68-1)*-1,0)))</f>
        <v>7</v>
      </c>
      <c r="GC68" s="316">
        <f t="shared" si="131"/>
        <v>-0.25</v>
      </c>
      <c r="GD68" s="324" t="str">
        <f t="shared" si="111"/>
        <v/>
      </c>
      <c r="GE68" s="325" t="str">
        <f t="shared" si="112"/>
        <v/>
      </c>
      <c r="GF68" s="278" t="str">
        <f t="shared" si="113"/>
        <v>#1</v>
      </c>
      <c r="GG68" s="279" t="str">
        <f t="shared" si="114"/>
        <v/>
      </c>
      <c r="GH68" s="279" t="str">
        <f t="shared" si="115"/>
        <v/>
      </c>
      <c r="GI68" s="280" t="str">
        <f t="shared" si="116"/>
        <v/>
      </c>
      <c r="GJ68" s="326">
        <f t="shared" ca="1" si="117"/>
        <v>0</v>
      </c>
      <c r="GK68" s="913" t="str">
        <f t="shared" ca="1" si="118"/>
        <v/>
      </c>
    </row>
    <row r="69" spans="78:196" ht="12.6" hidden="1" customHeight="1" x14ac:dyDescent="0.2">
      <c r="BZ69" s="293"/>
      <c r="CA69" s="293"/>
      <c r="CB69" s="365" t="str">
        <f t="shared" si="137"/>
        <v>G2</v>
      </c>
      <c r="CC69" s="1305" t="str">
        <f>IF(CG29="","",VLOOKUP(CG29,SectInfo!$B:$N,12,FALSE))</f>
        <v>C</v>
      </c>
      <c r="CD69" s="1306">
        <f>IF(ISBLANK(CN29),IF(CG29="","",VLOOKUP(CG29,SectInfo!$B:$N,13,FALSE)),CN29)</f>
        <v>-5.5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-8.5</v>
      </c>
      <c r="CI69" s="1306">
        <f>IF(CG29="","",IF(VLOOKUP(CG29,SectInfo!$B:$N,8,FALSE)="",$FC$4,(VLOOKUP(CG29,SectInfo!$B:$N,8,FALSE))))</f>
        <v>5</v>
      </c>
      <c r="CJ69" s="1306">
        <f>IF(CG29="","",VLOOKUP(CG29,SectInfo!$B:$N,9,FALSE))</f>
        <v>11</v>
      </c>
      <c r="CK69" s="1307">
        <f t="shared" si="138"/>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367">
        <f>IF(CQ29="","",IF(VLOOKUP(CQ29,SectInfo!$B:$N,7,FALSE)="","",(VLOOKUP(CQ29,SectInfo!$B:$N,7,FALSE)*-1)))</f>
        <v>-6.5</v>
      </c>
      <c r="CR69" s="367">
        <f>IF(CQ29="","",IF(VLOOKUP(CQ29,SectInfo!$B:$N,8,FALSE)="",$FC$4,(VLOOKUP(CQ29,SectInfo!$B:$N,8,FALSE))))</f>
        <v>5</v>
      </c>
      <c r="CS69" s="367">
        <f>IF(CQ29="","",VLOOKUP(CQ29,SectInfo!$B:$N,9,FALSE))</f>
        <v>8</v>
      </c>
      <c r="CT69" s="368">
        <f t="shared" si="139"/>
        <v>0</v>
      </c>
      <c r="CU69" s="369">
        <f t="shared" si="140"/>
        <v>0</v>
      </c>
      <c r="CV69" s="274">
        <f t="shared" si="141"/>
        <v>613.75</v>
      </c>
      <c r="CW69" s="274">
        <f t="shared" si="142"/>
        <v>7.5</v>
      </c>
      <c r="CX69" s="873">
        <f t="shared" si="143"/>
        <v>7.5</v>
      </c>
      <c r="CY69" s="874">
        <f t="shared" si="144"/>
        <v>0</v>
      </c>
      <c r="CZ69" s="874">
        <f t="shared" si="145"/>
        <v>11</v>
      </c>
      <c r="DA69" s="874">
        <f t="shared" si="146"/>
        <v>11</v>
      </c>
      <c r="DB69" s="1311">
        <f t="shared" ref="DB69:DB85" si="182">IF(CD69="","",CD69+DA69+($EY$4*TAN(CY69)))</f>
        <v>5.5</v>
      </c>
      <c r="DC69" s="1311">
        <f t="shared" si="147"/>
        <v>0</v>
      </c>
      <c r="DD69" s="1312">
        <f t="shared" ref="DD69:DD85" si="183">IF(CD69="",0,IF(DC69/COS(EU69)&lt;0.0625,0,CEILING(DC69/COS(EU69)-0.03125,0.125)))</f>
        <v>0</v>
      </c>
      <c r="DE69" s="1311">
        <f t="shared" si="148"/>
        <v>0</v>
      </c>
      <c r="DF69" s="1313">
        <f t="shared" si="149"/>
        <v>8</v>
      </c>
      <c r="DG69" s="1313">
        <f t="shared" si="150"/>
        <v>8</v>
      </c>
      <c r="DH69" s="1311">
        <f t="shared" ref="DH69:DH85" si="184">IF(CM69="","",CM69+DG69+($EY$4*TAN(DE69)))</f>
        <v>7.75</v>
      </c>
      <c r="DI69" s="1311">
        <f t="shared" si="151"/>
        <v>1.75</v>
      </c>
      <c r="DJ69" s="1312">
        <f t="shared" ref="DJ69:DJ85" si="185">IF(CM69="",0,IF(DI69/COS(EU69)&lt;0.0625,0,CEILING(DI69/COS(EU69)-0.03125,0.125)))</f>
        <v>1.75</v>
      </c>
      <c r="DK69" s="1311">
        <f t="shared" ref="DK69:DK85" si="186">IF(CV69="","",CEILING(CV69-DD69-DJ69-0.0625,0.125))</f>
        <v>612</v>
      </c>
      <c r="DL69" s="1311">
        <f t="shared" ref="DL69:DL85" si="187">IF(AND(EG69="",CH69=""),"",IF(EG69="ERR","ERR",IF(ISNUMBER(EG69),(EG69/2)*-1,CH69)))</f>
        <v>-8.5</v>
      </c>
      <c r="DM69" s="1311">
        <f t="shared" si="152"/>
        <v>3</v>
      </c>
      <c r="DN69" s="1311">
        <f t="shared" si="153"/>
        <v>3</v>
      </c>
      <c r="DO69" s="889">
        <f t="shared" si="154"/>
        <v>3</v>
      </c>
      <c r="DP69" s="889">
        <f t="shared" si="155"/>
        <v>3</v>
      </c>
      <c r="DQ69" s="1311">
        <f t="shared" ref="DQ69:DR85" si="188">IF(ISERROR(DM69),"ERR",IF(DM69="","",IF(DO69="ERR","ERR",CEILING(DO69-0.0625,0.125))))</f>
        <v>3</v>
      </c>
      <c r="DR69" s="1311">
        <f t="shared" si="188"/>
        <v>3</v>
      </c>
      <c r="DS69" s="1311">
        <f t="shared" ref="DS69:DS85" si="189">IF(AND(EJ69="",CQ69=""),"",IF(EJ69="ERR","ERR",IF(ISNUMBER(EJ69),(EJ69/2)*-1,CQ69)))</f>
        <v>-6.5</v>
      </c>
      <c r="DT69" s="1311">
        <f t="shared" si="156"/>
        <v>6.25</v>
      </c>
      <c r="DU69" s="1311">
        <f t="shared" si="157"/>
        <v>6.25</v>
      </c>
      <c r="DV69" s="889">
        <f t="shared" si="158"/>
        <v>6.25</v>
      </c>
      <c r="DW69" s="889">
        <f t="shared" si="159"/>
        <v>6.25</v>
      </c>
      <c r="DX69" s="873">
        <f t="shared" ref="DX69:DY85" si="190">IF(ISERROR(DT69),"ERR",IF(DT69="","",IF(DV69="ERR","ERR",CEILING(DV69-0.0625,0.125))))</f>
        <v>6.25</v>
      </c>
      <c r="DY69" s="873">
        <f t="shared" si="190"/>
        <v>6.25</v>
      </c>
      <c r="DZ69" s="873">
        <f>IF(CG69="","",IF((CD69-CG69)/COS(CU69)-FB69&lt;=-0.0625,CEILING((CD69-CG69)/COS(CU69)-FB69+0.0625,-0.125),IF((CD69-CG69)/COS(CU69)-FB69&gt;=0.0625,CEILING((CD69-CG69)/COS(CU69)-FB69-0.0625,0.125),0)))</f>
        <v>1.5</v>
      </c>
      <c r="EA69" s="873">
        <f>IF(CP69="","",IF((CM69-CP69)/COS(CU69)-FC69&lt;=-0.0625,CEILING((CM69-CP69)/COS(CU69)-FC69+0.0625,-0.125),IF((CM69-CP69)/COS(CU69)-FC69&gt;=0.0625,CEILING((CM69-CP69)/COS(CU69)-FC69-0.0625,0.125),0)))</f>
        <v>6.75</v>
      </c>
      <c r="EB69" s="876">
        <f t="shared" si="160"/>
        <v>5</v>
      </c>
      <c r="EC69" s="877">
        <f t="shared" ref="EC69:EC85" si="191">IF(AND(DR69="",DY69=""),"",IF(OR(CI69=EB69,CR69=EB69),EB69,CI69))</f>
        <v>5</v>
      </c>
      <c r="ED69" s="876" t="str">
        <f t="shared" si="161"/>
        <v/>
      </c>
      <c r="EE69" s="876" t="str">
        <f t="shared" si="162"/>
        <v/>
      </c>
      <c r="EF69" s="876" t="str">
        <f t="shared" si="163"/>
        <v/>
      </c>
      <c r="EG69" s="876" t="str">
        <f t="shared" si="164"/>
        <v/>
      </c>
      <c r="EH69" s="876" t="str">
        <f t="shared" si="165"/>
        <v/>
      </c>
      <c r="EI69" s="876" t="str">
        <f t="shared" si="166"/>
        <v/>
      </c>
      <c r="EJ69" s="876" t="str">
        <f t="shared" si="167"/>
        <v/>
      </c>
      <c r="EK69" s="874">
        <f t="shared" ref="EK69:EK85" si="192">IF(CK69="",0,ATAN(CK69/12))</f>
        <v>0</v>
      </c>
      <c r="EL69" s="874">
        <f t="shared" ref="EL69:EL85" si="193">CU69-EK69</f>
        <v>0</v>
      </c>
      <c r="EM69" s="874">
        <f t="shared" si="168"/>
        <v>0</v>
      </c>
      <c r="EN69" s="874" t="str">
        <f t="shared" si="169"/>
        <v/>
      </c>
      <c r="EO69" s="873">
        <f t="shared" ref="EO69:EO85" si="194">IF(CF69="","",CF69*TAN(EK69))</f>
        <v>0</v>
      </c>
      <c r="EP69" s="874">
        <f t="shared" ref="EP69:EP85" si="195">IF(CT69="",0,ATAN(CT69/12))</f>
        <v>0</v>
      </c>
      <c r="EQ69" s="874">
        <f t="shared" ref="EQ69:EQ85" si="196">CU69+EP69</f>
        <v>0</v>
      </c>
      <c r="ER69" s="874">
        <f t="shared" si="170"/>
        <v>0</v>
      </c>
      <c r="ES69" s="874" t="str">
        <f t="shared" si="171"/>
        <v/>
      </c>
      <c r="ET69" s="873">
        <f t="shared" ref="ET69:ET85" si="197">IF(CO69="","",CO69*TAN(EP69))</f>
        <v>0</v>
      </c>
      <c r="EU69" s="873">
        <f t="shared" si="172"/>
        <v>0</v>
      </c>
      <c r="EV69" s="876">
        <f t="shared" si="173"/>
        <v>5.5</v>
      </c>
      <c r="EW69" s="876">
        <f t="shared" si="174"/>
        <v>6</v>
      </c>
      <c r="EX69" s="942" t="e">
        <f t="shared" si="175"/>
        <v>#VALUE!</v>
      </c>
      <c r="EY69" s="879" t="e">
        <f t="shared" ref="EY69:EY85" si="198">TRUNC(IF(FA69&lt;1.03,25.667,IF(FA69&lt;1.2,29.667,IF(FA69&lt;1.79,33.583,IF(FA69&lt;2.3,37.75,IF(FA69&lt;3.76,42,IF(FA69&lt;4.76,50.167,IF(FA69&lt;8.45,58.167,"ERR"))))))))</f>
        <v>#VALUE!</v>
      </c>
      <c r="EZ69" s="959" t="e">
        <f t="shared" si="176"/>
        <v>#VALUE!</v>
      </c>
      <c r="FA69" s="960" t="e">
        <f t="shared" si="177"/>
        <v>#VALUE!</v>
      </c>
      <c r="FB69" s="880">
        <f t="shared" si="178"/>
        <v>0</v>
      </c>
      <c r="FC69" s="881">
        <f t="shared" si="179"/>
        <v>0</v>
      </c>
      <c r="FD69" s="512">
        <f t="shared" si="180"/>
        <v>0</v>
      </c>
      <c r="FE69" s="513">
        <f t="shared" si="181"/>
        <v>1.75</v>
      </c>
      <c r="FF69" s="754" t="b">
        <f t="shared" si="106"/>
        <v>0</v>
      </c>
      <c r="FG69" s="754" t="b">
        <f t="shared" si="107"/>
        <v>0</v>
      </c>
      <c r="FH69" s="754" t="b">
        <f t="shared" si="108"/>
        <v>0</v>
      </c>
      <c r="FI69" s="917" t="b">
        <f t="shared" si="109"/>
        <v>0</v>
      </c>
      <c r="FJ69" s="920" t="str">
        <f t="shared" si="119"/>
        <v/>
      </c>
      <c r="FK69" s="919" t="str">
        <f t="shared" si="120"/>
        <v>G16</v>
      </c>
      <c r="FL69" s="320">
        <f t="shared" si="121"/>
        <v>595.5</v>
      </c>
      <c r="FM69" s="312" t="str">
        <f t="shared" si="110"/>
        <v/>
      </c>
      <c r="FN69" s="272">
        <f t="shared" ca="1" si="122"/>
        <v>91.5</v>
      </c>
      <c r="FO69" s="273">
        <f t="shared" ca="1" si="123"/>
        <v>5</v>
      </c>
      <c r="FP69" s="274">
        <f t="shared" ca="1" si="124"/>
        <v>96</v>
      </c>
      <c r="FQ69" s="274">
        <f t="shared" ca="1" si="125"/>
        <v>35</v>
      </c>
      <c r="FR69" s="321">
        <f t="shared" ca="1" si="126"/>
        <v>0</v>
      </c>
      <c r="FS69" s="322">
        <f t="shared" ca="1" si="127"/>
        <v>606.5</v>
      </c>
      <c r="FT69" s="272">
        <f t="shared" ca="1" si="132"/>
        <v>595.5</v>
      </c>
      <c r="FU69" s="275">
        <f t="shared" ca="1" si="133"/>
        <v>1</v>
      </c>
      <c r="FV69" s="323">
        <f t="shared" ca="1" si="134"/>
        <v>86</v>
      </c>
      <c r="FW69" s="276">
        <f t="shared" ca="1" si="128"/>
        <v>86</v>
      </c>
      <c r="FX69" s="276">
        <f t="shared" ca="1" si="129"/>
        <v>96</v>
      </c>
      <c r="FY69" s="276">
        <f t="shared" ca="1" si="135"/>
        <v>29.5</v>
      </c>
      <c r="FZ69" s="276">
        <f t="shared" ca="1" si="130"/>
        <v>29.5</v>
      </c>
      <c r="GA69" s="276">
        <f t="shared" ca="1" si="136"/>
        <v>595.5</v>
      </c>
      <c r="GB69" s="277">
        <f ca="1">IF(FY69="","",2+SUM(FO69:OFFSET(FO69,(FU69-1)*-1,0)))</f>
        <v>7</v>
      </c>
      <c r="GC69" s="316">
        <f t="shared" si="131"/>
        <v>-5.5</v>
      </c>
      <c r="GD69" s="324" t="str">
        <f t="shared" si="111"/>
        <v/>
      </c>
      <c r="GE69" s="325" t="str">
        <f t="shared" si="112"/>
        <v/>
      </c>
      <c r="GF69" s="278" t="str">
        <f t="shared" si="113"/>
        <v>#6</v>
      </c>
      <c r="GG69" s="279" t="str">
        <f t="shared" si="114"/>
        <v/>
      </c>
      <c r="GH69" s="279" t="str">
        <f t="shared" si="115"/>
        <v/>
      </c>
      <c r="GI69" s="280" t="str">
        <f t="shared" si="116"/>
        <v/>
      </c>
      <c r="GJ69" s="326">
        <f t="shared" ca="1" si="117"/>
        <v>-3.5852264657073363E-2</v>
      </c>
      <c r="GK69" s="913" t="str">
        <f t="shared" ca="1" si="118"/>
        <v>B</v>
      </c>
    </row>
    <row r="70" spans="78:196" ht="12.6" hidden="1" customHeight="1" x14ac:dyDescent="0.2">
      <c r="BZ70" s="293"/>
      <c r="CA70" s="293"/>
      <c r="CB70" s="365" t="str">
        <f t="shared" si="137"/>
        <v>G3</v>
      </c>
      <c r="CC70" s="1305"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38"/>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367">
        <f>IF(CQ30="","",IF(VLOOKUP(CQ30,SectInfo!$B:$N,7,FALSE)="","",(VLOOKUP(CQ30,SectInfo!$B:$N,7,FALSE)*-1)))</f>
        <v>-8.5</v>
      </c>
      <c r="CR70" s="367">
        <f>IF(CQ30="","",IF(VLOOKUP(CQ30,SectInfo!$B:$N,8,FALSE)="",$FC$4,(VLOOKUP(CQ30,SectInfo!$B:$N,8,FALSE))))</f>
        <v>5</v>
      </c>
      <c r="CS70" s="367">
        <f>IF(CQ30="","",VLOOKUP(CQ30,SectInfo!$B:$N,9,FALSE))</f>
        <v>11</v>
      </c>
      <c r="CT70" s="368">
        <f t="shared" si="139"/>
        <v>0</v>
      </c>
      <c r="CU70" s="369">
        <f t="shared" si="140"/>
        <v>0</v>
      </c>
      <c r="CV70" s="274">
        <f t="shared" si="141"/>
        <v>622.75</v>
      </c>
      <c r="CW70" s="274">
        <f t="shared" si="142"/>
        <v>7.5</v>
      </c>
      <c r="CX70" s="873">
        <f t="shared" si="143"/>
        <v>7.5</v>
      </c>
      <c r="CY70" s="874">
        <f t="shared" si="144"/>
        <v>0</v>
      </c>
      <c r="CZ70" s="874">
        <f t="shared" si="145"/>
        <v>8</v>
      </c>
      <c r="DA70" s="874">
        <f t="shared" si="146"/>
        <v>8</v>
      </c>
      <c r="DB70" s="1311">
        <f t="shared" si="182"/>
        <v>7.75</v>
      </c>
      <c r="DC70" s="1311">
        <f t="shared" si="147"/>
        <v>1.75</v>
      </c>
      <c r="DD70" s="1312">
        <f t="shared" si="183"/>
        <v>1.75</v>
      </c>
      <c r="DE70" s="1311">
        <f t="shared" si="148"/>
        <v>0</v>
      </c>
      <c r="DF70" s="1313">
        <f t="shared" si="149"/>
        <v>11</v>
      </c>
      <c r="DG70" s="1313">
        <f t="shared" si="150"/>
        <v>11</v>
      </c>
      <c r="DH70" s="1311">
        <f t="shared" si="184"/>
        <v>5.5</v>
      </c>
      <c r="DI70" s="1311">
        <f t="shared" si="151"/>
        <v>0</v>
      </c>
      <c r="DJ70" s="1312">
        <f t="shared" si="185"/>
        <v>0</v>
      </c>
      <c r="DK70" s="1311">
        <f t="shared" si="186"/>
        <v>621</v>
      </c>
      <c r="DL70" s="1311">
        <f t="shared" si="187"/>
        <v>-6.5</v>
      </c>
      <c r="DM70" s="1311">
        <f t="shared" si="152"/>
        <v>6.25</v>
      </c>
      <c r="DN70" s="1311">
        <f t="shared" si="153"/>
        <v>6.25</v>
      </c>
      <c r="DO70" s="889">
        <f t="shared" si="154"/>
        <v>6.25</v>
      </c>
      <c r="DP70" s="889">
        <f t="shared" si="155"/>
        <v>6.25</v>
      </c>
      <c r="DQ70" s="1311">
        <f t="shared" si="188"/>
        <v>6.25</v>
      </c>
      <c r="DR70" s="1311">
        <f t="shared" si="188"/>
        <v>6.25</v>
      </c>
      <c r="DS70" s="1311">
        <f t="shared" si="189"/>
        <v>-8.5</v>
      </c>
      <c r="DT70" s="1311">
        <f t="shared" si="156"/>
        <v>3</v>
      </c>
      <c r="DU70" s="1311">
        <f t="shared" si="157"/>
        <v>3</v>
      </c>
      <c r="DV70" s="889">
        <f t="shared" si="158"/>
        <v>3</v>
      </c>
      <c r="DW70" s="889">
        <f t="shared" si="159"/>
        <v>3</v>
      </c>
      <c r="DX70" s="873">
        <f t="shared" si="190"/>
        <v>3</v>
      </c>
      <c r="DY70" s="873">
        <f t="shared" si="190"/>
        <v>3</v>
      </c>
      <c r="DZ70" s="873">
        <f>IF(CG70="","",IF((CD70-CG70)/COS(CU70)-FB70&lt;=-0.0625,CEILING((CD70-CG70)/COS(CU70)-FB70+0.0625,-0.125),IF((CD70-CG70)/COS(CU70)-FB70&gt;=0.0625,CEILING((CD70-CG70)/COS(CU70)-FB70-0.0625,0.125),0)))</f>
        <v>6.75</v>
      </c>
      <c r="EA70" s="873">
        <f>IF(CP70="","",IF((CM70-CP70)/COS(CU70)-FC70&lt;=-0.0625,CEILING((CM70-CP70)/COS(CU70)-FC70+0.0625,-0.125),IF((CM70-CP70)/COS(CU70)-FC70&gt;=0.0625,CEILING((CM70-CP70)/COS(CU70)-FC70-0.0625,0.125),0)))</f>
        <v>1.5</v>
      </c>
      <c r="EB70" s="876">
        <f t="shared" si="160"/>
        <v>5</v>
      </c>
      <c r="EC70" s="877">
        <f t="shared" si="191"/>
        <v>5</v>
      </c>
      <c r="ED70" s="876" t="str">
        <f t="shared" si="161"/>
        <v/>
      </c>
      <c r="EE70" s="876" t="str">
        <f t="shared" si="162"/>
        <v/>
      </c>
      <c r="EF70" s="876" t="str">
        <f t="shared" si="163"/>
        <v/>
      </c>
      <c r="EG70" s="876" t="str">
        <f t="shared" si="164"/>
        <v/>
      </c>
      <c r="EH70" s="876" t="str">
        <f t="shared" si="165"/>
        <v/>
      </c>
      <c r="EI70" s="876" t="str">
        <f t="shared" si="166"/>
        <v/>
      </c>
      <c r="EJ70" s="876" t="str">
        <f t="shared" si="167"/>
        <v/>
      </c>
      <c r="EK70" s="874">
        <f>IF(CK70="",0,ATAN(CK70/12))</f>
        <v>0</v>
      </c>
      <c r="EL70" s="874">
        <f t="shared" si="193"/>
        <v>0</v>
      </c>
      <c r="EM70" s="874">
        <f t="shared" si="168"/>
        <v>0</v>
      </c>
      <c r="EN70" s="874" t="str">
        <f t="shared" si="169"/>
        <v/>
      </c>
      <c r="EO70" s="873">
        <f t="shared" si="194"/>
        <v>0</v>
      </c>
      <c r="EP70" s="874">
        <f t="shared" si="195"/>
        <v>0</v>
      </c>
      <c r="EQ70" s="874">
        <f t="shared" si="196"/>
        <v>0</v>
      </c>
      <c r="ER70" s="874">
        <f t="shared" si="170"/>
        <v>0</v>
      </c>
      <c r="ES70" s="874" t="str">
        <f t="shared" si="171"/>
        <v/>
      </c>
      <c r="ET70" s="873">
        <f t="shared" si="197"/>
        <v>0</v>
      </c>
      <c r="EU70" s="873">
        <f t="shared" si="172"/>
        <v>0</v>
      </c>
      <c r="EV70" s="876">
        <f t="shared" si="173"/>
        <v>6</v>
      </c>
      <c r="EW70" s="876">
        <f t="shared" si="174"/>
        <v>5.5</v>
      </c>
      <c r="EX70" s="942" t="e">
        <f t="shared" si="175"/>
        <v>#VALUE!</v>
      </c>
      <c r="EY70" s="879" t="e">
        <f t="shared" si="198"/>
        <v>#VALUE!</v>
      </c>
      <c r="EZ70" s="959" t="e">
        <f t="shared" si="176"/>
        <v>#VALUE!</v>
      </c>
      <c r="FA70" s="960" t="e">
        <f t="shared" si="177"/>
        <v>#VALUE!</v>
      </c>
      <c r="FB70" s="880">
        <f t="shared" si="178"/>
        <v>0</v>
      </c>
      <c r="FC70" s="881">
        <f t="shared" si="179"/>
        <v>0</v>
      </c>
      <c r="FD70" s="512">
        <f t="shared" si="180"/>
        <v>1.75</v>
      </c>
      <c r="FE70" s="513">
        <f t="shared" si="181"/>
        <v>0</v>
      </c>
      <c r="FF70" s="755" t="b">
        <f t="shared" si="106"/>
        <v>0</v>
      </c>
      <c r="FG70" s="755" t="b">
        <f t="shared" si="107"/>
        <v>0</v>
      </c>
      <c r="FH70" s="755" t="b">
        <f t="shared" si="108"/>
        <v>0</v>
      </c>
      <c r="FI70" s="918" t="b">
        <f t="shared" si="109"/>
        <v>0</v>
      </c>
      <c r="FJ70" s="920" t="str">
        <f t="shared" si="119"/>
        <v/>
      </c>
      <c r="FK70" s="919" t="str">
        <f t="shared" si="120"/>
        <v>G16</v>
      </c>
      <c r="FL70" s="320">
        <f t="shared" si="121"/>
        <v>595.5</v>
      </c>
      <c r="FM70" s="312" t="str">
        <f t="shared" si="110"/>
        <v/>
      </c>
      <c r="FN70" s="272" t="str">
        <f t="shared" ca="1" si="122"/>
        <v/>
      </c>
      <c r="FO70" s="273" t="str">
        <f t="shared" ca="1" si="123"/>
        <v/>
      </c>
      <c r="FP70" s="274" t="str">
        <f t="shared" ca="1" si="124"/>
        <v/>
      </c>
      <c r="FQ70" s="274" t="str">
        <f t="shared" ca="1" si="125"/>
        <v/>
      </c>
      <c r="FR70" s="321">
        <f t="shared" ca="1" si="126"/>
        <v>0</v>
      </c>
      <c r="FS70" s="322">
        <f t="shared" ca="1" si="127"/>
        <v>0</v>
      </c>
      <c r="FT70" s="272" t="str">
        <f t="shared" ca="1" si="132"/>
        <v/>
      </c>
      <c r="FU70" s="275" t="str">
        <f t="shared" ca="1" si="133"/>
        <v/>
      </c>
      <c r="FV70" s="323" t="str">
        <f t="shared" ca="1" si="134"/>
        <v/>
      </c>
      <c r="FW70" s="276" t="str">
        <f t="shared" ca="1" si="128"/>
        <v/>
      </c>
      <c r="FX70" s="276" t="str">
        <f t="shared" ca="1" si="129"/>
        <v/>
      </c>
      <c r="FY70" s="276" t="str">
        <f t="shared" ca="1" si="135"/>
        <v/>
      </c>
      <c r="FZ70" s="276" t="str">
        <f t="shared" ca="1" si="130"/>
        <v/>
      </c>
      <c r="GA70" s="276" t="str">
        <f t="shared" ca="1" si="136"/>
        <v/>
      </c>
      <c r="GB70" s="277" t="str">
        <f ca="1">IF(FY70="","",2+SUM(FO70:OFFSET(FO70,(FU70-1)*-1,0)))</f>
        <v/>
      </c>
      <c r="GC70" s="316">
        <f t="shared" si="131"/>
        <v>-5.5</v>
      </c>
      <c r="GD70" s="324" t="str">
        <f>IF(ISBLANK(DT30),"",MAX(0,DT30+VLOOKUP(FK70,$CB$54:$CD$85,3,FALSE)))</f>
        <v/>
      </c>
      <c r="GE70" s="325" t="str">
        <f>IF(ISBLANK(DU30),"",MAX(0,DU30+VLOOKUP(FK70,$CB$54:$CM$85,12,FALSE)))</f>
        <v/>
      </c>
      <c r="GF70" s="278" t="str">
        <f t="shared" si="113"/>
        <v/>
      </c>
      <c r="GG70" s="279" t="str">
        <f t="shared" si="114"/>
        <v/>
      </c>
      <c r="GH70" s="279" t="str">
        <f t="shared" si="115"/>
        <v/>
      </c>
      <c r="GI70" s="280" t="str">
        <f t="shared" si="116"/>
        <v/>
      </c>
      <c r="GJ70" s="326">
        <f t="shared" ca="1" si="117"/>
        <v>0</v>
      </c>
      <c r="GK70" s="913" t="str">
        <f t="shared" ca="1" si="118"/>
        <v/>
      </c>
      <c r="GN70" s="1404" t="s">
        <v>1257</v>
      </c>
    </row>
    <row r="71" spans="78:196" ht="12.6" hidden="1" customHeight="1" x14ac:dyDescent="0.2">
      <c r="BZ71" s="293"/>
      <c r="CA71" s="293"/>
      <c r="CB71" s="365" t="str">
        <f t="shared" si="137"/>
        <v>G4</v>
      </c>
      <c r="CC71" s="1305"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38"/>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-7</v>
      </c>
      <c r="CQ71" s="367">
        <f>IF(CQ31="","",IF(VLOOKUP(CQ31,SectInfo!$B:$N,7,FALSE)="","",(VLOOKUP(CQ31,SectInfo!$B:$N,7,FALSE)*-1)))</f>
        <v>-6.5</v>
      </c>
      <c r="CR71" s="367">
        <f>IF(CQ31="","",IF(VLOOKUP(CQ31,SectInfo!$B:$N,8,FALSE)="",$FC$4,(VLOOKUP(CQ31,SectInfo!$B:$N,8,FALSE))))</f>
        <v>5</v>
      </c>
      <c r="CS71" s="367">
        <f>IF(CQ31="","",VLOOKUP(CQ31,SectInfo!$B:$N,9,FALSE))</f>
        <v>8</v>
      </c>
      <c r="CT71" s="368">
        <f t="shared" si="139"/>
        <v>0</v>
      </c>
      <c r="CU71" s="369">
        <f t="shared" si="140"/>
        <v>0</v>
      </c>
      <c r="CV71" s="274">
        <f t="shared" si="141"/>
        <v>623.5</v>
      </c>
      <c r="CW71" s="274">
        <f t="shared" si="142"/>
        <v>7.5</v>
      </c>
      <c r="CX71" s="873">
        <f t="shared" si="143"/>
        <v>7.5</v>
      </c>
      <c r="CY71" s="874">
        <f t="shared" si="144"/>
        <v>0</v>
      </c>
      <c r="CZ71" s="874">
        <f t="shared" si="145"/>
        <v>8</v>
      </c>
      <c r="DA71" s="874">
        <f t="shared" si="146"/>
        <v>8</v>
      </c>
      <c r="DB71" s="1311">
        <f t="shared" si="182"/>
        <v>7.75</v>
      </c>
      <c r="DC71" s="1311">
        <f t="shared" si="147"/>
        <v>1.75</v>
      </c>
      <c r="DD71" s="1312">
        <f t="shared" si="183"/>
        <v>1.75</v>
      </c>
      <c r="DE71" s="1311">
        <f t="shared" si="148"/>
        <v>0</v>
      </c>
      <c r="DF71" s="1313">
        <f t="shared" si="149"/>
        <v>8</v>
      </c>
      <c r="DG71" s="1313">
        <f t="shared" si="150"/>
        <v>8</v>
      </c>
      <c r="DH71" s="1311">
        <f t="shared" si="184"/>
        <v>7.75</v>
      </c>
      <c r="DI71" s="1311">
        <f t="shared" si="151"/>
        <v>1.75</v>
      </c>
      <c r="DJ71" s="1312">
        <f t="shared" si="185"/>
        <v>1.75</v>
      </c>
      <c r="DK71" s="1311">
        <f t="shared" si="186"/>
        <v>620</v>
      </c>
      <c r="DL71" s="1311">
        <f t="shared" si="187"/>
        <v>-6.5</v>
      </c>
      <c r="DM71" s="1311">
        <f t="shared" si="152"/>
        <v>6.25</v>
      </c>
      <c r="DN71" s="1311">
        <f t="shared" si="153"/>
        <v>6.25</v>
      </c>
      <c r="DO71" s="889">
        <f t="shared" si="154"/>
        <v>6.25</v>
      </c>
      <c r="DP71" s="889">
        <f t="shared" si="155"/>
        <v>6.25</v>
      </c>
      <c r="DQ71" s="1311">
        <f t="shared" si="188"/>
        <v>6.25</v>
      </c>
      <c r="DR71" s="1311">
        <f t="shared" si="188"/>
        <v>6.25</v>
      </c>
      <c r="DS71" s="1311">
        <f t="shared" si="189"/>
        <v>-6.5</v>
      </c>
      <c r="DT71" s="1311">
        <f t="shared" si="156"/>
        <v>6.25</v>
      </c>
      <c r="DU71" s="1311">
        <f t="shared" si="157"/>
        <v>6.25</v>
      </c>
      <c r="DV71" s="889">
        <f t="shared" si="158"/>
        <v>6.25</v>
      </c>
      <c r="DW71" s="889">
        <f t="shared" si="159"/>
        <v>6.25</v>
      </c>
      <c r="DX71" s="873">
        <f t="shared" si="190"/>
        <v>6.25</v>
      </c>
      <c r="DY71" s="873">
        <f t="shared" si="190"/>
        <v>6.25</v>
      </c>
      <c r="DZ71" s="873">
        <f>IF(CG71="","",IF((CD71-CG71)/COS(CU71)-FB71&lt;=-0.0625,CEILING((CD71-CG71)/COS(CU71)-FB71+0.0625,-0.125),IF((CD71-CG71)/COS(CU71)-FB71&gt;=0.0625,CEILING((CD71-CG71)/COS(CU71)-FB71-0.0625,0.125),0)))</f>
        <v>6.75</v>
      </c>
      <c r="EA71" s="873">
        <f>IF(CP71="","",IF((CM71-CP71)/COS(CU71)-FC71&lt;=-0.0625,CEILING((CM71-CP71)/COS(CU71)-FC71+0.0625,-0.125),IF((CM71-CP71)/COS(CU71)-FC71&gt;=0.0625,CEILING((CM71-CP71)/COS(CU71)-FC71-0.0625,0.125),0)))</f>
        <v>6.75</v>
      </c>
      <c r="EB71" s="876">
        <f t="shared" si="160"/>
        <v>5</v>
      </c>
      <c r="EC71" s="877">
        <f t="shared" si="191"/>
        <v>5</v>
      </c>
      <c r="ED71" s="876" t="str">
        <f t="shared" si="161"/>
        <v/>
      </c>
      <c r="EE71" s="876" t="str">
        <f t="shared" si="162"/>
        <v/>
      </c>
      <c r="EF71" s="876" t="str">
        <f t="shared" si="163"/>
        <v/>
      </c>
      <c r="EG71" s="876" t="str">
        <f t="shared" si="164"/>
        <v/>
      </c>
      <c r="EH71" s="876" t="str">
        <f t="shared" si="165"/>
        <v/>
      </c>
      <c r="EI71" s="876" t="str">
        <f t="shared" si="166"/>
        <v/>
      </c>
      <c r="EJ71" s="876" t="str">
        <f t="shared" si="167"/>
        <v/>
      </c>
      <c r="EK71" s="874">
        <f t="shared" si="192"/>
        <v>0</v>
      </c>
      <c r="EL71" s="874">
        <f t="shared" si="193"/>
        <v>0</v>
      </c>
      <c r="EM71" s="874">
        <f t="shared" si="168"/>
        <v>0</v>
      </c>
      <c r="EN71" s="874" t="str">
        <f t="shared" si="169"/>
        <v/>
      </c>
      <c r="EO71" s="873">
        <f t="shared" si="194"/>
        <v>0</v>
      </c>
      <c r="EP71" s="874">
        <f t="shared" si="195"/>
        <v>0</v>
      </c>
      <c r="EQ71" s="874">
        <f t="shared" si="196"/>
        <v>0</v>
      </c>
      <c r="ER71" s="874">
        <f t="shared" si="170"/>
        <v>0</v>
      </c>
      <c r="ES71" s="874" t="str">
        <f t="shared" si="171"/>
        <v/>
      </c>
      <c r="ET71" s="873">
        <f t="shared" si="197"/>
        <v>0</v>
      </c>
      <c r="EU71" s="873">
        <f t="shared" si="172"/>
        <v>0</v>
      </c>
      <c r="EV71" s="876">
        <f t="shared" si="173"/>
        <v>6</v>
      </c>
      <c r="EW71" s="876">
        <f t="shared" si="174"/>
        <v>6</v>
      </c>
      <c r="EX71" s="942" t="e">
        <f t="shared" si="175"/>
        <v>#VALUE!</v>
      </c>
      <c r="EY71" s="879" t="e">
        <f t="shared" si="198"/>
        <v>#VALUE!</v>
      </c>
      <c r="EZ71" s="959" t="e">
        <f t="shared" si="176"/>
        <v>#VALUE!</v>
      </c>
      <c r="FA71" s="960" t="e">
        <f t="shared" si="177"/>
        <v>#VALUE!</v>
      </c>
      <c r="FB71" s="880">
        <f t="shared" si="178"/>
        <v>0</v>
      </c>
      <c r="FC71" s="881">
        <f t="shared" si="179"/>
        <v>0</v>
      </c>
      <c r="FD71" s="512">
        <f t="shared" si="180"/>
        <v>1.75</v>
      </c>
      <c r="FE71" s="513">
        <f t="shared" si="181"/>
        <v>1.75</v>
      </c>
      <c r="FF71" s="755" t="b">
        <f t="shared" si="106"/>
        <v>0</v>
      </c>
      <c r="FG71" s="755" t="b">
        <f t="shared" si="107"/>
        <v>0</v>
      </c>
      <c r="FH71" s="755" t="b">
        <f t="shared" si="108"/>
        <v>0</v>
      </c>
      <c r="FI71" s="918" t="b">
        <f t="shared" si="109"/>
        <v>0</v>
      </c>
      <c r="FJ71" s="920" t="str">
        <f t="shared" si="119"/>
        <v/>
      </c>
      <c r="FK71" s="919" t="str">
        <f t="shared" si="120"/>
        <v>G16</v>
      </c>
      <c r="FL71" s="320">
        <f t="shared" si="121"/>
        <v>595.5</v>
      </c>
      <c r="FM71" s="312" t="str">
        <f t="shared" si="110"/>
        <v/>
      </c>
      <c r="FN71" s="272" t="str">
        <f t="shared" ca="1" si="122"/>
        <v/>
      </c>
      <c r="FO71" s="273" t="str">
        <f t="shared" ca="1" si="123"/>
        <v/>
      </c>
      <c r="FP71" s="274" t="str">
        <f t="shared" ca="1" si="124"/>
        <v/>
      </c>
      <c r="FQ71" s="274" t="str">
        <f t="shared" ca="1" si="125"/>
        <v/>
      </c>
      <c r="FR71" s="321">
        <f t="shared" ca="1" si="126"/>
        <v>0</v>
      </c>
      <c r="FS71" s="322">
        <f t="shared" ca="1" si="127"/>
        <v>0</v>
      </c>
      <c r="FT71" s="272" t="str">
        <f t="shared" ca="1" si="132"/>
        <v/>
      </c>
      <c r="FU71" s="275" t="str">
        <f t="shared" ca="1" si="133"/>
        <v/>
      </c>
      <c r="FV71" s="323" t="str">
        <f t="shared" ca="1" si="134"/>
        <v/>
      </c>
      <c r="FW71" s="276" t="str">
        <f t="shared" ca="1" si="128"/>
        <v/>
      </c>
      <c r="FX71" s="276" t="str">
        <f t="shared" ca="1" si="129"/>
        <v/>
      </c>
      <c r="FY71" s="276" t="str">
        <f t="shared" ca="1" si="135"/>
        <v/>
      </c>
      <c r="FZ71" s="276" t="str">
        <f t="shared" ca="1" si="130"/>
        <v/>
      </c>
      <c r="GA71" s="276" t="str">
        <f t="shared" ca="1" si="136"/>
        <v/>
      </c>
      <c r="GB71" s="277" t="str">
        <f ca="1">IF(FY71="","",2+SUM(FO71:OFFSET(FO71,(FU71-1)*-1,0)))</f>
        <v/>
      </c>
      <c r="GC71" s="316">
        <f t="shared" si="131"/>
        <v>-5.5</v>
      </c>
      <c r="GD71" s="324" t="str">
        <f t="shared" si="111"/>
        <v/>
      </c>
      <c r="GE71" s="325" t="str">
        <f t="shared" si="112"/>
        <v/>
      </c>
      <c r="GF71" s="278" t="str">
        <f t="shared" si="113"/>
        <v/>
      </c>
      <c r="GG71" s="279" t="str">
        <f t="shared" si="114"/>
        <v/>
      </c>
      <c r="GH71" s="279" t="str">
        <f t="shared" si="115"/>
        <v/>
      </c>
      <c r="GI71" s="280" t="str">
        <f t="shared" si="116"/>
        <v/>
      </c>
      <c r="GJ71" s="326">
        <f t="shared" ca="1" si="117"/>
        <v>0</v>
      </c>
      <c r="GK71" s="913" t="str">
        <f t="shared" ca="1" si="118"/>
        <v/>
      </c>
    </row>
    <row r="72" spans="78:196" ht="12.6" hidden="1" customHeight="1" x14ac:dyDescent="0.2">
      <c r="BZ72" s="293"/>
      <c r="CA72" s="293"/>
      <c r="CB72" s="365" t="str">
        <f t="shared" si="137"/>
        <v>G5</v>
      </c>
      <c r="CC72" s="1305"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38"/>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367">
        <f>IF(CQ32="","",IF(VLOOKUP(CQ32,SectInfo!$B:$N,7,FALSE)="","",(VLOOKUP(CQ32,SectInfo!$B:$N,7,FALSE)*-1)))</f>
        <v>-6.5</v>
      </c>
      <c r="CR72" s="367">
        <f>IF(CQ32="","",IF(VLOOKUP(CQ32,SectInfo!$B:$N,8,FALSE)="",$FC$4,(VLOOKUP(CQ32,SectInfo!$B:$N,8,FALSE))))</f>
        <v>5</v>
      </c>
      <c r="CS72" s="367">
        <f>IF(CQ32="","",VLOOKUP(CQ32,SectInfo!$B:$N,9,FALSE))</f>
        <v>8</v>
      </c>
      <c r="CT72" s="368">
        <f t="shared" si="139"/>
        <v>0</v>
      </c>
      <c r="CU72" s="369">
        <f t="shared" si="140"/>
        <v>0</v>
      </c>
      <c r="CV72" s="274">
        <f t="shared" si="141"/>
        <v>623.5</v>
      </c>
      <c r="CW72" s="274">
        <f t="shared" si="142"/>
        <v>7.5</v>
      </c>
      <c r="CX72" s="873">
        <f t="shared" si="143"/>
        <v>7.5</v>
      </c>
      <c r="CY72" s="874">
        <f t="shared" si="144"/>
        <v>0</v>
      </c>
      <c r="CZ72" s="874">
        <f t="shared" si="145"/>
        <v>8</v>
      </c>
      <c r="DA72" s="874">
        <f t="shared" si="146"/>
        <v>8</v>
      </c>
      <c r="DB72" s="1311">
        <f t="shared" si="182"/>
        <v>7.75</v>
      </c>
      <c r="DC72" s="1311">
        <f t="shared" si="147"/>
        <v>1.75</v>
      </c>
      <c r="DD72" s="1312">
        <f t="shared" si="183"/>
        <v>1.75</v>
      </c>
      <c r="DE72" s="1311">
        <f t="shared" si="148"/>
        <v>0</v>
      </c>
      <c r="DF72" s="1313">
        <f t="shared" si="149"/>
        <v>8</v>
      </c>
      <c r="DG72" s="1313">
        <f t="shared" si="150"/>
        <v>8</v>
      </c>
      <c r="DH72" s="1311">
        <f t="shared" si="184"/>
        <v>7.75</v>
      </c>
      <c r="DI72" s="1311">
        <f t="shared" si="151"/>
        <v>1.75</v>
      </c>
      <c r="DJ72" s="1312">
        <f t="shared" si="185"/>
        <v>1.75</v>
      </c>
      <c r="DK72" s="1311">
        <f t="shared" si="186"/>
        <v>620</v>
      </c>
      <c r="DL72" s="1311">
        <f t="shared" si="187"/>
        <v>-6.5</v>
      </c>
      <c r="DM72" s="1311">
        <f t="shared" si="152"/>
        <v>6.25</v>
      </c>
      <c r="DN72" s="1311">
        <f t="shared" si="153"/>
        <v>6.25</v>
      </c>
      <c r="DO72" s="889">
        <f t="shared" si="154"/>
        <v>6.25</v>
      </c>
      <c r="DP72" s="889">
        <f t="shared" si="155"/>
        <v>6.25</v>
      </c>
      <c r="DQ72" s="1311">
        <f t="shared" si="188"/>
        <v>6.25</v>
      </c>
      <c r="DR72" s="1311">
        <f t="shared" si="188"/>
        <v>6.25</v>
      </c>
      <c r="DS72" s="1311">
        <f t="shared" si="189"/>
        <v>-6.5</v>
      </c>
      <c r="DT72" s="1311">
        <f t="shared" si="156"/>
        <v>6.25</v>
      </c>
      <c r="DU72" s="1311">
        <f t="shared" si="157"/>
        <v>6.25</v>
      </c>
      <c r="DV72" s="889">
        <f t="shared" si="158"/>
        <v>6.25</v>
      </c>
      <c r="DW72" s="889">
        <f t="shared" si="159"/>
        <v>6.25</v>
      </c>
      <c r="DX72" s="873">
        <f t="shared" si="190"/>
        <v>6.25</v>
      </c>
      <c r="DY72" s="873">
        <f t="shared" si="190"/>
        <v>6.25</v>
      </c>
      <c r="DZ72" s="873">
        <f>IF(CG72="","",IF((CD72-CG72)/COS(CU72)-FB72&lt;=-0.0625,CEILING((CD72-CG72)/COS(CU72)-FB72+0.0625,-0.125),IF((CD72-CG72)/COS(CU72)-FB72&gt;=0.0625,CEILING((CD72-CG72)/COS(CU72)-FB72-0.0625,0.125),0)))</f>
        <v>6.75</v>
      </c>
      <c r="EA72" s="873">
        <f>IF(CP72="","",IF((CM72-CP72)/COS(CU72)-FC72&lt;=-0.0625,CEILING((CM72-CP72)/COS(CU72)-FC72+0.0625,-0.125),IF((CM72-CP72)/COS(CU72)-FC72&gt;=0.0625,CEILING((CM72-CP72)/COS(CU72)-FC72-0.0625,0.125),0)))</f>
        <v>6.75</v>
      </c>
      <c r="EB72" s="876">
        <f t="shared" si="160"/>
        <v>5</v>
      </c>
      <c r="EC72" s="877">
        <f t="shared" si="191"/>
        <v>5</v>
      </c>
      <c r="ED72" s="876" t="str">
        <f t="shared" si="161"/>
        <v/>
      </c>
      <c r="EE72" s="876" t="str">
        <f t="shared" si="162"/>
        <v/>
      </c>
      <c r="EF72" s="876" t="str">
        <f t="shared" si="163"/>
        <v/>
      </c>
      <c r="EG72" s="876" t="str">
        <f t="shared" si="164"/>
        <v/>
      </c>
      <c r="EH72" s="876" t="str">
        <f t="shared" si="165"/>
        <v/>
      </c>
      <c r="EI72" s="876" t="str">
        <f t="shared" si="166"/>
        <v/>
      </c>
      <c r="EJ72" s="876" t="str">
        <f t="shared" si="167"/>
        <v/>
      </c>
      <c r="EK72" s="874">
        <f t="shared" si="192"/>
        <v>0</v>
      </c>
      <c r="EL72" s="874">
        <f t="shared" si="193"/>
        <v>0</v>
      </c>
      <c r="EM72" s="874">
        <f t="shared" si="168"/>
        <v>0</v>
      </c>
      <c r="EN72" s="874" t="str">
        <f t="shared" si="169"/>
        <v/>
      </c>
      <c r="EO72" s="873">
        <f t="shared" si="194"/>
        <v>0</v>
      </c>
      <c r="EP72" s="874">
        <f t="shared" si="195"/>
        <v>0</v>
      </c>
      <c r="EQ72" s="874">
        <f t="shared" si="196"/>
        <v>0</v>
      </c>
      <c r="ER72" s="874">
        <f t="shared" si="170"/>
        <v>0</v>
      </c>
      <c r="ES72" s="874" t="str">
        <f t="shared" si="171"/>
        <v/>
      </c>
      <c r="ET72" s="873">
        <f t="shared" si="197"/>
        <v>0</v>
      </c>
      <c r="EU72" s="873">
        <f t="shared" si="172"/>
        <v>0</v>
      </c>
      <c r="EV72" s="876">
        <f t="shared" si="173"/>
        <v>6</v>
      </c>
      <c r="EW72" s="876">
        <f t="shared" si="174"/>
        <v>6</v>
      </c>
      <c r="EX72" s="942" t="e">
        <f t="shared" si="175"/>
        <v>#VALUE!</v>
      </c>
      <c r="EY72" s="879" t="e">
        <f t="shared" si="198"/>
        <v>#VALUE!</v>
      </c>
      <c r="EZ72" s="959" t="e">
        <f t="shared" si="176"/>
        <v>#VALUE!</v>
      </c>
      <c r="FA72" s="960" t="e">
        <f t="shared" si="177"/>
        <v>#VALUE!</v>
      </c>
      <c r="FB72" s="880">
        <f t="shared" si="178"/>
        <v>0</v>
      </c>
      <c r="FC72" s="881">
        <f t="shared" si="179"/>
        <v>0</v>
      </c>
      <c r="FD72" s="512">
        <f t="shared" si="180"/>
        <v>1.75</v>
      </c>
      <c r="FE72" s="513">
        <f t="shared" si="181"/>
        <v>1.75</v>
      </c>
      <c r="FF72" s="754" t="b">
        <f t="shared" si="106"/>
        <v>0</v>
      </c>
      <c r="FG72" s="754" t="b">
        <f t="shared" si="107"/>
        <v>0</v>
      </c>
      <c r="FH72" s="754" t="b">
        <f t="shared" si="108"/>
        <v>0</v>
      </c>
      <c r="FI72" s="917" t="b">
        <f t="shared" si="109"/>
        <v>0</v>
      </c>
      <c r="FJ72" s="920" t="str">
        <f t="shared" si="119"/>
        <v/>
      </c>
      <c r="FK72" s="919" t="str">
        <f t="shared" si="120"/>
        <v>G16</v>
      </c>
      <c r="FL72" s="320">
        <f t="shared" si="121"/>
        <v>595.5</v>
      </c>
      <c r="FM72" s="312" t="str">
        <f t="shared" si="110"/>
        <v/>
      </c>
      <c r="FN72" s="272" t="str">
        <f t="shared" ca="1" si="122"/>
        <v/>
      </c>
      <c r="FO72" s="273" t="str">
        <f t="shared" ca="1" si="123"/>
        <v/>
      </c>
      <c r="FP72" s="274" t="str">
        <f t="shared" ca="1" si="124"/>
        <v/>
      </c>
      <c r="FQ72" s="274" t="str">
        <f t="shared" ca="1" si="125"/>
        <v/>
      </c>
      <c r="FR72" s="321">
        <f t="shared" ca="1" si="126"/>
        <v>0</v>
      </c>
      <c r="FS72" s="322">
        <f t="shared" ca="1" si="127"/>
        <v>0</v>
      </c>
      <c r="FT72" s="272" t="str">
        <f t="shared" ca="1" si="132"/>
        <v/>
      </c>
      <c r="FU72" s="275" t="str">
        <f t="shared" ca="1" si="133"/>
        <v/>
      </c>
      <c r="FV72" s="323" t="str">
        <f t="shared" ca="1" si="134"/>
        <v/>
      </c>
      <c r="FW72" s="276" t="str">
        <f t="shared" ca="1" si="128"/>
        <v/>
      </c>
      <c r="FX72" s="276" t="str">
        <f t="shared" ca="1" si="129"/>
        <v/>
      </c>
      <c r="FY72" s="276" t="str">
        <f t="shared" ca="1" si="135"/>
        <v/>
      </c>
      <c r="FZ72" s="276" t="str">
        <f t="shared" ca="1" si="130"/>
        <v/>
      </c>
      <c r="GA72" s="276" t="str">
        <f t="shared" ca="1" si="136"/>
        <v/>
      </c>
      <c r="GB72" s="277" t="str">
        <f ca="1">IF(FY72="","",2+SUM(FO72:OFFSET(FO72,(FU72-1)*-1,0)))</f>
        <v/>
      </c>
      <c r="GC72" s="316">
        <f t="shared" si="131"/>
        <v>-5.5</v>
      </c>
      <c r="GD72" s="324" t="str">
        <f t="shared" si="111"/>
        <v/>
      </c>
      <c r="GE72" s="325" t="str">
        <f t="shared" si="112"/>
        <v/>
      </c>
      <c r="GF72" s="278" t="str">
        <f t="shared" si="113"/>
        <v/>
      </c>
      <c r="GG72" s="279" t="str">
        <f t="shared" si="114"/>
        <v/>
      </c>
      <c r="GH72" s="279" t="str">
        <f t="shared" si="115"/>
        <v/>
      </c>
      <c r="GI72" s="280" t="str">
        <f t="shared" si="116"/>
        <v/>
      </c>
      <c r="GJ72" s="326">
        <f t="shared" ca="1" si="117"/>
        <v>0</v>
      </c>
      <c r="GK72" s="913" t="str">
        <f t="shared" ca="1" si="118"/>
        <v/>
      </c>
    </row>
    <row r="73" spans="78:196" ht="12.6" hidden="1" customHeight="1" x14ac:dyDescent="0.2">
      <c r="BZ73" s="293"/>
      <c r="CA73" s="293"/>
      <c r="CB73" s="365" t="str">
        <f t="shared" si="137"/>
        <v>G6</v>
      </c>
      <c r="CC73" s="1305"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38"/>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367">
        <f>IF(CQ33="","",IF(VLOOKUP(CQ33,SectInfo!$B:$N,7,FALSE)="","",(VLOOKUP(CQ33,SectInfo!$B:$N,7,FALSE)*-1)))</f>
        <v>-6.5</v>
      </c>
      <c r="CR73" s="367">
        <f>IF(CQ33="","",IF(VLOOKUP(CQ33,SectInfo!$B:$N,8,FALSE)="",$FC$4,(VLOOKUP(CQ33,SectInfo!$B:$N,8,FALSE))))</f>
        <v>5</v>
      </c>
      <c r="CS73" s="367">
        <f>IF(CQ33="","",VLOOKUP(CQ33,SectInfo!$B:$N,9,FALSE))</f>
        <v>8</v>
      </c>
      <c r="CT73" s="368">
        <f t="shared" si="139"/>
        <v>0</v>
      </c>
      <c r="CU73" s="369">
        <f t="shared" si="140"/>
        <v>0</v>
      </c>
      <c r="CV73" s="274">
        <f t="shared" si="141"/>
        <v>623.5</v>
      </c>
      <c r="CW73" s="274">
        <f t="shared" si="142"/>
        <v>7.5</v>
      </c>
      <c r="CX73" s="873">
        <f t="shared" si="143"/>
        <v>7.5</v>
      </c>
      <c r="CY73" s="874">
        <f t="shared" si="144"/>
        <v>0</v>
      </c>
      <c r="CZ73" s="874">
        <f t="shared" si="145"/>
        <v>8</v>
      </c>
      <c r="DA73" s="874">
        <f t="shared" si="146"/>
        <v>8</v>
      </c>
      <c r="DB73" s="1311">
        <f t="shared" si="182"/>
        <v>7.75</v>
      </c>
      <c r="DC73" s="1311">
        <f t="shared" si="147"/>
        <v>1.75</v>
      </c>
      <c r="DD73" s="1312">
        <f t="shared" si="183"/>
        <v>1.75</v>
      </c>
      <c r="DE73" s="1311">
        <f t="shared" si="148"/>
        <v>0</v>
      </c>
      <c r="DF73" s="1313">
        <f t="shared" si="149"/>
        <v>8</v>
      </c>
      <c r="DG73" s="1313">
        <f t="shared" si="150"/>
        <v>8</v>
      </c>
      <c r="DH73" s="1311">
        <f t="shared" si="184"/>
        <v>7.75</v>
      </c>
      <c r="DI73" s="1311">
        <f t="shared" si="151"/>
        <v>1.75</v>
      </c>
      <c r="DJ73" s="1312">
        <f t="shared" si="185"/>
        <v>1.75</v>
      </c>
      <c r="DK73" s="1311">
        <f t="shared" si="186"/>
        <v>620</v>
      </c>
      <c r="DL73" s="1311">
        <f t="shared" si="187"/>
        <v>-6.5</v>
      </c>
      <c r="DM73" s="1311">
        <f t="shared" si="152"/>
        <v>6.25</v>
      </c>
      <c r="DN73" s="1311">
        <f t="shared" si="153"/>
        <v>6.25</v>
      </c>
      <c r="DO73" s="889">
        <f t="shared" si="154"/>
        <v>6.25</v>
      </c>
      <c r="DP73" s="889">
        <f t="shared" si="155"/>
        <v>6.25</v>
      </c>
      <c r="DQ73" s="1311">
        <f t="shared" si="188"/>
        <v>6.25</v>
      </c>
      <c r="DR73" s="1311">
        <f t="shared" si="188"/>
        <v>6.25</v>
      </c>
      <c r="DS73" s="1311">
        <f t="shared" si="189"/>
        <v>-6.5</v>
      </c>
      <c r="DT73" s="1311">
        <f t="shared" si="156"/>
        <v>6.25</v>
      </c>
      <c r="DU73" s="1311">
        <f t="shared" si="157"/>
        <v>6.25</v>
      </c>
      <c r="DV73" s="889">
        <f t="shared" si="158"/>
        <v>6.25</v>
      </c>
      <c r="DW73" s="889">
        <f t="shared" si="159"/>
        <v>6.25</v>
      </c>
      <c r="DX73" s="873">
        <f t="shared" si="190"/>
        <v>6.25</v>
      </c>
      <c r="DY73" s="873">
        <f t="shared" si="190"/>
        <v>6.25</v>
      </c>
      <c r="DZ73" s="873">
        <f t="shared" ref="DZ73:DZ85" si="199">IF(CG73="","",IF((CD73-CG73)/COS(CU73)-FB73&lt;=-0.0625,CEILING((CD73-CG73)/COS(CU73)-FB73+0.0625,-0.125),IF((CD73-CG73)/COS(CU73)-FB73&gt;=0.0625,CEILING((CD73-CG73)/COS(CU73)-FB73-0.0625,0.125),0)))</f>
        <v>6.75</v>
      </c>
      <c r="EA73" s="873">
        <f t="shared" ref="EA73:EA85" si="200">IF(CP73="","",IF((CM73-CP73)/COS(CU73)-FC73&lt;=-0.0625,CEILING((CM73-CP73)/COS(CU73)-FC73+0.0625,-0.125),IF((CM73-CP73)/COS(CU73)-FC73&gt;=0.0625,CEILING((CM73-CP73)/COS(CU73)-FC73-0.0625,0.125),0)))</f>
        <v>6.75</v>
      </c>
      <c r="EB73" s="876">
        <f t="shared" si="160"/>
        <v>5</v>
      </c>
      <c r="EC73" s="877">
        <f t="shared" si="191"/>
        <v>5</v>
      </c>
      <c r="ED73" s="876" t="str">
        <f t="shared" si="161"/>
        <v/>
      </c>
      <c r="EE73" s="876" t="str">
        <f t="shared" si="162"/>
        <v/>
      </c>
      <c r="EF73" s="876" t="str">
        <f t="shared" si="163"/>
        <v/>
      </c>
      <c r="EG73" s="876" t="str">
        <f t="shared" si="164"/>
        <v/>
      </c>
      <c r="EH73" s="876" t="str">
        <f t="shared" si="165"/>
        <v/>
      </c>
      <c r="EI73" s="876" t="str">
        <f t="shared" si="166"/>
        <v/>
      </c>
      <c r="EJ73" s="876" t="str">
        <f t="shared" si="167"/>
        <v/>
      </c>
      <c r="EK73" s="874">
        <f t="shared" si="192"/>
        <v>0</v>
      </c>
      <c r="EL73" s="874">
        <f t="shared" si="193"/>
        <v>0</v>
      </c>
      <c r="EM73" s="874">
        <f t="shared" si="168"/>
        <v>0</v>
      </c>
      <c r="EN73" s="874" t="str">
        <f t="shared" si="169"/>
        <v/>
      </c>
      <c r="EO73" s="873">
        <f t="shared" si="194"/>
        <v>0</v>
      </c>
      <c r="EP73" s="874">
        <f t="shared" si="195"/>
        <v>0</v>
      </c>
      <c r="EQ73" s="874">
        <f t="shared" si="196"/>
        <v>0</v>
      </c>
      <c r="ER73" s="874">
        <f t="shared" si="170"/>
        <v>0</v>
      </c>
      <c r="ES73" s="874" t="str">
        <f t="shared" si="171"/>
        <v/>
      </c>
      <c r="ET73" s="873">
        <f t="shared" si="197"/>
        <v>0</v>
      </c>
      <c r="EU73" s="873">
        <f t="shared" si="172"/>
        <v>0</v>
      </c>
      <c r="EV73" s="876">
        <f t="shared" si="173"/>
        <v>6</v>
      </c>
      <c r="EW73" s="876">
        <f t="shared" si="174"/>
        <v>6</v>
      </c>
      <c r="EX73" s="942" t="e">
        <f t="shared" si="175"/>
        <v>#VALUE!</v>
      </c>
      <c r="EY73" s="879" t="e">
        <f t="shared" si="198"/>
        <v>#VALUE!</v>
      </c>
      <c r="EZ73" s="959" t="e">
        <f t="shared" si="176"/>
        <v>#VALUE!</v>
      </c>
      <c r="FA73" s="960" t="e">
        <f t="shared" si="177"/>
        <v>#VALUE!</v>
      </c>
      <c r="FB73" s="880">
        <f t="shared" si="178"/>
        <v>0</v>
      </c>
      <c r="FC73" s="881">
        <f t="shared" si="179"/>
        <v>0</v>
      </c>
      <c r="FD73" s="527">
        <f t="shared" si="180"/>
        <v>1.75</v>
      </c>
      <c r="FE73" s="528">
        <f t="shared" si="181"/>
        <v>1.75</v>
      </c>
      <c r="FF73" s="754" t="b">
        <f t="shared" si="106"/>
        <v>0</v>
      </c>
      <c r="FG73" s="754" t="b">
        <f t="shared" si="107"/>
        <v>0</v>
      </c>
      <c r="FH73" s="754" t="b">
        <f t="shared" si="108"/>
        <v>0</v>
      </c>
      <c r="FI73" s="917" t="b">
        <f t="shared" si="109"/>
        <v>0</v>
      </c>
      <c r="FJ73" s="920" t="str">
        <f t="shared" si="119"/>
        <v/>
      </c>
      <c r="FK73" s="919" t="str">
        <f t="shared" si="120"/>
        <v>G16</v>
      </c>
      <c r="FL73" s="320">
        <f t="shared" si="121"/>
        <v>595.5</v>
      </c>
      <c r="FM73" s="312" t="str">
        <f t="shared" si="110"/>
        <v/>
      </c>
      <c r="FN73" s="272" t="str">
        <f t="shared" ca="1" si="122"/>
        <v/>
      </c>
      <c r="FO73" s="273" t="str">
        <f t="shared" ca="1" si="123"/>
        <v/>
      </c>
      <c r="FP73" s="274" t="str">
        <f t="shared" ca="1" si="124"/>
        <v/>
      </c>
      <c r="FQ73" s="274" t="str">
        <f t="shared" ca="1" si="125"/>
        <v/>
      </c>
      <c r="FR73" s="321">
        <f t="shared" ca="1" si="126"/>
        <v>0</v>
      </c>
      <c r="FS73" s="322">
        <f t="shared" ca="1" si="127"/>
        <v>0</v>
      </c>
      <c r="FT73" s="272" t="str">
        <f t="shared" ca="1" si="132"/>
        <v/>
      </c>
      <c r="FU73" s="275" t="str">
        <f t="shared" ca="1" si="133"/>
        <v/>
      </c>
      <c r="FV73" s="323" t="str">
        <f t="shared" ca="1" si="134"/>
        <v/>
      </c>
      <c r="FW73" s="276" t="str">
        <f t="shared" ca="1" si="128"/>
        <v/>
      </c>
      <c r="FX73" s="276" t="str">
        <f t="shared" ca="1" si="129"/>
        <v/>
      </c>
      <c r="FY73" s="276" t="str">
        <f t="shared" ca="1" si="135"/>
        <v/>
      </c>
      <c r="FZ73" s="276" t="str">
        <f t="shared" ca="1" si="130"/>
        <v/>
      </c>
      <c r="GA73" s="276" t="str">
        <f t="shared" ca="1" si="136"/>
        <v/>
      </c>
      <c r="GB73" s="277" t="str">
        <f ca="1">IF(FY73="","",2+SUM(FO73:OFFSET(FO73,(FU73-1)*-1,0)))</f>
        <v/>
      </c>
      <c r="GC73" s="316">
        <f t="shared" si="131"/>
        <v>-5.5</v>
      </c>
      <c r="GD73" s="324" t="str">
        <f t="shared" si="111"/>
        <v/>
      </c>
      <c r="GE73" s="325" t="str">
        <f t="shared" si="112"/>
        <v/>
      </c>
      <c r="GF73" s="278" t="str">
        <f t="shared" si="113"/>
        <v/>
      </c>
      <c r="GG73" s="279" t="str">
        <f t="shared" si="114"/>
        <v/>
      </c>
      <c r="GH73" s="279" t="str">
        <f t="shared" si="115"/>
        <v/>
      </c>
      <c r="GI73" s="280" t="str">
        <f t="shared" si="116"/>
        <v/>
      </c>
      <c r="GJ73" s="326">
        <f t="shared" ca="1" si="117"/>
        <v>0</v>
      </c>
      <c r="GK73" s="913" t="str">
        <f t="shared" ca="1" si="118"/>
        <v/>
      </c>
    </row>
    <row r="74" spans="78:196" ht="12.6" hidden="1" customHeight="1" x14ac:dyDescent="0.2">
      <c r="BZ74" s="293"/>
      <c r="CA74" s="293"/>
      <c r="CB74" s="365" t="str">
        <f t="shared" si="137"/>
        <v>G7</v>
      </c>
      <c r="CC74" s="1305"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38"/>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367">
        <f>IF(CQ34="","",IF(VLOOKUP(CQ34,SectInfo!$B:$N,7,FALSE)="","",(VLOOKUP(CQ34,SectInfo!$B:$N,7,FALSE)*-1)))</f>
        <v>-6.5</v>
      </c>
      <c r="CR74" s="367">
        <f>IF(CQ34="","",IF(VLOOKUP(CQ34,SectInfo!$B:$N,8,FALSE)="",$FC$4,(VLOOKUP(CQ34,SectInfo!$B:$N,8,FALSE))))</f>
        <v>5</v>
      </c>
      <c r="CS74" s="367">
        <f>IF(CQ34="","",VLOOKUP(CQ34,SectInfo!$B:$N,9,FALSE))</f>
        <v>8</v>
      </c>
      <c r="CT74" s="368">
        <f t="shared" si="139"/>
        <v>0</v>
      </c>
      <c r="CU74" s="369">
        <f t="shared" si="140"/>
        <v>0</v>
      </c>
      <c r="CV74" s="274">
        <f t="shared" si="141"/>
        <v>623.5</v>
      </c>
      <c r="CW74" s="274">
        <f t="shared" si="142"/>
        <v>7.5</v>
      </c>
      <c r="CX74" s="873">
        <f t="shared" si="143"/>
        <v>7.5</v>
      </c>
      <c r="CY74" s="874">
        <f t="shared" si="144"/>
        <v>0</v>
      </c>
      <c r="CZ74" s="874">
        <f t="shared" si="145"/>
        <v>8</v>
      </c>
      <c r="DA74" s="874">
        <f t="shared" si="146"/>
        <v>8</v>
      </c>
      <c r="DB74" s="1311">
        <f t="shared" si="182"/>
        <v>7.75</v>
      </c>
      <c r="DC74" s="1311">
        <f t="shared" si="147"/>
        <v>1.75</v>
      </c>
      <c r="DD74" s="1312">
        <f t="shared" si="183"/>
        <v>1.75</v>
      </c>
      <c r="DE74" s="1311">
        <f t="shared" si="148"/>
        <v>0</v>
      </c>
      <c r="DF74" s="1313">
        <f t="shared" si="149"/>
        <v>8</v>
      </c>
      <c r="DG74" s="1313">
        <f t="shared" si="150"/>
        <v>8</v>
      </c>
      <c r="DH74" s="1311">
        <f t="shared" si="184"/>
        <v>7.75</v>
      </c>
      <c r="DI74" s="1311">
        <f t="shared" si="151"/>
        <v>1.75</v>
      </c>
      <c r="DJ74" s="1312">
        <f t="shared" si="185"/>
        <v>1.75</v>
      </c>
      <c r="DK74" s="1311">
        <f t="shared" si="186"/>
        <v>620</v>
      </c>
      <c r="DL74" s="1311">
        <f t="shared" si="187"/>
        <v>-6.5</v>
      </c>
      <c r="DM74" s="1311">
        <f t="shared" si="152"/>
        <v>6.25</v>
      </c>
      <c r="DN74" s="1311">
        <f t="shared" si="153"/>
        <v>6.25</v>
      </c>
      <c r="DO74" s="889">
        <f t="shared" si="154"/>
        <v>6.25</v>
      </c>
      <c r="DP74" s="889">
        <f t="shared" si="155"/>
        <v>6.25</v>
      </c>
      <c r="DQ74" s="1311">
        <f t="shared" si="188"/>
        <v>6.25</v>
      </c>
      <c r="DR74" s="1311">
        <f t="shared" si="188"/>
        <v>6.25</v>
      </c>
      <c r="DS74" s="1311">
        <f t="shared" si="189"/>
        <v>-6.5</v>
      </c>
      <c r="DT74" s="1311">
        <f t="shared" si="156"/>
        <v>6.25</v>
      </c>
      <c r="DU74" s="1311">
        <f t="shared" si="157"/>
        <v>6.25</v>
      </c>
      <c r="DV74" s="889">
        <f t="shared" si="158"/>
        <v>6.25</v>
      </c>
      <c r="DW74" s="889">
        <f t="shared" si="159"/>
        <v>6.25</v>
      </c>
      <c r="DX74" s="873">
        <f t="shared" si="190"/>
        <v>6.25</v>
      </c>
      <c r="DY74" s="873">
        <f t="shared" si="190"/>
        <v>6.25</v>
      </c>
      <c r="DZ74" s="873">
        <f t="shared" si="199"/>
        <v>6.75</v>
      </c>
      <c r="EA74" s="873">
        <f t="shared" si="200"/>
        <v>6.75</v>
      </c>
      <c r="EB74" s="876">
        <f t="shared" si="160"/>
        <v>5</v>
      </c>
      <c r="EC74" s="877">
        <f t="shared" si="191"/>
        <v>5</v>
      </c>
      <c r="ED74" s="876" t="str">
        <f t="shared" si="161"/>
        <v/>
      </c>
      <c r="EE74" s="876" t="str">
        <f t="shared" si="162"/>
        <v/>
      </c>
      <c r="EF74" s="876" t="str">
        <f t="shared" si="163"/>
        <v/>
      </c>
      <c r="EG74" s="876" t="str">
        <f t="shared" si="164"/>
        <v/>
      </c>
      <c r="EH74" s="876" t="str">
        <f t="shared" si="165"/>
        <v/>
      </c>
      <c r="EI74" s="876" t="str">
        <f t="shared" si="166"/>
        <v/>
      </c>
      <c r="EJ74" s="876" t="str">
        <f t="shared" si="167"/>
        <v/>
      </c>
      <c r="EK74" s="874">
        <f t="shared" si="192"/>
        <v>0</v>
      </c>
      <c r="EL74" s="874">
        <f t="shared" si="193"/>
        <v>0</v>
      </c>
      <c r="EM74" s="874">
        <f t="shared" si="168"/>
        <v>0</v>
      </c>
      <c r="EN74" s="874" t="str">
        <f t="shared" si="169"/>
        <v/>
      </c>
      <c r="EO74" s="873">
        <f t="shared" si="194"/>
        <v>0</v>
      </c>
      <c r="EP74" s="874">
        <f t="shared" si="195"/>
        <v>0</v>
      </c>
      <c r="EQ74" s="874">
        <f t="shared" si="196"/>
        <v>0</v>
      </c>
      <c r="ER74" s="874">
        <f t="shared" si="170"/>
        <v>0</v>
      </c>
      <c r="ES74" s="874" t="str">
        <f t="shared" si="171"/>
        <v/>
      </c>
      <c r="ET74" s="873">
        <f t="shared" si="197"/>
        <v>0</v>
      </c>
      <c r="EU74" s="873">
        <f t="shared" si="172"/>
        <v>0</v>
      </c>
      <c r="EV74" s="876">
        <f t="shared" si="173"/>
        <v>6</v>
      </c>
      <c r="EW74" s="876">
        <f t="shared" si="174"/>
        <v>6</v>
      </c>
      <c r="EX74" s="942" t="e">
        <f t="shared" si="175"/>
        <v>#VALUE!</v>
      </c>
      <c r="EY74" s="879" t="e">
        <f t="shared" si="198"/>
        <v>#VALUE!</v>
      </c>
      <c r="EZ74" s="959" t="e">
        <f t="shared" si="176"/>
        <v>#VALUE!</v>
      </c>
      <c r="FA74" s="960" t="e">
        <f t="shared" si="177"/>
        <v>#VALUE!</v>
      </c>
      <c r="FB74" s="880">
        <f t="shared" si="178"/>
        <v>0</v>
      </c>
      <c r="FC74" s="881">
        <f t="shared" si="179"/>
        <v>0</v>
      </c>
      <c r="FD74" s="512">
        <f t="shared" si="180"/>
        <v>1.75</v>
      </c>
      <c r="FE74" s="513">
        <f t="shared" si="181"/>
        <v>1.75</v>
      </c>
      <c r="FF74" s="754" t="b">
        <f t="shared" si="106"/>
        <v>0</v>
      </c>
      <c r="FG74" s="754" t="b">
        <f t="shared" si="107"/>
        <v>0</v>
      </c>
      <c r="FH74" s="754" t="b">
        <f t="shared" si="108"/>
        <v>0</v>
      </c>
      <c r="FI74" s="917" t="b">
        <f t="shared" si="109"/>
        <v>0</v>
      </c>
      <c r="FJ74" s="920" t="str">
        <f t="shared" si="119"/>
        <v/>
      </c>
      <c r="FK74" s="919" t="str">
        <f t="shared" si="120"/>
        <v>G16</v>
      </c>
      <c r="FL74" s="320">
        <f t="shared" si="121"/>
        <v>595.5</v>
      </c>
      <c r="FM74" s="312" t="str">
        <f t="shared" si="110"/>
        <v/>
      </c>
      <c r="FN74" s="272" t="str">
        <f t="shared" ca="1" si="122"/>
        <v/>
      </c>
      <c r="FO74" s="273" t="str">
        <f t="shared" ca="1" si="123"/>
        <v/>
      </c>
      <c r="FP74" s="274" t="str">
        <f t="shared" ca="1" si="124"/>
        <v/>
      </c>
      <c r="FQ74" s="274" t="str">
        <f t="shared" ca="1" si="125"/>
        <v/>
      </c>
      <c r="FR74" s="321">
        <f t="shared" ca="1" si="126"/>
        <v>0</v>
      </c>
      <c r="FS74" s="322">
        <f t="shared" ca="1" si="127"/>
        <v>0</v>
      </c>
      <c r="FT74" s="272" t="str">
        <f t="shared" ca="1" si="132"/>
        <v/>
      </c>
      <c r="FU74" s="275" t="str">
        <f t="shared" ca="1" si="133"/>
        <v/>
      </c>
      <c r="FV74" s="323" t="str">
        <f t="shared" ca="1" si="134"/>
        <v/>
      </c>
      <c r="FW74" s="276" t="str">
        <f t="shared" ca="1" si="128"/>
        <v/>
      </c>
      <c r="FX74" s="276" t="str">
        <f t="shared" ca="1" si="129"/>
        <v/>
      </c>
      <c r="FY74" s="276" t="str">
        <f t="shared" ca="1" si="135"/>
        <v/>
      </c>
      <c r="FZ74" s="276" t="str">
        <f t="shared" ca="1" si="130"/>
        <v/>
      </c>
      <c r="GA74" s="276" t="str">
        <f t="shared" ca="1" si="136"/>
        <v/>
      </c>
      <c r="GB74" s="277" t="str">
        <f ca="1">IF(FY74="","",2+SUM(FO74:OFFSET(FO74,(FU74-1)*-1,0)))</f>
        <v/>
      </c>
      <c r="GC74" s="316">
        <f t="shared" si="131"/>
        <v>-5.5</v>
      </c>
      <c r="GD74" s="324" t="str">
        <f t="shared" si="111"/>
        <v/>
      </c>
      <c r="GE74" s="325" t="str">
        <f t="shared" si="112"/>
        <v/>
      </c>
      <c r="GF74" s="278" t="str">
        <f t="shared" si="113"/>
        <v/>
      </c>
      <c r="GG74" s="279" t="str">
        <f t="shared" si="114"/>
        <v/>
      </c>
      <c r="GH74" s="279" t="str">
        <f t="shared" si="115"/>
        <v/>
      </c>
      <c r="GI74" s="280" t="str">
        <f t="shared" si="116"/>
        <v/>
      </c>
      <c r="GJ74" s="326">
        <f t="shared" ca="1" si="117"/>
        <v>0</v>
      </c>
      <c r="GK74" s="913" t="str">
        <f t="shared" ca="1" si="118"/>
        <v/>
      </c>
    </row>
    <row r="75" spans="78:196" ht="12.6" hidden="1" customHeight="1" x14ac:dyDescent="0.2">
      <c r="BZ75" s="293"/>
      <c r="CA75" s="293"/>
      <c r="CB75" s="365" t="str">
        <f t="shared" si="137"/>
        <v>G8</v>
      </c>
      <c r="CC75" s="1305"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38"/>
        <v>0</v>
      </c>
      <c r="CL75" s="1305" t="str">
        <f>IF(CQ35="","",VLOOKUP(CQ35,SectInfo!$B:$N,12,FALSE))</f>
        <v>C</v>
      </c>
      <c r="CM75" s="1306">
        <f>IF(ISBLANK(CX35),IF(CQ35="","",VLOOKUP(CQ35,SectInfo!$B:$N,13,FALSE)),CX35)</f>
        <v>-8.375</v>
      </c>
      <c r="CN75" s="1306" t="str">
        <f>IF(CQ35="","",IF(VLOOKUP(CQ35,SectInfo!$B:$N,5,FALSE)="","R",UPPER(VLOOKUP(CQ35,SectInfo!$B:$N,5,FALSE))))</f>
        <v>R</v>
      </c>
      <c r="CO75" s="1306">
        <f>IF(ISBLANK(CZ35),IF(CQ35="","",VLOOKUP(CQ35,SectInfo!$B:$N,6,FALSE)),CZ35)</f>
        <v>7.5</v>
      </c>
      <c r="CP75" s="1306">
        <f>IF(CQ35="","",IF(VLOOKUP(CQ35,SectInfo!$B:$N,10,FALSE)="","",(VLOOKUP(CQ35,SectInfo!$B:$N,10,FALSE)*-1)))</f>
        <v>-9.375</v>
      </c>
      <c r="CQ75" s="367">
        <f>IF(CQ35="","",IF(VLOOKUP(CQ35,SectInfo!$B:$N,7,FALSE)="","",(VLOOKUP(CQ35,SectInfo!$B:$N,7,FALSE)*-1)))</f>
        <v>-9.875</v>
      </c>
      <c r="CR75" s="367">
        <f>IF(CQ35="","",IF(VLOOKUP(CQ35,SectInfo!$B:$N,8,FALSE)="",$FC$4,(VLOOKUP(CQ35,SectInfo!$B:$N,8,FALSE))))</f>
        <v>5</v>
      </c>
      <c r="CS75" s="367">
        <f>IF(CQ35="","",VLOOKUP(CQ35,SectInfo!$B:$N,9,FALSE))</f>
        <v>13.375</v>
      </c>
      <c r="CT75" s="368">
        <f t="shared" si="139"/>
        <v>0</v>
      </c>
      <c r="CU75" s="369">
        <f t="shared" si="140"/>
        <v>0</v>
      </c>
      <c r="CV75" s="274">
        <f t="shared" si="141"/>
        <v>615.375</v>
      </c>
      <c r="CW75" s="274">
        <f t="shared" si="142"/>
        <v>7.5</v>
      </c>
      <c r="CX75" s="873">
        <f t="shared" si="143"/>
        <v>7.5</v>
      </c>
      <c r="CY75" s="874">
        <f t="shared" si="144"/>
        <v>0</v>
      </c>
      <c r="CZ75" s="874">
        <f t="shared" si="145"/>
        <v>8</v>
      </c>
      <c r="DA75" s="874">
        <f t="shared" si="146"/>
        <v>8</v>
      </c>
      <c r="DB75" s="1311">
        <f t="shared" si="182"/>
        <v>7.75</v>
      </c>
      <c r="DC75" s="1311">
        <f t="shared" si="147"/>
        <v>1.75</v>
      </c>
      <c r="DD75" s="1312">
        <f t="shared" si="183"/>
        <v>1.75</v>
      </c>
      <c r="DE75" s="1311">
        <f t="shared" si="148"/>
        <v>0</v>
      </c>
      <c r="DF75" s="1313">
        <f t="shared" si="149"/>
        <v>13.375</v>
      </c>
      <c r="DG75" s="1313">
        <f t="shared" si="150"/>
        <v>13.375</v>
      </c>
      <c r="DH75" s="1311">
        <f t="shared" si="184"/>
        <v>5</v>
      </c>
      <c r="DI75" s="1311">
        <f t="shared" si="151"/>
        <v>0</v>
      </c>
      <c r="DJ75" s="1312">
        <f t="shared" si="185"/>
        <v>0</v>
      </c>
      <c r="DK75" s="1311">
        <f t="shared" si="186"/>
        <v>613.625</v>
      </c>
      <c r="DL75" s="1311">
        <f t="shared" si="187"/>
        <v>-6.5</v>
      </c>
      <c r="DM75" s="1311">
        <f t="shared" si="152"/>
        <v>6.25</v>
      </c>
      <c r="DN75" s="1311">
        <f t="shared" si="153"/>
        <v>6.25</v>
      </c>
      <c r="DO75" s="889">
        <f t="shared" si="154"/>
        <v>6.25</v>
      </c>
      <c r="DP75" s="889">
        <f t="shared" si="155"/>
        <v>6.25</v>
      </c>
      <c r="DQ75" s="1311">
        <f t="shared" si="188"/>
        <v>6.25</v>
      </c>
      <c r="DR75" s="1311">
        <f t="shared" si="188"/>
        <v>6.25</v>
      </c>
      <c r="DS75" s="1311">
        <f t="shared" si="189"/>
        <v>-9.875</v>
      </c>
      <c r="DT75" s="1311">
        <f t="shared" si="156"/>
        <v>1.5</v>
      </c>
      <c r="DU75" s="1311">
        <f t="shared" si="157"/>
        <v>1.5</v>
      </c>
      <c r="DV75" s="889">
        <f t="shared" si="158"/>
        <v>1.5</v>
      </c>
      <c r="DW75" s="889">
        <f t="shared" si="159"/>
        <v>1.5</v>
      </c>
      <c r="DX75" s="873">
        <f t="shared" si="190"/>
        <v>1.5</v>
      </c>
      <c r="DY75" s="873">
        <f t="shared" si="190"/>
        <v>1.5</v>
      </c>
      <c r="DZ75" s="873">
        <f t="shared" si="199"/>
        <v>6.75</v>
      </c>
      <c r="EA75" s="873">
        <f t="shared" si="200"/>
        <v>1</v>
      </c>
      <c r="EB75" s="876">
        <f t="shared" si="160"/>
        <v>5</v>
      </c>
      <c r="EC75" s="877">
        <f t="shared" si="191"/>
        <v>5</v>
      </c>
      <c r="ED75" s="876" t="str">
        <f t="shared" si="161"/>
        <v/>
      </c>
      <c r="EE75" s="876" t="str">
        <f t="shared" si="162"/>
        <v/>
      </c>
      <c r="EF75" s="876" t="str">
        <f t="shared" si="163"/>
        <v/>
      </c>
      <c r="EG75" s="876" t="str">
        <f t="shared" si="164"/>
        <v/>
      </c>
      <c r="EH75" s="876" t="str">
        <f t="shared" si="165"/>
        <v/>
      </c>
      <c r="EI75" s="876" t="str">
        <f t="shared" si="166"/>
        <v/>
      </c>
      <c r="EJ75" s="876" t="str">
        <f t="shared" si="167"/>
        <v/>
      </c>
      <c r="EK75" s="874">
        <f t="shared" si="192"/>
        <v>0</v>
      </c>
      <c r="EL75" s="874">
        <f t="shared" si="193"/>
        <v>0</v>
      </c>
      <c r="EM75" s="874">
        <f t="shared" si="168"/>
        <v>0</v>
      </c>
      <c r="EN75" s="874" t="str">
        <f t="shared" si="169"/>
        <v/>
      </c>
      <c r="EO75" s="873">
        <f t="shared" si="194"/>
        <v>0</v>
      </c>
      <c r="EP75" s="874">
        <f t="shared" si="195"/>
        <v>0</v>
      </c>
      <c r="EQ75" s="874">
        <f t="shared" si="196"/>
        <v>0</v>
      </c>
      <c r="ER75" s="874">
        <f t="shared" si="170"/>
        <v>0</v>
      </c>
      <c r="ES75" s="874" t="str">
        <f t="shared" si="171"/>
        <v/>
      </c>
      <c r="ET75" s="873">
        <f t="shared" si="197"/>
        <v>0</v>
      </c>
      <c r="EU75" s="873">
        <f t="shared" si="172"/>
        <v>0</v>
      </c>
      <c r="EV75" s="876">
        <f t="shared" si="173"/>
        <v>6</v>
      </c>
      <c r="EW75" s="876">
        <f t="shared" si="174"/>
        <v>5</v>
      </c>
      <c r="EX75" s="942" t="e">
        <f t="shared" si="175"/>
        <v>#VALUE!</v>
      </c>
      <c r="EY75" s="879" t="e">
        <f t="shared" si="198"/>
        <v>#VALUE!</v>
      </c>
      <c r="EZ75" s="959" t="e">
        <f t="shared" si="176"/>
        <v>#VALUE!</v>
      </c>
      <c r="FA75" s="960" t="e">
        <f t="shared" si="177"/>
        <v>#VALUE!</v>
      </c>
      <c r="FB75" s="880">
        <f t="shared" si="178"/>
        <v>0</v>
      </c>
      <c r="FC75" s="881">
        <f t="shared" si="179"/>
        <v>0</v>
      </c>
      <c r="FD75" s="512">
        <f t="shared" si="180"/>
        <v>1.75</v>
      </c>
      <c r="FE75" s="513">
        <f t="shared" si="181"/>
        <v>0</v>
      </c>
      <c r="FF75" s="754" t="b">
        <f t="shared" si="106"/>
        <v>0</v>
      </c>
      <c r="FG75" s="754" t="b">
        <f t="shared" si="107"/>
        <v>0</v>
      </c>
      <c r="FH75" s="754" t="b">
        <f t="shared" si="108"/>
        <v>0</v>
      </c>
      <c r="FI75" s="917" t="b">
        <f t="shared" si="109"/>
        <v>0</v>
      </c>
      <c r="FJ75" s="920" t="str">
        <f t="shared" si="119"/>
        <v/>
      </c>
      <c r="FK75" s="919" t="str">
        <f t="shared" si="120"/>
        <v>G16</v>
      </c>
      <c r="FL75" s="320">
        <f t="shared" si="121"/>
        <v>595.5</v>
      </c>
      <c r="FM75" s="312" t="str">
        <f t="shared" si="110"/>
        <v/>
      </c>
      <c r="FN75" s="272" t="str">
        <f t="shared" ca="1" si="122"/>
        <v/>
      </c>
      <c r="FO75" s="273" t="str">
        <f t="shared" ca="1" si="123"/>
        <v/>
      </c>
      <c r="FP75" s="274" t="str">
        <f t="shared" ca="1" si="124"/>
        <v/>
      </c>
      <c r="FQ75" s="274" t="str">
        <f t="shared" ca="1" si="125"/>
        <v/>
      </c>
      <c r="FR75" s="321">
        <f t="shared" ca="1" si="126"/>
        <v>0</v>
      </c>
      <c r="FS75" s="322">
        <f t="shared" ca="1" si="127"/>
        <v>0</v>
      </c>
      <c r="FT75" s="272" t="str">
        <f t="shared" ca="1" si="132"/>
        <v/>
      </c>
      <c r="FU75" s="275" t="str">
        <f t="shared" ca="1" si="133"/>
        <v/>
      </c>
      <c r="FV75" s="323" t="str">
        <f t="shared" ca="1" si="134"/>
        <v/>
      </c>
      <c r="FW75" s="276" t="str">
        <f t="shared" ca="1" si="128"/>
        <v/>
      </c>
      <c r="FX75" s="276" t="str">
        <f t="shared" ca="1" si="129"/>
        <v/>
      </c>
      <c r="FY75" s="276" t="str">
        <f t="shared" ca="1" si="135"/>
        <v/>
      </c>
      <c r="FZ75" s="276" t="str">
        <f t="shared" ca="1" si="130"/>
        <v/>
      </c>
      <c r="GA75" s="276" t="str">
        <f t="shared" ca="1" si="136"/>
        <v/>
      </c>
      <c r="GB75" s="277" t="str">
        <f ca="1">IF(FY75="","",2+SUM(FO75:OFFSET(FO75,(FU75-1)*-1,0)))</f>
        <v/>
      </c>
      <c r="GC75" s="316">
        <f t="shared" si="131"/>
        <v>-5.5</v>
      </c>
      <c r="GD75" s="324" t="str">
        <f t="shared" si="111"/>
        <v/>
      </c>
      <c r="GE75" s="325" t="str">
        <f t="shared" si="112"/>
        <v/>
      </c>
      <c r="GF75" s="278" t="str">
        <f t="shared" si="113"/>
        <v/>
      </c>
      <c r="GG75" s="279" t="str">
        <f t="shared" si="114"/>
        <v/>
      </c>
      <c r="GH75" s="279" t="str">
        <f t="shared" si="115"/>
        <v/>
      </c>
      <c r="GI75" s="280" t="str">
        <f t="shared" si="116"/>
        <v/>
      </c>
      <c r="GJ75" s="326">
        <f t="shared" ca="1" si="117"/>
        <v>0</v>
      </c>
      <c r="GK75" s="913" t="str">
        <f t="shared" ca="1" si="118"/>
        <v/>
      </c>
    </row>
    <row r="76" spans="78:196" ht="12.6" hidden="1" customHeight="1" x14ac:dyDescent="0.2">
      <c r="BZ76" s="293"/>
      <c r="CA76" s="293"/>
      <c r="CB76" s="365" t="str">
        <f t="shared" si="137"/>
        <v>G9</v>
      </c>
      <c r="CC76" s="1305"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38"/>
        <v>0</v>
      </c>
      <c r="CL76" s="1305" t="str">
        <f>IF(CQ36="","",VLOOKUP(CQ36,SectInfo!$B:$N,12,FALSE))</f>
        <v>C</v>
      </c>
      <c r="CM76" s="1306">
        <f>IF(ISBLANK(CX36),IF(CQ36="","",VLOOKUP(CQ36,SectInfo!$B:$N,13,FALSE)),CX36)</f>
        <v>-8.375</v>
      </c>
      <c r="CN76" s="1306" t="str">
        <f>IF(CQ36="","",IF(VLOOKUP(CQ36,SectInfo!$B:$N,5,FALSE)="","R",UPPER(VLOOKUP(CQ36,SectInfo!$B:$N,5,FALSE))))</f>
        <v>R</v>
      </c>
      <c r="CO76" s="1306">
        <f>IF(ISBLANK(CZ36),IF(CQ36="","",VLOOKUP(CQ36,SectInfo!$B:$N,6,FALSE)),CZ36)</f>
        <v>7.5</v>
      </c>
      <c r="CP76" s="1306">
        <f>IF(CQ36="","",IF(VLOOKUP(CQ36,SectInfo!$B:$N,10,FALSE)="","",(VLOOKUP(CQ36,SectInfo!$B:$N,10,FALSE)*-1)))</f>
        <v>-9.375</v>
      </c>
      <c r="CQ76" s="367">
        <f>IF(CQ36="","",IF(VLOOKUP(CQ36,SectInfo!$B:$N,7,FALSE)="","",(VLOOKUP(CQ36,SectInfo!$B:$N,7,FALSE)*-1)))</f>
        <v>-9.875</v>
      </c>
      <c r="CR76" s="367">
        <f>IF(CQ36="","",IF(VLOOKUP(CQ36,SectInfo!$B:$N,8,FALSE)="",$FC$4,(VLOOKUP(CQ36,SectInfo!$B:$N,8,FALSE))))</f>
        <v>5</v>
      </c>
      <c r="CS76" s="367">
        <f>IF(CQ36="","",VLOOKUP(CQ36,SectInfo!$B:$N,9,FALSE))</f>
        <v>13.375</v>
      </c>
      <c r="CT76" s="368">
        <f t="shared" si="139"/>
        <v>0</v>
      </c>
      <c r="CU76" s="369">
        <f t="shared" si="140"/>
        <v>0</v>
      </c>
      <c r="CV76" s="274">
        <f t="shared" si="141"/>
        <v>615.375</v>
      </c>
      <c r="CW76" s="274">
        <f t="shared" si="142"/>
        <v>7.5</v>
      </c>
      <c r="CX76" s="873">
        <f t="shared" si="143"/>
        <v>7.5</v>
      </c>
      <c r="CY76" s="874">
        <f t="shared" si="144"/>
        <v>0</v>
      </c>
      <c r="CZ76" s="874">
        <f t="shared" si="145"/>
        <v>8</v>
      </c>
      <c r="DA76" s="874">
        <f t="shared" si="146"/>
        <v>8</v>
      </c>
      <c r="DB76" s="1311">
        <f t="shared" si="182"/>
        <v>7.75</v>
      </c>
      <c r="DC76" s="1311">
        <f t="shared" si="147"/>
        <v>1.75</v>
      </c>
      <c r="DD76" s="1312">
        <f t="shared" si="183"/>
        <v>1.75</v>
      </c>
      <c r="DE76" s="1311">
        <f t="shared" si="148"/>
        <v>0</v>
      </c>
      <c r="DF76" s="1313">
        <f t="shared" si="149"/>
        <v>13.375</v>
      </c>
      <c r="DG76" s="1313">
        <f t="shared" si="150"/>
        <v>13.375</v>
      </c>
      <c r="DH76" s="1311">
        <f t="shared" si="184"/>
        <v>5</v>
      </c>
      <c r="DI76" s="1311">
        <f t="shared" si="151"/>
        <v>0</v>
      </c>
      <c r="DJ76" s="1312">
        <f t="shared" si="185"/>
        <v>0</v>
      </c>
      <c r="DK76" s="1311">
        <f t="shared" si="186"/>
        <v>613.625</v>
      </c>
      <c r="DL76" s="1311">
        <f t="shared" si="187"/>
        <v>-6.5</v>
      </c>
      <c r="DM76" s="1311">
        <f t="shared" si="152"/>
        <v>6.25</v>
      </c>
      <c r="DN76" s="1311">
        <f t="shared" si="153"/>
        <v>6.25</v>
      </c>
      <c r="DO76" s="889">
        <f t="shared" si="154"/>
        <v>6.25</v>
      </c>
      <c r="DP76" s="889">
        <f t="shared" si="155"/>
        <v>6.25</v>
      </c>
      <c r="DQ76" s="1311">
        <f t="shared" si="188"/>
        <v>6.25</v>
      </c>
      <c r="DR76" s="1311">
        <f t="shared" si="188"/>
        <v>6.25</v>
      </c>
      <c r="DS76" s="1311">
        <f t="shared" si="189"/>
        <v>-9.875</v>
      </c>
      <c r="DT76" s="1311">
        <f t="shared" si="156"/>
        <v>1.5</v>
      </c>
      <c r="DU76" s="1311">
        <f t="shared" si="157"/>
        <v>1.5</v>
      </c>
      <c r="DV76" s="889">
        <f t="shared" si="158"/>
        <v>1.5</v>
      </c>
      <c r="DW76" s="889">
        <f t="shared" si="159"/>
        <v>1.5</v>
      </c>
      <c r="DX76" s="873">
        <f t="shared" si="190"/>
        <v>1.5</v>
      </c>
      <c r="DY76" s="873">
        <f t="shared" si="190"/>
        <v>1.5</v>
      </c>
      <c r="DZ76" s="873">
        <f t="shared" si="199"/>
        <v>6.75</v>
      </c>
      <c r="EA76" s="873">
        <f t="shared" si="200"/>
        <v>1</v>
      </c>
      <c r="EB76" s="876">
        <f t="shared" si="160"/>
        <v>5</v>
      </c>
      <c r="EC76" s="877">
        <f t="shared" si="191"/>
        <v>5</v>
      </c>
      <c r="ED76" s="876" t="str">
        <f t="shared" si="161"/>
        <v/>
      </c>
      <c r="EE76" s="876" t="str">
        <f t="shared" si="162"/>
        <v/>
      </c>
      <c r="EF76" s="876" t="str">
        <f t="shared" si="163"/>
        <v/>
      </c>
      <c r="EG76" s="876" t="str">
        <f t="shared" si="164"/>
        <v/>
      </c>
      <c r="EH76" s="876" t="str">
        <f t="shared" si="165"/>
        <v/>
      </c>
      <c r="EI76" s="876" t="str">
        <f t="shared" si="166"/>
        <v/>
      </c>
      <c r="EJ76" s="876" t="str">
        <f t="shared" si="167"/>
        <v/>
      </c>
      <c r="EK76" s="874">
        <f t="shared" si="192"/>
        <v>0</v>
      </c>
      <c r="EL76" s="874">
        <f t="shared" si="193"/>
        <v>0</v>
      </c>
      <c r="EM76" s="874">
        <f t="shared" si="168"/>
        <v>0</v>
      </c>
      <c r="EN76" s="874" t="str">
        <f t="shared" si="169"/>
        <v/>
      </c>
      <c r="EO76" s="873">
        <f t="shared" si="194"/>
        <v>0</v>
      </c>
      <c r="EP76" s="874">
        <f t="shared" si="195"/>
        <v>0</v>
      </c>
      <c r="EQ76" s="874">
        <f t="shared" si="196"/>
        <v>0</v>
      </c>
      <c r="ER76" s="874">
        <f t="shared" si="170"/>
        <v>0</v>
      </c>
      <c r="ES76" s="874" t="str">
        <f t="shared" si="171"/>
        <v/>
      </c>
      <c r="ET76" s="873">
        <f t="shared" si="197"/>
        <v>0</v>
      </c>
      <c r="EU76" s="873">
        <f t="shared" si="172"/>
        <v>0</v>
      </c>
      <c r="EV76" s="876">
        <f t="shared" si="173"/>
        <v>6</v>
      </c>
      <c r="EW76" s="876">
        <f t="shared" si="174"/>
        <v>5</v>
      </c>
      <c r="EX76" s="942" t="e">
        <f t="shared" si="175"/>
        <v>#VALUE!</v>
      </c>
      <c r="EY76" s="879" t="e">
        <f t="shared" si="198"/>
        <v>#VALUE!</v>
      </c>
      <c r="EZ76" s="959" t="e">
        <f t="shared" si="176"/>
        <v>#VALUE!</v>
      </c>
      <c r="FA76" s="960" t="e">
        <f t="shared" si="177"/>
        <v>#VALUE!</v>
      </c>
      <c r="FB76" s="880">
        <f t="shared" si="178"/>
        <v>0</v>
      </c>
      <c r="FC76" s="881">
        <f t="shared" si="179"/>
        <v>0</v>
      </c>
      <c r="FD76" s="512">
        <f t="shared" si="180"/>
        <v>1.75</v>
      </c>
      <c r="FE76" s="513">
        <f t="shared" si="181"/>
        <v>0</v>
      </c>
      <c r="FF76" s="754" t="b">
        <f t="shared" si="106"/>
        <v>0</v>
      </c>
      <c r="FG76" s="754" t="b">
        <f t="shared" si="107"/>
        <v>0</v>
      </c>
      <c r="FH76" s="754" t="b">
        <f t="shared" si="108"/>
        <v>0</v>
      </c>
      <c r="FI76" s="917" t="b">
        <f t="shared" si="109"/>
        <v>0</v>
      </c>
      <c r="FJ76" s="920" t="str">
        <f t="shared" si="119"/>
        <v/>
      </c>
      <c r="FK76" s="919" t="str">
        <f t="shared" si="120"/>
        <v>G16</v>
      </c>
      <c r="FL76" s="320">
        <f t="shared" si="121"/>
        <v>595.5</v>
      </c>
      <c r="FM76" s="312" t="str">
        <f t="shared" si="110"/>
        <v/>
      </c>
      <c r="FN76" s="272" t="str">
        <f t="shared" ca="1" si="122"/>
        <v/>
      </c>
      <c r="FO76" s="273" t="str">
        <f t="shared" ca="1" si="123"/>
        <v/>
      </c>
      <c r="FP76" s="274" t="str">
        <f t="shared" ca="1" si="124"/>
        <v/>
      </c>
      <c r="FQ76" s="274" t="str">
        <f t="shared" ca="1" si="125"/>
        <v/>
      </c>
      <c r="FR76" s="321">
        <f t="shared" ca="1" si="126"/>
        <v>0</v>
      </c>
      <c r="FS76" s="322">
        <f t="shared" ca="1" si="127"/>
        <v>0</v>
      </c>
      <c r="FT76" s="272" t="str">
        <f t="shared" ca="1" si="132"/>
        <v/>
      </c>
      <c r="FU76" s="275" t="str">
        <f t="shared" ca="1" si="133"/>
        <v/>
      </c>
      <c r="FV76" s="323" t="str">
        <f t="shared" ca="1" si="134"/>
        <v/>
      </c>
      <c r="FW76" s="276" t="str">
        <f t="shared" ca="1" si="128"/>
        <v/>
      </c>
      <c r="FX76" s="276" t="str">
        <f t="shared" ca="1" si="129"/>
        <v/>
      </c>
      <c r="FY76" s="276" t="str">
        <f t="shared" ca="1" si="135"/>
        <v/>
      </c>
      <c r="FZ76" s="276" t="str">
        <f t="shared" ca="1" si="130"/>
        <v/>
      </c>
      <c r="GA76" s="276" t="str">
        <f t="shared" ca="1" si="136"/>
        <v/>
      </c>
      <c r="GB76" s="277" t="str">
        <f ca="1">IF(FY76="","",2+SUM(FO76:OFFSET(FO76,(FU76-1)*-1,0)))</f>
        <v/>
      </c>
      <c r="GC76" s="316">
        <f t="shared" si="131"/>
        <v>-5.5</v>
      </c>
      <c r="GD76" s="324" t="str">
        <f t="shared" si="111"/>
        <v/>
      </c>
      <c r="GE76" s="325" t="str">
        <f t="shared" si="112"/>
        <v/>
      </c>
      <c r="GF76" s="278" t="str">
        <f t="shared" si="113"/>
        <v/>
      </c>
      <c r="GG76" s="279" t="str">
        <f t="shared" si="114"/>
        <v/>
      </c>
      <c r="GH76" s="279" t="str">
        <f t="shared" si="115"/>
        <v/>
      </c>
      <c r="GI76" s="280" t="str">
        <f t="shared" si="116"/>
        <v/>
      </c>
      <c r="GJ76" s="326">
        <f t="shared" ca="1" si="117"/>
        <v>0</v>
      </c>
      <c r="GK76" s="913" t="str">
        <f t="shared" ca="1" si="118"/>
        <v/>
      </c>
    </row>
    <row r="77" spans="78:196" ht="12.6" hidden="1" customHeight="1" x14ac:dyDescent="0.2">
      <c r="BZ77" s="293"/>
      <c r="CA77" s="293"/>
      <c r="CB77" s="365" t="str">
        <f t="shared" si="137"/>
        <v>G10</v>
      </c>
      <c r="CC77" s="1305"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38"/>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-7</v>
      </c>
      <c r="CQ77" s="367">
        <f>IF(CQ37="","",IF(VLOOKUP(CQ37,SectInfo!$B:$N,7,FALSE)="","",(VLOOKUP(CQ37,SectInfo!$B:$N,7,FALSE)*-1)))</f>
        <v>-6.5</v>
      </c>
      <c r="CR77" s="367">
        <f>IF(CQ37="","",IF(VLOOKUP(CQ37,SectInfo!$B:$N,8,FALSE)="",$FC$4,(VLOOKUP(CQ37,SectInfo!$B:$N,8,FALSE))))</f>
        <v>5</v>
      </c>
      <c r="CS77" s="367">
        <f>IF(CQ37="","",VLOOKUP(CQ37,SectInfo!$B:$N,9,FALSE))</f>
        <v>8</v>
      </c>
      <c r="CT77" s="368">
        <f t="shared" si="139"/>
        <v>0</v>
      </c>
      <c r="CU77" s="369">
        <f t="shared" si="140"/>
        <v>0</v>
      </c>
      <c r="CV77" s="274">
        <f t="shared" si="141"/>
        <v>623.5</v>
      </c>
      <c r="CW77" s="274">
        <f t="shared" si="142"/>
        <v>7.5</v>
      </c>
      <c r="CX77" s="873">
        <f t="shared" si="143"/>
        <v>7.5</v>
      </c>
      <c r="CY77" s="874">
        <f t="shared" si="144"/>
        <v>0</v>
      </c>
      <c r="CZ77" s="874">
        <f t="shared" si="145"/>
        <v>8</v>
      </c>
      <c r="DA77" s="874">
        <f t="shared" si="146"/>
        <v>8</v>
      </c>
      <c r="DB77" s="1311">
        <f t="shared" si="182"/>
        <v>7.75</v>
      </c>
      <c r="DC77" s="1311">
        <f t="shared" si="147"/>
        <v>1.75</v>
      </c>
      <c r="DD77" s="1312">
        <f t="shared" si="183"/>
        <v>1.75</v>
      </c>
      <c r="DE77" s="1311">
        <f t="shared" si="148"/>
        <v>0</v>
      </c>
      <c r="DF77" s="1313">
        <f t="shared" si="149"/>
        <v>8</v>
      </c>
      <c r="DG77" s="1313">
        <f t="shared" si="150"/>
        <v>8</v>
      </c>
      <c r="DH77" s="1311">
        <f t="shared" si="184"/>
        <v>7.75</v>
      </c>
      <c r="DI77" s="1311">
        <f t="shared" si="151"/>
        <v>1.75</v>
      </c>
      <c r="DJ77" s="1312">
        <f t="shared" si="185"/>
        <v>1.75</v>
      </c>
      <c r="DK77" s="1311">
        <f t="shared" si="186"/>
        <v>620</v>
      </c>
      <c r="DL77" s="1311">
        <f t="shared" si="187"/>
        <v>-6.5</v>
      </c>
      <c r="DM77" s="1311">
        <f t="shared" si="152"/>
        <v>6.25</v>
      </c>
      <c r="DN77" s="1311">
        <f t="shared" si="153"/>
        <v>6.25</v>
      </c>
      <c r="DO77" s="889">
        <f t="shared" si="154"/>
        <v>6.25</v>
      </c>
      <c r="DP77" s="889">
        <f t="shared" si="155"/>
        <v>6.25</v>
      </c>
      <c r="DQ77" s="1311">
        <f t="shared" si="188"/>
        <v>6.25</v>
      </c>
      <c r="DR77" s="1311">
        <f t="shared" si="188"/>
        <v>6.25</v>
      </c>
      <c r="DS77" s="1311">
        <f t="shared" si="189"/>
        <v>-6.5</v>
      </c>
      <c r="DT77" s="1311">
        <f t="shared" si="156"/>
        <v>6.25</v>
      </c>
      <c r="DU77" s="1311">
        <f t="shared" si="157"/>
        <v>6.25</v>
      </c>
      <c r="DV77" s="889">
        <f t="shared" si="158"/>
        <v>6.25</v>
      </c>
      <c r="DW77" s="889">
        <f t="shared" si="159"/>
        <v>6.25</v>
      </c>
      <c r="DX77" s="873">
        <f t="shared" si="190"/>
        <v>6.25</v>
      </c>
      <c r="DY77" s="873">
        <f t="shared" si="190"/>
        <v>6.25</v>
      </c>
      <c r="DZ77" s="873">
        <f t="shared" si="199"/>
        <v>6.75</v>
      </c>
      <c r="EA77" s="873">
        <f t="shared" si="200"/>
        <v>6.75</v>
      </c>
      <c r="EB77" s="876">
        <f t="shared" si="160"/>
        <v>5</v>
      </c>
      <c r="EC77" s="877">
        <f t="shared" si="191"/>
        <v>5</v>
      </c>
      <c r="ED77" s="876" t="str">
        <f t="shared" si="161"/>
        <v/>
      </c>
      <c r="EE77" s="876" t="str">
        <f t="shared" si="162"/>
        <v/>
      </c>
      <c r="EF77" s="876" t="str">
        <f t="shared" si="163"/>
        <v/>
      </c>
      <c r="EG77" s="876" t="str">
        <f t="shared" si="164"/>
        <v/>
      </c>
      <c r="EH77" s="876" t="str">
        <f t="shared" si="165"/>
        <v/>
      </c>
      <c r="EI77" s="876" t="str">
        <f t="shared" si="166"/>
        <v/>
      </c>
      <c r="EJ77" s="876" t="str">
        <f t="shared" si="167"/>
        <v/>
      </c>
      <c r="EK77" s="874">
        <f t="shared" si="192"/>
        <v>0</v>
      </c>
      <c r="EL77" s="874">
        <f t="shared" si="193"/>
        <v>0</v>
      </c>
      <c r="EM77" s="874">
        <f t="shared" si="168"/>
        <v>0</v>
      </c>
      <c r="EN77" s="874" t="str">
        <f t="shared" si="169"/>
        <v/>
      </c>
      <c r="EO77" s="873">
        <f t="shared" si="194"/>
        <v>0</v>
      </c>
      <c r="EP77" s="874">
        <f t="shared" si="195"/>
        <v>0</v>
      </c>
      <c r="EQ77" s="874">
        <f t="shared" si="196"/>
        <v>0</v>
      </c>
      <c r="ER77" s="874">
        <f t="shared" si="170"/>
        <v>0</v>
      </c>
      <c r="ES77" s="874" t="str">
        <f t="shared" si="171"/>
        <v/>
      </c>
      <c r="ET77" s="873">
        <f t="shared" si="197"/>
        <v>0</v>
      </c>
      <c r="EU77" s="873">
        <f t="shared" si="172"/>
        <v>0</v>
      </c>
      <c r="EV77" s="876">
        <f t="shared" si="173"/>
        <v>6</v>
      </c>
      <c r="EW77" s="876">
        <f t="shared" si="174"/>
        <v>6</v>
      </c>
      <c r="EX77" s="942" t="e">
        <f t="shared" si="175"/>
        <v>#VALUE!</v>
      </c>
      <c r="EY77" s="879" t="e">
        <f t="shared" si="198"/>
        <v>#VALUE!</v>
      </c>
      <c r="EZ77" s="959" t="e">
        <f t="shared" si="176"/>
        <v>#VALUE!</v>
      </c>
      <c r="FA77" s="960" t="e">
        <f t="shared" si="177"/>
        <v>#VALUE!</v>
      </c>
      <c r="FB77" s="880">
        <f t="shared" si="178"/>
        <v>0</v>
      </c>
      <c r="FC77" s="881">
        <f t="shared" si="179"/>
        <v>0</v>
      </c>
      <c r="FD77" s="512">
        <f t="shared" si="180"/>
        <v>1.75</v>
      </c>
      <c r="FE77" s="513">
        <f t="shared" si="181"/>
        <v>1.75</v>
      </c>
      <c r="FF77" s="754" t="b">
        <f t="shared" si="106"/>
        <v>0</v>
      </c>
      <c r="FG77" s="754" t="b">
        <f t="shared" si="107"/>
        <v>0</v>
      </c>
      <c r="FH77" s="754" t="b">
        <f t="shared" si="108"/>
        <v>0</v>
      </c>
      <c r="FI77" s="917" t="b">
        <f t="shared" si="109"/>
        <v>0</v>
      </c>
      <c r="FJ77" s="920" t="str">
        <f t="shared" si="119"/>
        <v/>
      </c>
      <c r="FK77" s="919" t="str">
        <f t="shared" si="120"/>
        <v>G16</v>
      </c>
      <c r="FL77" s="320">
        <f t="shared" si="121"/>
        <v>595.5</v>
      </c>
      <c r="FM77" s="312" t="str">
        <f t="shared" si="110"/>
        <v/>
      </c>
      <c r="FN77" s="272" t="str">
        <f t="shared" ca="1" si="122"/>
        <v/>
      </c>
      <c r="FO77" s="273" t="str">
        <f t="shared" ca="1" si="123"/>
        <v/>
      </c>
      <c r="FP77" s="274" t="str">
        <f t="shared" ca="1" si="124"/>
        <v/>
      </c>
      <c r="FQ77" s="274" t="str">
        <f t="shared" ca="1" si="125"/>
        <v/>
      </c>
      <c r="FR77" s="321">
        <f t="shared" ca="1" si="126"/>
        <v>0</v>
      </c>
      <c r="FS77" s="322">
        <f t="shared" ca="1" si="127"/>
        <v>0</v>
      </c>
      <c r="FT77" s="272" t="str">
        <f t="shared" ca="1" si="132"/>
        <v/>
      </c>
      <c r="FU77" s="275" t="str">
        <f t="shared" ca="1" si="133"/>
        <v/>
      </c>
      <c r="FV77" s="323" t="str">
        <f t="shared" ca="1" si="134"/>
        <v/>
      </c>
      <c r="FW77" s="276" t="str">
        <f t="shared" ca="1" si="128"/>
        <v/>
      </c>
      <c r="FX77" s="276" t="str">
        <f t="shared" ca="1" si="129"/>
        <v/>
      </c>
      <c r="FY77" s="276" t="str">
        <f t="shared" ca="1" si="135"/>
        <v/>
      </c>
      <c r="FZ77" s="276" t="str">
        <f t="shared" ca="1" si="130"/>
        <v/>
      </c>
      <c r="GA77" s="276" t="str">
        <f t="shared" ca="1" si="136"/>
        <v/>
      </c>
      <c r="GB77" s="277" t="str">
        <f ca="1">IF(FY77="","",2+SUM(FO77:OFFSET(FO77,(FU77-1)*-1,0)))</f>
        <v/>
      </c>
      <c r="GC77" s="316">
        <f t="shared" si="131"/>
        <v>-5.5</v>
      </c>
      <c r="GD77" s="324" t="str">
        <f t="shared" si="111"/>
        <v/>
      </c>
      <c r="GE77" s="325" t="str">
        <f t="shared" si="112"/>
        <v/>
      </c>
      <c r="GF77" s="278" t="str">
        <f t="shared" si="113"/>
        <v/>
      </c>
      <c r="GG77" s="279" t="str">
        <f t="shared" si="114"/>
        <v/>
      </c>
      <c r="GH77" s="279" t="str">
        <f t="shared" si="115"/>
        <v/>
      </c>
      <c r="GI77" s="280" t="str">
        <f t="shared" si="116"/>
        <v/>
      </c>
      <c r="GJ77" s="326">
        <f t="shared" ca="1" si="117"/>
        <v>0</v>
      </c>
      <c r="GK77" s="913" t="str">
        <f t="shared" ca="1" si="118"/>
        <v/>
      </c>
    </row>
    <row r="78" spans="78:196" ht="12.6" hidden="1" customHeight="1" x14ac:dyDescent="0.2">
      <c r="BZ78" s="293"/>
      <c r="CA78" s="293"/>
      <c r="CB78" s="365" t="str">
        <f t="shared" si="137"/>
        <v>G11</v>
      </c>
      <c r="CC78" s="1305"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-7</v>
      </c>
      <c r="CH78" s="1306">
        <f>IF(CG38="","",IF(VLOOKUP(CG38,SectInfo!$B:$N,7,FALSE)="","",(VLOOKUP(CG38,SectInfo!$B:$N,7,FALSE)*-1)))</f>
        <v>-6.5</v>
      </c>
      <c r="CI78" s="1306">
        <f>IF(CG38="","",IF(VLOOKUP(CG38,SectInfo!$B:$N,8,FALSE)="",$FC$4,(VLOOKUP(CG38,SectInfo!$B:$N,8,FALSE))))</f>
        <v>5</v>
      </c>
      <c r="CJ78" s="1306">
        <f>IF(CG38="","",VLOOKUP(CG38,SectInfo!$B:$N,9,FALSE))</f>
        <v>8</v>
      </c>
      <c r="CK78" s="1307">
        <f t="shared" si="138"/>
        <v>0</v>
      </c>
      <c r="CL78" s="1305" t="str">
        <f>IF(CQ38="","",VLOOKUP(CQ38,SectInfo!$B:$N,12,FALSE))</f>
        <v>C</v>
      </c>
      <c r="CM78" s="1306">
        <f>IF(ISBLANK(CX38),IF(CQ38="","",VLOOKUP(CQ38,SectInfo!$B:$N,13,FALSE)),CX38)</f>
        <v>-0.25</v>
      </c>
      <c r="CN78" s="1306" t="str">
        <f>IF(CQ38="","",IF(VLOOKUP(CQ38,SectInfo!$B:$N,5,FALSE)="","R",UPPER(VLOOKUP(CQ38,SectInfo!$B:$N,5,FALSE))))</f>
        <v>R</v>
      </c>
      <c r="CO78" s="1306">
        <f>IF(ISBLANK(CZ38),IF(CQ38="","",VLOOKUP(CQ38,SectInfo!$B:$N,6,FALSE)),CZ38)</f>
        <v>7.5</v>
      </c>
      <c r="CP78" s="1306">
        <f>IF(CQ38="","",IF(VLOOKUP(CQ38,SectInfo!$B:$N,10,FALSE)="","",(VLOOKUP(CQ38,SectInfo!$B:$N,10,FALSE)*-1)))</f>
        <v>-7</v>
      </c>
      <c r="CQ78" s="367">
        <f>IF(CQ38="","",IF(VLOOKUP(CQ38,SectInfo!$B:$N,7,FALSE)="","",(VLOOKUP(CQ38,SectInfo!$B:$N,7,FALSE)*-1)))</f>
        <v>-6.5</v>
      </c>
      <c r="CR78" s="367">
        <f>IF(CQ38="","",IF(VLOOKUP(CQ38,SectInfo!$B:$N,8,FALSE)="",$FC$4,(VLOOKUP(CQ38,SectInfo!$B:$N,8,FALSE))))</f>
        <v>5</v>
      </c>
      <c r="CS78" s="367">
        <f>IF(CQ38="","",VLOOKUP(CQ38,SectInfo!$B:$N,9,FALSE))</f>
        <v>8</v>
      </c>
      <c r="CT78" s="368">
        <f t="shared" si="139"/>
        <v>0</v>
      </c>
      <c r="CU78" s="369">
        <f t="shared" si="140"/>
        <v>0</v>
      </c>
      <c r="CV78" s="274">
        <f t="shared" si="141"/>
        <v>623.5</v>
      </c>
      <c r="CW78" s="274">
        <f t="shared" si="142"/>
        <v>7.5</v>
      </c>
      <c r="CX78" s="873">
        <f t="shared" si="143"/>
        <v>7.5</v>
      </c>
      <c r="CY78" s="874">
        <f t="shared" si="144"/>
        <v>0</v>
      </c>
      <c r="CZ78" s="874">
        <f t="shared" si="145"/>
        <v>8</v>
      </c>
      <c r="DA78" s="874">
        <f t="shared" si="146"/>
        <v>8</v>
      </c>
      <c r="DB78" s="1311">
        <f t="shared" si="182"/>
        <v>7.75</v>
      </c>
      <c r="DC78" s="1311">
        <f t="shared" si="147"/>
        <v>1.75</v>
      </c>
      <c r="DD78" s="1312">
        <f t="shared" si="183"/>
        <v>1.75</v>
      </c>
      <c r="DE78" s="1311">
        <f t="shared" si="148"/>
        <v>0</v>
      </c>
      <c r="DF78" s="1313">
        <f t="shared" si="149"/>
        <v>8</v>
      </c>
      <c r="DG78" s="1313">
        <f t="shared" si="150"/>
        <v>8</v>
      </c>
      <c r="DH78" s="1311">
        <f t="shared" si="184"/>
        <v>7.75</v>
      </c>
      <c r="DI78" s="1311">
        <f t="shared" si="151"/>
        <v>1.75</v>
      </c>
      <c r="DJ78" s="1312">
        <f t="shared" si="185"/>
        <v>1.75</v>
      </c>
      <c r="DK78" s="1311">
        <f t="shared" si="186"/>
        <v>620</v>
      </c>
      <c r="DL78" s="1311">
        <f t="shared" si="187"/>
        <v>-6.5</v>
      </c>
      <c r="DM78" s="1311">
        <f t="shared" si="152"/>
        <v>6.25</v>
      </c>
      <c r="DN78" s="1311">
        <f t="shared" si="153"/>
        <v>6.25</v>
      </c>
      <c r="DO78" s="889">
        <f t="shared" si="154"/>
        <v>6.25</v>
      </c>
      <c r="DP78" s="889">
        <f t="shared" si="155"/>
        <v>6.25</v>
      </c>
      <c r="DQ78" s="1311">
        <f t="shared" si="188"/>
        <v>6.25</v>
      </c>
      <c r="DR78" s="1311">
        <f t="shared" si="188"/>
        <v>6.25</v>
      </c>
      <c r="DS78" s="1311">
        <f t="shared" si="189"/>
        <v>-6.5</v>
      </c>
      <c r="DT78" s="1311">
        <f t="shared" si="156"/>
        <v>6.25</v>
      </c>
      <c r="DU78" s="1311">
        <f t="shared" si="157"/>
        <v>6.25</v>
      </c>
      <c r="DV78" s="889">
        <f t="shared" si="158"/>
        <v>6.25</v>
      </c>
      <c r="DW78" s="889">
        <f t="shared" si="159"/>
        <v>6.25</v>
      </c>
      <c r="DX78" s="873">
        <f t="shared" si="190"/>
        <v>6.25</v>
      </c>
      <c r="DY78" s="873">
        <f t="shared" si="190"/>
        <v>6.25</v>
      </c>
      <c r="DZ78" s="873">
        <f t="shared" si="199"/>
        <v>6.75</v>
      </c>
      <c r="EA78" s="873">
        <f t="shared" si="200"/>
        <v>6.75</v>
      </c>
      <c r="EB78" s="876">
        <f t="shared" si="160"/>
        <v>5</v>
      </c>
      <c r="EC78" s="877">
        <f t="shared" si="191"/>
        <v>5</v>
      </c>
      <c r="ED78" s="876" t="str">
        <f t="shared" si="161"/>
        <v/>
      </c>
      <c r="EE78" s="876" t="str">
        <f t="shared" si="162"/>
        <v/>
      </c>
      <c r="EF78" s="876" t="str">
        <f t="shared" si="163"/>
        <v/>
      </c>
      <c r="EG78" s="876" t="str">
        <f t="shared" si="164"/>
        <v/>
      </c>
      <c r="EH78" s="876" t="str">
        <f t="shared" si="165"/>
        <v/>
      </c>
      <c r="EI78" s="876" t="str">
        <f t="shared" si="166"/>
        <v/>
      </c>
      <c r="EJ78" s="876" t="str">
        <f t="shared" si="167"/>
        <v/>
      </c>
      <c r="EK78" s="874">
        <f t="shared" si="192"/>
        <v>0</v>
      </c>
      <c r="EL78" s="874">
        <f t="shared" si="193"/>
        <v>0</v>
      </c>
      <c r="EM78" s="874">
        <f t="shared" si="168"/>
        <v>0</v>
      </c>
      <c r="EN78" s="874" t="str">
        <f t="shared" si="169"/>
        <v/>
      </c>
      <c r="EO78" s="873">
        <f t="shared" si="194"/>
        <v>0</v>
      </c>
      <c r="EP78" s="874">
        <f t="shared" si="195"/>
        <v>0</v>
      </c>
      <c r="EQ78" s="874">
        <f t="shared" si="196"/>
        <v>0</v>
      </c>
      <c r="ER78" s="874">
        <f t="shared" si="170"/>
        <v>0</v>
      </c>
      <c r="ES78" s="874" t="str">
        <f t="shared" si="171"/>
        <v/>
      </c>
      <c r="ET78" s="873">
        <f t="shared" si="197"/>
        <v>0</v>
      </c>
      <c r="EU78" s="873">
        <f t="shared" si="172"/>
        <v>0</v>
      </c>
      <c r="EV78" s="876">
        <f t="shared" si="173"/>
        <v>6</v>
      </c>
      <c r="EW78" s="876">
        <f t="shared" si="174"/>
        <v>6</v>
      </c>
      <c r="EX78" s="942" t="e">
        <f t="shared" si="175"/>
        <v>#VALUE!</v>
      </c>
      <c r="EY78" s="879" t="e">
        <f t="shared" si="198"/>
        <v>#VALUE!</v>
      </c>
      <c r="EZ78" s="959" t="e">
        <f t="shared" si="176"/>
        <v>#VALUE!</v>
      </c>
      <c r="FA78" s="960" t="e">
        <f t="shared" si="177"/>
        <v>#VALUE!</v>
      </c>
      <c r="FB78" s="880">
        <f t="shared" si="178"/>
        <v>0</v>
      </c>
      <c r="FC78" s="881">
        <f t="shared" si="179"/>
        <v>0</v>
      </c>
      <c r="FD78" s="512">
        <f t="shared" si="180"/>
        <v>1.75</v>
      </c>
      <c r="FE78" s="513">
        <f t="shared" si="181"/>
        <v>1.75</v>
      </c>
      <c r="FF78" s="754" t="b">
        <f t="shared" si="106"/>
        <v>0</v>
      </c>
      <c r="FG78" s="754" t="b">
        <f t="shared" si="107"/>
        <v>0</v>
      </c>
      <c r="FH78" s="754" t="b">
        <f t="shared" si="108"/>
        <v>0</v>
      </c>
      <c r="FI78" s="917" t="b">
        <f t="shared" si="109"/>
        <v>0</v>
      </c>
      <c r="FJ78" s="920" t="str">
        <f t="shared" si="119"/>
        <v/>
      </c>
      <c r="FK78" s="919" t="str">
        <f t="shared" si="120"/>
        <v>G16</v>
      </c>
      <c r="FL78" s="320">
        <f t="shared" si="121"/>
        <v>595.5</v>
      </c>
      <c r="FM78" s="312" t="str">
        <f t="shared" si="110"/>
        <v/>
      </c>
      <c r="FN78" s="272" t="str">
        <f t="shared" ca="1" si="122"/>
        <v/>
      </c>
      <c r="FO78" s="273" t="str">
        <f t="shared" ca="1" si="123"/>
        <v/>
      </c>
      <c r="FP78" s="274" t="str">
        <f t="shared" ca="1" si="124"/>
        <v/>
      </c>
      <c r="FQ78" s="274" t="str">
        <f t="shared" ca="1" si="125"/>
        <v/>
      </c>
      <c r="FR78" s="321">
        <f t="shared" ca="1" si="126"/>
        <v>0</v>
      </c>
      <c r="FS78" s="322">
        <f t="shared" ca="1" si="127"/>
        <v>0</v>
      </c>
      <c r="FT78" s="272" t="str">
        <f t="shared" ca="1" si="132"/>
        <v/>
      </c>
      <c r="FU78" s="275" t="str">
        <f t="shared" ca="1" si="133"/>
        <v/>
      </c>
      <c r="FV78" s="323" t="str">
        <f t="shared" ca="1" si="134"/>
        <v/>
      </c>
      <c r="FW78" s="276" t="str">
        <f t="shared" ca="1" si="128"/>
        <v/>
      </c>
      <c r="FX78" s="276" t="str">
        <f t="shared" ca="1" si="129"/>
        <v/>
      </c>
      <c r="FY78" s="276" t="str">
        <f t="shared" ca="1" si="135"/>
        <v/>
      </c>
      <c r="FZ78" s="276" t="str">
        <f t="shared" ca="1" si="130"/>
        <v/>
      </c>
      <c r="GA78" s="276" t="str">
        <f t="shared" ca="1" si="136"/>
        <v/>
      </c>
      <c r="GB78" s="277" t="str">
        <f ca="1">IF(FY78="","",2+SUM(FO78:OFFSET(FO78,(FU78-1)*-1,0)))</f>
        <v/>
      </c>
      <c r="GC78" s="316">
        <f t="shared" si="131"/>
        <v>-5.5</v>
      </c>
      <c r="GD78" s="324" t="str">
        <f t="shared" si="111"/>
        <v/>
      </c>
      <c r="GE78" s="325" t="str">
        <f t="shared" si="112"/>
        <v/>
      </c>
      <c r="GF78" s="278" t="str">
        <f t="shared" si="113"/>
        <v/>
      </c>
      <c r="GG78" s="279" t="str">
        <f t="shared" si="114"/>
        <v/>
      </c>
      <c r="GH78" s="279" t="str">
        <f t="shared" si="115"/>
        <v/>
      </c>
      <c r="GI78" s="280" t="str">
        <f t="shared" si="116"/>
        <v/>
      </c>
      <c r="GJ78" s="326">
        <f t="shared" ca="1" si="117"/>
        <v>0</v>
      </c>
      <c r="GK78" s="913" t="str">
        <f t="shared" ca="1" si="118"/>
        <v/>
      </c>
    </row>
    <row r="79" spans="78:196" ht="12.6" hidden="1" customHeight="1" x14ac:dyDescent="0.2">
      <c r="BZ79" s="293"/>
      <c r="CA79" s="293"/>
      <c r="CB79" s="365" t="str">
        <f t="shared" si="137"/>
        <v>G12</v>
      </c>
      <c r="CC79" s="1305"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-7</v>
      </c>
      <c r="CH79" s="1306">
        <f>IF(CG39="","",IF(VLOOKUP(CG39,SectInfo!$B:$N,7,FALSE)="","",(VLOOKUP(CG39,SectInfo!$B:$N,7,FALSE)*-1)))</f>
        <v>-6.5</v>
      </c>
      <c r="CI79" s="1306">
        <f>IF(CG39="","",IF(VLOOKUP(CG39,SectInfo!$B:$N,8,FALSE)="",$FC$4,(VLOOKUP(CG39,SectInfo!$B:$N,8,FALSE))))</f>
        <v>5</v>
      </c>
      <c r="CJ79" s="1306">
        <f>IF(CG39="","",VLOOKUP(CG39,SectInfo!$B:$N,9,FALSE))</f>
        <v>8</v>
      </c>
      <c r="CK79" s="1307">
        <f t="shared" si="138"/>
        <v>0</v>
      </c>
      <c r="CL79" s="1305" t="str">
        <f>IF(CQ39="","",VLOOKUP(CQ39,SectInfo!$B:$N,12,FALSE))</f>
        <v>C</v>
      </c>
      <c r="CM79" s="1306">
        <f>IF(ISBLANK(CX39),IF(CQ39="","",VLOOKUP(CQ39,SectInfo!$B:$N,13,FALSE)),CX39)</f>
        <v>-0.25</v>
      </c>
      <c r="CN79" s="1306" t="str">
        <f>IF(CQ39="","",IF(VLOOKUP(CQ39,SectInfo!$B:$N,5,FALSE)="","R",UPPER(VLOOKUP(CQ39,SectInfo!$B:$N,5,FALSE))))</f>
        <v>R</v>
      </c>
      <c r="CO79" s="1306">
        <f>IF(ISBLANK(CZ39),IF(CQ39="","",VLOOKUP(CQ39,SectInfo!$B:$N,6,FALSE)),CZ39)</f>
        <v>7.5</v>
      </c>
      <c r="CP79" s="1306">
        <f>IF(CQ39="","",IF(VLOOKUP(CQ39,SectInfo!$B:$N,10,FALSE)="","",(VLOOKUP(CQ39,SectInfo!$B:$N,10,FALSE)*-1)))</f>
        <v>-7</v>
      </c>
      <c r="CQ79" s="367">
        <f>IF(CQ39="","",IF(VLOOKUP(CQ39,SectInfo!$B:$N,7,FALSE)="","",(VLOOKUP(CQ39,SectInfo!$B:$N,7,FALSE)*-1)))</f>
        <v>-6.5</v>
      </c>
      <c r="CR79" s="367">
        <f>IF(CQ39="","",IF(VLOOKUP(CQ39,SectInfo!$B:$N,8,FALSE)="",$FC$4,(VLOOKUP(CQ39,SectInfo!$B:$N,8,FALSE))))</f>
        <v>5</v>
      </c>
      <c r="CS79" s="367">
        <f>IF(CQ39="","",VLOOKUP(CQ39,SectInfo!$B:$N,9,FALSE))</f>
        <v>8</v>
      </c>
      <c r="CT79" s="368">
        <f t="shared" si="139"/>
        <v>0</v>
      </c>
      <c r="CU79" s="369">
        <f t="shared" si="140"/>
        <v>0</v>
      </c>
      <c r="CV79" s="274">
        <f t="shared" si="141"/>
        <v>623.5</v>
      </c>
      <c r="CW79" s="274">
        <f t="shared" si="142"/>
        <v>7.5</v>
      </c>
      <c r="CX79" s="873">
        <f t="shared" si="143"/>
        <v>7.5</v>
      </c>
      <c r="CY79" s="874">
        <f t="shared" si="144"/>
        <v>0</v>
      </c>
      <c r="CZ79" s="874">
        <f t="shared" si="145"/>
        <v>8</v>
      </c>
      <c r="DA79" s="874">
        <f t="shared" si="146"/>
        <v>8</v>
      </c>
      <c r="DB79" s="1311">
        <f t="shared" si="182"/>
        <v>7.75</v>
      </c>
      <c r="DC79" s="1311">
        <f t="shared" si="147"/>
        <v>1.75</v>
      </c>
      <c r="DD79" s="1312">
        <f t="shared" si="183"/>
        <v>1.75</v>
      </c>
      <c r="DE79" s="1311">
        <f t="shared" si="148"/>
        <v>0</v>
      </c>
      <c r="DF79" s="1313">
        <f t="shared" si="149"/>
        <v>8</v>
      </c>
      <c r="DG79" s="1313">
        <f t="shared" si="150"/>
        <v>8</v>
      </c>
      <c r="DH79" s="1311">
        <f t="shared" si="184"/>
        <v>7.75</v>
      </c>
      <c r="DI79" s="1311">
        <f t="shared" si="151"/>
        <v>1.75</v>
      </c>
      <c r="DJ79" s="1312">
        <f t="shared" si="185"/>
        <v>1.75</v>
      </c>
      <c r="DK79" s="1311">
        <f t="shared" si="186"/>
        <v>620</v>
      </c>
      <c r="DL79" s="1311">
        <f t="shared" si="187"/>
        <v>-6.5</v>
      </c>
      <c r="DM79" s="1311">
        <f t="shared" si="152"/>
        <v>6.25</v>
      </c>
      <c r="DN79" s="1311">
        <f t="shared" si="153"/>
        <v>6.25</v>
      </c>
      <c r="DO79" s="889">
        <f t="shared" si="154"/>
        <v>6.25</v>
      </c>
      <c r="DP79" s="889">
        <f t="shared" si="155"/>
        <v>6.25</v>
      </c>
      <c r="DQ79" s="1311">
        <f t="shared" si="188"/>
        <v>6.25</v>
      </c>
      <c r="DR79" s="1311">
        <f t="shared" si="188"/>
        <v>6.25</v>
      </c>
      <c r="DS79" s="1311">
        <f t="shared" si="189"/>
        <v>-6.5</v>
      </c>
      <c r="DT79" s="1311">
        <f t="shared" si="156"/>
        <v>6.25</v>
      </c>
      <c r="DU79" s="1311">
        <f t="shared" si="157"/>
        <v>6.25</v>
      </c>
      <c r="DV79" s="889">
        <f t="shared" si="158"/>
        <v>6.25</v>
      </c>
      <c r="DW79" s="889">
        <f t="shared" si="159"/>
        <v>6.25</v>
      </c>
      <c r="DX79" s="873">
        <f t="shared" si="190"/>
        <v>6.25</v>
      </c>
      <c r="DY79" s="873">
        <f t="shared" si="190"/>
        <v>6.25</v>
      </c>
      <c r="DZ79" s="873">
        <f t="shared" si="199"/>
        <v>6.75</v>
      </c>
      <c r="EA79" s="873">
        <f t="shared" si="200"/>
        <v>6.75</v>
      </c>
      <c r="EB79" s="876">
        <f t="shared" si="160"/>
        <v>5</v>
      </c>
      <c r="EC79" s="877">
        <f t="shared" si="191"/>
        <v>5</v>
      </c>
      <c r="ED79" s="876" t="str">
        <f t="shared" si="161"/>
        <v/>
      </c>
      <c r="EE79" s="876" t="str">
        <f t="shared" si="162"/>
        <v/>
      </c>
      <c r="EF79" s="876" t="str">
        <f t="shared" si="163"/>
        <v/>
      </c>
      <c r="EG79" s="876" t="str">
        <f t="shared" si="164"/>
        <v/>
      </c>
      <c r="EH79" s="876" t="str">
        <f t="shared" si="165"/>
        <v/>
      </c>
      <c r="EI79" s="876" t="str">
        <f t="shared" si="166"/>
        <v/>
      </c>
      <c r="EJ79" s="876" t="str">
        <f t="shared" si="167"/>
        <v/>
      </c>
      <c r="EK79" s="874">
        <f t="shared" si="192"/>
        <v>0</v>
      </c>
      <c r="EL79" s="874">
        <f t="shared" si="193"/>
        <v>0</v>
      </c>
      <c r="EM79" s="874">
        <f t="shared" si="168"/>
        <v>0</v>
      </c>
      <c r="EN79" s="874" t="str">
        <f t="shared" si="169"/>
        <v/>
      </c>
      <c r="EO79" s="873">
        <f t="shared" si="194"/>
        <v>0</v>
      </c>
      <c r="EP79" s="874">
        <f t="shared" si="195"/>
        <v>0</v>
      </c>
      <c r="EQ79" s="874">
        <f t="shared" si="196"/>
        <v>0</v>
      </c>
      <c r="ER79" s="874">
        <f t="shared" si="170"/>
        <v>0</v>
      </c>
      <c r="ES79" s="874" t="str">
        <f t="shared" si="171"/>
        <v/>
      </c>
      <c r="ET79" s="873">
        <f t="shared" si="197"/>
        <v>0</v>
      </c>
      <c r="EU79" s="873">
        <f t="shared" si="172"/>
        <v>0</v>
      </c>
      <c r="EV79" s="876">
        <f t="shared" si="173"/>
        <v>6</v>
      </c>
      <c r="EW79" s="876">
        <f t="shared" si="174"/>
        <v>6</v>
      </c>
      <c r="EX79" s="942" t="e">
        <f t="shared" si="175"/>
        <v>#VALUE!</v>
      </c>
      <c r="EY79" s="879" t="e">
        <f t="shared" si="198"/>
        <v>#VALUE!</v>
      </c>
      <c r="EZ79" s="959" t="e">
        <f t="shared" si="176"/>
        <v>#VALUE!</v>
      </c>
      <c r="FA79" s="960" t="e">
        <f t="shared" si="177"/>
        <v>#VALUE!</v>
      </c>
      <c r="FB79" s="880">
        <f t="shared" si="178"/>
        <v>0</v>
      </c>
      <c r="FC79" s="881">
        <f t="shared" si="179"/>
        <v>0</v>
      </c>
      <c r="FD79" s="512">
        <f t="shared" si="180"/>
        <v>1.75</v>
      </c>
      <c r="FE79" s="513">
        <f t="shared" si="181"/>
        <v>1.75</v>
      </c>
      <c r="FF79" s="754" t="b">
        <f t="shared" si="106"/>
        <v>0</v>
      </c>
      <c r="FG79" s="754" t="b">
        <f t="shared" si="107"/>
        <v>0</v>
      </c>
      <c r="FH79" s="754" t="b">
        <f t="shared" si="108"/>
        <v>0</v>
      </c>
      <c r="FI79" s="917" t="b">
        <f t="shared" si="109"/>
        <v>0</v>
      </c>
      <c r="FJ79" s="920" t="str">
        <f t="shared" si="119"/>
        <v/>
      </c>
      <c r="FK79" s="919" t="str">
        <f t="shared" si="120"/>
        <v>G16</v>
      </c>
      <c r="FL79" s="320">
        <f t="shared" si="121"/>
        <v>595.5</v>
      </c>
      <c r="FM79" s="312" t="str">
        <f t="shared" si="110"/>
        <v/>
      </c>
      <c r="FN79" s="272" t="str">
        <f t="shared" ca="1" si="122"/>
        <v/>
      </c>
      <c r="FO79" s="273" t="str">
        <f t="shared" ca="1" si="123"/>
        <v/>
      </c>
      <c r="FP79" s="274" t="str">
        <f t="shared" ca="1" si="124"/>
        <v/>
      </c>
      <c r="FQ79" s="274" t="str">
        <f t="shared" ca="1" si="125"/>
        <v/>
      </c>
      <c r="FR79" s="321">
        <f t="shared" ca="1" si="126"/>
        <v>0</v>
      </c>
      <c r="FS79" s="322">
        <f t="shared" ca="1" si="127"/>
        <v>0</v>
      </c>
      <c r="FT79" s="272" t="str">
        <f t="shared" ca="1" si="132"/>
        <v/>
      </c>
      <c r="FU79" s="275" t="str">
        <f t="shared" ca="1" si="133"/>
        <v/>
      </c>
      <c r="FV79" s="323" t="str">
        <f t="shared" ca="1" si="134"/>
        <v/>
      </c>
      <c r="FW79" s="276" t="str">
        <f t="shared" ca="1" si="128"/>
        <v/>
      </c>
      <c r="FX79" s="276" t="str">
        <f t="shared" ca="1" si="129"/>
        <v/>
      </c>
      <c r="FY79" s="276" t="str">
        <f t="shared" ca="1" si="135"/>
        <v/>
      </c>
      <c r="FZ79" s="276" t="str">
        <f t="shared" ca="1" si="130"/>
        <v/>
      </c>
      <c r="GA79" s="276" t="str">
        <f t="shared" ca="1" si="136"/>
        <v/>
      </c>
      <c r="GB79" s="277" t="str">
        <f ca="1">IF(FY79="","",2+SUM(FO79:OFFSET(FO79,(FU79-1)*-1,0)))</f>
        <v/>
      </c>
      <c r="GC79" s="316">
        <f t="shared" si="131"/>
        <v>-5.5</v>
      </c>
      <c r="GD79" s="324" t="str">
        <f t="shared" si="111"/>
        <v/>
      </c>
      <c r="GE79" s="325" t="str">
        <f t="shared" si="112"/>
        <v/>
      </c>
      <c r="GF79" s="278" t="str">
        <f t="shared" si="113"/>
        <v/>
      </c>
      <c r="GG79" s="279" t="str">
        <f t="shared" si="114"/>
        <v/>
      </c>
      <c r="GH79" s="279" t="str">
        <f t="shared" si="115"/>
        <v/>
      </c>
      <c r="GI79" s="280" t="str">
        <f t="shared" si="116"/>
        <v/>
      </c>
      <c r="GJ79" s="326">
        <f t="shared" ca="1" si="117"/>
        <v>0</v>
      </c>
      <c r="GK79" s="913" t="str">
        <f t="shared" ca="1" si="118"/>
        <v/>
      </c>
    </row>
    <row r="80" spans="78:196" ht="12.6" hidden="1" customHeight="1" x14ac:dyDescent="0.2">
      <c r="BZ80" s="293"/>
      <c r="CA80" s="293"/>
      <c r="CB80" s="365" t="str">
        <f t="shared" si="137"/>
        <v>G13</v>
      </c>
      <c r="CC80" s="1305"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-7</v>
      </c>
      <c r="CH80" s="1306">
        <f>IF(CG40="","",IF(VLOOKUP(CG40,SectInfo!$B:$N,7,FALSE)="","",(VLOOKUP(CG40,SectInfo!$B:$N,7,FALSE)*-1)))</f>
        <v>-6.5</v>
      </c>
      <c r="CI80" s="1306">
        <f>IF(CG40="","",IF(VLOOKUP(CG40,SectInfo!$B:$N,8,FALSE)="",$FC$4,(VLOOKUP(CG40,SectInfo!$B:$N,8,FALSE))))</f>
        <v>5</v>
      </c>
      <c r="CJ80" s="1306">
        <f>IF(CG40="","",VLOOKUP(CG40,SectInfo!$B:$N,9,FALSE))</f>
        <v>8</v>
      </c>
      <c r="CK80" s="1307">
        <f t="shared" si="138"/>
        <v>0</v>
      </c>
      <c r="CL80" s="1305" t="str">
        <f>IF(CQ40="","",VLOOKUP(CQ40,SectInfo!$B:$N,12,FALSE))</f>
        <v>C</v>
      </c>
      <c r="CM80" s="1306">
        <f>IF(ISBLANK(CX40),IF(CQ40="","",VLOOKUP(CQ40,SectInfo!$B:$N,13,FALSE)),CX40)</f>
        <v>-0.25</v>
      </c>
      <c r="CN80" s="1306" t="str">
        <f>IF(CQ40="","",IF(VLOOKUP(CQ40,SectInfo!$B:$N,5,FALSE)="","R",UPPER(VLOOKUP(CQ40,SectInfo!$B:$N,5,FALSE))))</f>
        <v>R</v>
      </c>
      <c r="CO80" s="1306">
        <f>IF(ISBLANK(CZ40),IF(CQ40="","",VLOOKUP(CQ40,SectInfo!$B:$N,6,FALSE)),CZ40)</f>
        <v>7.5</v>
      </c>
      <c r="CP80" s="1306">
        <f>IF(CQ40="","",IF(VLOOKUP(CQ40,SectInfo!$B:$N,10,FALSE)="","",(VLOOKUP(CQ40,SectInfo!$B:$N,10,FALSE)*-1)))</f>
        <v>-7</v>
      </c>
      <c r="CQ80" s="367">
        <f>IF(CQ40="","",IF(VLOOKUP(CQ40,SectInfo!$B:$N,7,FALSE)="","",(VLOOKUP(CQ40,SectInfo!$B:$N,7,FALSE)*-1)))</f>
        <v>-6.5</v>
      </c>
      <c r="CR80" s="367">
        <f>IF(CQ40="","",IF(VLOOKUP(CQ40,SectInfo!$B:$N,8,FALSE)="",$FC$4,(VLOOKUP(CQ40,SectInfo!$B:$N,8,FALSE))))</f>
        <v>5</v>
      </c>
      <c r="CS80" s="367">
        <f>IF(CQ40="","",VLOOKUP(CQ40,SectInfo!$B:$N,9,FALSE))</f>
        <v>8</v>
      </c>
      <c r="CT80" s="368">
        <f t="shared" si="139"/>
        <v>0</v>
      </c>
      <c r="CU80" s="369">
        <f t="shared" si="140"/>
        <v>0</v>
      </c>
      <c r="CV80" s="274">
        <f t="shared" si="141"/>
        <v>623.5</v>
      </c>
      <c r="CW80" s="274">
        <f t="shared" si="142"/>
        <v>7.5</v>
      </c>
      <c r="CX80" s="873">
        <f t="shared" si="143"/>
        <v>7.5</v>
      </c>
      <c r="CY80" s="874">
        <f t="shared" si="144"/>
        <v>0</v>
      </c>
      <c r="CZ80" s="874">
        <f t="shared" si="145"/>
        <v>8</v>
      </c>
      <c r="DA80" s="874">
        <f t="shared" si="146"/>
        <v>8</v>
      </c>
      <c r="DB80" s="1311">
        <f t="shared" si="182"/>
        <v>7.75</v>
      </c>
      <c r="DC80" s="1311">
        <f t="shared" si="147"/>
        <v>1.75</v>
      </c>
      <c r="DD80" s="1312">
        <f t="shared" si="183"/>
        <v>1.75</v>
      </c>
      <c r="DE80" s="1311">
        <f t="shared" si="148"/>
        <v>0</v>
      </c>
      <c r="DF80" s="1313">
        <f t="shared" si="149"/>
        <v>8</v>
      </c>
      <c r="DG80" s="1313">
        <f t="shared" si="150"/>
        <v>8</v>
      </c>
      <c r="DH80" s="1311">
        <f t="shared" si="184"/>
        <v>7.75</v>
      </c>
      <c r="DI80" s="1311">
        <f t="shared" si="151"/>
        <v>1.75</v>
      </c>
      <c r="DJ80" s="1312">
        <f t="shared" si="185"/>
        <v>1.75</v>
      </c>
      <c r="DK80" s="1311">
        <f t="shared" si="186"/>
        <v>620</v>
      </c>
      <c r="DL80" s="1311">
        <f t="shared" si="187"/>
        <v>-6.5</v>
      </c>
      <c r="DM80" s="1311">
        <f t="shared" si="152"/>
        <v>6.25</v>
      </c>
      <c r="DN80" s="1311">
        <f t="shared" si="153"/>
        <v>6.25</v>
      </c>
      <c r="DO80" s="889">
        <f t="shared" si="154"/>
        <v>6.25</v>
      </c>
      <c r="DP80" s="889">
        <f t="shared" si="155"/>
        <v>6.25</v>
      </c>
      <c r="DQ80" s="1311">
        <f t="shared" si="188"/>
        <v>6.25</v>
      </c>
      <c r="DR80" s="1311">
        <f t="shared" si="188"/>
        <v>6.25</v>
      </c>
      <c r="DS80" s="1311">
        <f t="shared" si="189"/>
        <v>-6.5</v>
      </c>
      <c r="DT80" s="1311">
        <f t="shared" si="156"/>
        <v>6.25</v>
      </c>
      <c r="DU80" s="1311">
        <f t="shared" si="157"/>
        <v>6.25</v>
      </c>
      <c r="DV80" s="889">
        <f t="shared" si="158"/>
        <v>6.25</v>
      </c>
      <c r="DW80" s="889">
        <f t="shared" si="159"/>
        <v>6.25</v>
      </c>
      <c r="DX80" s="873">
        <f t="shared" si="190"/>
        <v>6.25</v>
      </c>
      <c r="DY80" s="873">
        <f t="shared" si="190"/>
        <v>6.25</v>
      </c>
      <c r="DZ80" s="873">
        <f t="shared" si="199"/>
        <v>6.75</v>
      </c>
      <c r="EA80" s="873">
        <f t="shared" si="200"/>
        <v>6.75</v>
      </c>
      <c r="EB80" s="876">
        <f t="shared" si="160"/>
        <v>5</v>
      </c>
      <c r="EC80" s="877">
        <f t="shared" si="191"/>
        <v>5</v>
      </c>
      <c r="ED80" s="876" t="str">
        <f t="shared" si="161"/>
        <v/>
      </c>
      <c r="EE80" s="876" t="str">
        <f t="shared" si="162"/>
        <v/>
      </c>
      <c r="EF80" s="876" t="str">
        <f t="shared" si="163"/>
        <v/>
      </c>
      <c r="EG80" s="876" t="str">
        <f t="shared" si="164"/>
        <v/>
      </c>
      <c r="EH80" s="876" t="str">
        <f t="shared" si="165"/>
        <v/>
      </c>
      <c r="EI80" s="876" t="str">
        <f t="shared" si="166"/>
        <v/>
      </c>
      <c r="EJ80" s="876" t="str">
        <f t="shared" si="167"/>
        <v/>
      </c>
      <c r="EK80" s="874">
        <f t="shared" si="192"/>
        <v>0</v>
      </c>
      <c r="EL80" s="874">
        <f t="shared" si="193"/>
        <v>0</v>
      </c>
      <c r="EM80" s="874">
        <f t="shared" si="168"/>
        <v>0</v>
      </c>
      <c r="EN80" s="874" t="str">
        <f t="shared" si="169"/>
        <v/>
      </c>
      <c r="EO80" s="873">
        <f t="shared" si="194"/>
        <v>0</v>
      </c>
      <c r="EP80" s="874">
        <f t="shared" si="195"/>
        <v>0</v>
      </c>
      <c r="EQ80" s="874">
        <f t="shared" si="196"/>
        <v>0</v>
      </c>
      <c r="ER80" s="874">
        <f t="shared" si="170"/>
        <v>0</v>
      </c>
      <c r="ES80" s="874" t="str">
        <f t="shared" si="171"/>
        <v/>
      </c>
      <c r="ET80" s="873">
        <f t="shared" si="197"/>
        <v>0</v>
      </c>
      <c r="EU80" s="873">
        <f t="shared" si="172"/>
        <v>0</v>
      </c>
      <c r="EV80" s="876">
        <f t="shared" si="173"/>
        <v>6</v>
      </c>
      <c r="EW80" s="876">
        <f t="shared" si="174"/>
        <v>6</v>
      </c>
      <c r="EX80" s="942" t="e">
        <f t="shared" si="175"/>
        <v>#VALUE!</v>
      </c>
      <c r="EY80" s="879" t="e">
        <f t="shared" si="198"/>
        <v>#VALUE!</v>
      </c>
      <c r="EZ80" s="959" t="e">
        <f t="shared" si="176"/>
        <v>#VALUE!</v>
      </c>
      <c r="FA80" s="960" t="e">
        <f t="shared" si="177"/>
        <v>#VALUE!</v>
      </c>
      <c r="FB80" s="880">
        <f t="shared" si="178"/>
        <v>0</v>
      </c>
      <c r="FC80" s="881">
        <f t="shared" si="179"/>
        <v>0</v>
      </c>
      <c r="FD80" s="512">
        <f t="shared" si="180"/>
        <v>1.75</v>
      </c>
      <c r="FE80" s="513">
        <f t="shared" si="181"/>
        <v>1.75</v>
      </c>
      <c r="FF80" s="754" t="b">
        <f t="shared" si="106"/>
        <v>0</v>
      </c>
      <c r="FG80" s="754" t="b">
        <f t="shared" si="107"/>
        <v>0</v>
      </c>
      <c r="FH80" s="754" t="b">
        <f t="shared" si="108"/>
        <v>0</v>
      </c>
      <c r="FI80" s="917" t="b">
        <f t="shared" si="109"/>
        <v>0</v>
      </c>
      <c r="FJ80" s="920" t="str">
        <f t="shared" si="119"/>
        <v/>
      </c>
      <c r="FK80" s="919" t="str">
        <f t="shared" si="120"/>
        <v>G16</v>
      </c>
      <c r="FL80" s="320">
        <f t="shared" si="121"/>
        <v>595.5</v>
      </c>
      <c r="FM80" s="312" t="str">
        <f t="shared" si="110"/>
        <v/>
      </c>
      <c r="FN80" s="272" t="str">
        <f t="shared" ca="1" si="122"/>
        <v/>
      </c>
      <c r="FO80" s="273" t="str">
        <f t="shared" ca="1" si="123"/>
        <v/>
      </c>
      <c r="FP80" s="274" t="str">
        <f t="shared" ca="1" si="124"/>
        <v/>
      </c>
      <c r="FQ80" s="274" t="str">
        <f t="shared" ca="1" si="125"/>
        <v/>
      </c>
      <c r="FR80" s="321">
        <f t="shared" ca="1" si="126"/>
        <v>0</v>
      </c>
      <c r="FS80" s="322">
        <f t="shared" ca="1" si="127"/>
        <v>0</v>
      </c>
      <c r="FT80" s="272" t="str">
        <f t="shared" ca="1" si="132"/>
        <v/>
      </c>
      <c r="FU80" s="275" t="str">
        <f t="shared" ca="1" si="133"/>
        <v/>
      </c>
      <c r="FV80" s="323" t="str">
        <f t="shared" ca="1" si="134"/>
        <v/>
      </c>
      <c r="FW80" s="276" t="str">
        <f t="shared" ca="1" si="128"/>
        <v/>
      </c>
      <c r="FX80" s="276" t="str">
        <f t="shared" ca="1" si="129"/>
        <v/>
      </c>
      <c r="FY80" s="276" t="str">
        <f t="shared" ca="1" si="135"/>
        <v/>
      </c>
      <c r="FZ80" s="276" t="str">
        <f t="shared" ca="1" si="130"/>
        <v/>
      </c>
      <c r="GA80" s="276" t="str">
        <f t="shared" ca="1" si="136"/>
        <v/>
      </c>
      <c r="GB80" s="277" t="str">
        <f ca="1">IF(FY80="","",2+SUM(FO80:OFFSET(FO80,(FU80-1)*-1,0)))</f>
        <v/>
      </c>
      <c r="GC80" s="316">
        <f t="shared" si="131"/>
        <v>-5.5</v>
      </c>
      <c r="GD80" s="324" t="str">
        <f t="shared" si="111"/>
        <v/>
      </c>
      <c r="GE80" s="325" t="str">
        <f t="shared" si="112"/>
        <v/>
      </c>
      <c r="GF80" s="278" t="str">
        <f t="shared" si="113"/>
        <v/>
      </c>
      <c r="GG80" s="279" t="str">
        <f t="shared" si="114"/>
        <v/>
      </c>
      <c r="GH80" s="279" t="str">
        <f t="shared" si="115"/>
        <v/>
      </c>
      <c r="GI80" s="280" t="str">
        <f t="shared" si="116"/>
        <v/>
      </c>
      <c r="GJ80" s="326">
        <f t="shared" ca="1" si="117"/>
        <v>0</v>
      </c>
      <c r="GK80" s="913" t="str">
        <f t="shared" ca="1" si="118"/>
        <v/>
      </c>
    </row>
    <row r="81" spans="1:238" ht="12.6" hidden="1" customHeight="1" x14ac:dyDescent="0.2">
      <c r="BZ81" s="293"/>
      <c r="CA81" s="293"/>
      <c r="CB81" s="365" t="str">
        <f t="shared" si="137"/>
        <v>G14</v>
      </c>
      <c r="CC81" s="1305" t="str">
        <f>IF(CG41="","",VLOOKUP(CG41,SectInfo!$B:$N,12,FALSE))</f>
        <v>C</v>
      </c>
      <c r="CD81" s="1306">
        <f>IF(ISBLANK(CN41),IF(CG41="","",VLOOKUP(CG41,SectInfo!$B:$N,13,FALSE)),CN41)</f>
        <v>-0.25</v>
      </c>
      <c r="CE81" s="1306" t="str">
        <f>IF(CG41="","",IF(VLOOKUP(CG41,SectInfo!$B:$N,5,FALSE)="","R",UPPER(VLOOKUP(CG41,SectInfo!$B:$N,5,FALSE))))</f>
        <v>R</v>
      </c>
      <c r="CF81" s="1306">
        <f>IF(ISBLANK(CP41),IF(CG41="","",VLOOKUP(CG41,SectInfo!$B:$N,6,FALSE)),CP41)</f>
        <v>7.5</v>
      </c>
      <c r="CG81" s="1306">
        <f>IF(CG41="","",IF(VLOOKUP(CG41,SectInfo!$B:$N,10,FALSE)="","",(VLOOKUP(CG41,SectInfo!$B:$N,10,FALSE)*-1)))</f>
        <v>-7</v>
      </c>
      <c r="CH81" s="1306">
        <f>IF(CG41="","",IF(VLOOKUP(CG41,SectInfo!$B:$N,7,FALSE)="","",(VLOOKUP(CG41,SectInfo!$B:$N,7,FALSE)*-1)))</f>
        <v>-6.5</v>
      </c>
      <c r="CI81" s="1306">
        <f>IF(CG41="","",IF(VLOOKUP(CG41,SectInfo!$B:$N,8,FALSE)="",$FC$4,(VLOOKUP(CG41,SectInfo!$B:$N,8,FALSE))))</f>
        <v>5</v>
      </c>
      <c r="CJ81" s="1306">
        <f>IF(CG41="","",VLOOKUP(CG41,SectInfo!$B:$N,9,FALSE))</f>
        <v>8</v>
      </c>
      <c r="CK81" s="1307">
        <f t="shared" si="138"/>
        <v>0</v>
      </c>
      <c r="CL81" s="1305" t="str">
        <f>IF(CQ41="","",VLOOKUP(CQ41,SectInfo!$B:$N,12,FALSE))</f>
        <v>C</v>
      </c>
      <c r="CM81" s="1306">
        <f>IF(ISBLANK(CX41),IF(CQ41="","",VLOOKUP(CQ41,SectInfo!$B:$N,13,FALSE)),CX41)</f>
        <v>-0.25</v>
      </c>
      <c r="CN81" s="1306" t="str">
        <f>IF(CQ41="","",IF(VLOOKUP(CQ41,SectInfo!$B:$N,5,FALSE)="","R",UPPER(VLOOKUP(CQ41,SectInfo!$B:$N,5,FALSE))))</f>
        <v>R</v>
      </c>
      <c r="CO81" s="1306">
        <f>IF(ISBLANK(CZ41),IF(CQ41="","",VLOOKUP(CQ41,SectInfo!$B:$N,6,FALSE)),CZ41)</f>
        <v>7.5</v>
      </c>
      <c r="CP81" s="1306">
        <f>IF(CQ41="","",IF(VLOOKUP(CQ41,SectInfo!$B:$N,10,FALSE)="","",(VLOOKUP(CQ41,SectInfo!$B:$N,10,FALSE)*-1)))</f>
        <v>-7</v>
      </c>
      <c r="CQ81" s="367">
        <f>IF(CQ41="","",IF(VLOOKUP(CQ41,SectInfo!$B:$N,7,FALSE)="","",(VLOOKUP(CQ41,SectInfo!$B:$N,7,FALSE)*-1)))</f>
        <v>-6.5</v>
      </c>
      <c r="CR81" s="367">
        <f>IF(CQ41="","",IF(VLOOKUP(CQ41,SectInfo!$B:$N,8,FALSE)="",$FC$4,(VLOOKUP(CQ41,SectInfo!$B:$N,8,FALSE))))</f>
        <v>5</v>
      </c>
      <c r="CS81" s="367">
        <f>IF(CQ41="","",VLOOKUP(CQ41,SectInfo!$B:$N,9,FALSE))</f>
        <v>8</v>
      </c>
      <c r="CT81" s="368">
        <f t="shared" si="139"/>
        <v>0</v>
      </c>
      <c r="CU81" s="369">
        <f t="shared" si="140"/>
        <v>0</v>
      </c>
      <c r="CV81" s="274">
        <f t="shared" si="141"/>
        <v>623.5</v>
      </c>
      <c r="CW81" s="274">
        <f t="shared" si="142"/>
        <v>7.5</v>
      </c>
      <c r="CX81" s="873">
        <f t="shared" si="143"/>
        <v>7.5</v>
      </c>
      <c r="CY81" s="874">
        <f t="shared" si="144"/>
        <v>0</v>
      </c>
      <c r="CZ81" s="874">
        <f t="shared" si="145"/>
        <v>8</v>
      </c>
      <c r="DA81" s="874">
        <f t="shared" si="146"/>
        <v>8</v>
      </c>
      <c r="DB81" s="1311">
        <f t="shared" si="182"/>
        <v>7.75</v>
      </c>
      <c r="DC81" s="1311">
        <f t="shared" si="147"/>
        <v>1.75</v>
      </c>
      <c r="DD81" s="1312">
        <f t="shared" si="183"/>
        <v>1.75</v>
      </c>
      <c r="DE81" s="1311">
        <f t="shared" si="148"/>
        <v>0</v>
      </c>
      <c r="DF81" s="1313">
        <f t="shared" si="149"/>
        <v>8</v>
      </c>
      <c r="DG81" s="1313">
        <f t="shared" si="150"/>
        <v>8</v>
      </c>
      <c r="DH81" s="1311">
        <f t="shared" si="184"/>
        <v>7.75</v>
      </c>
      <c r="DI81" s="1311">
        <f t="shared" si="151"/>
        <v>1.75</v>
      </c>
      <c r="DJ81" s="1312">
        <f t="shared" si="185"/>
        <v>1.75</v>
      </c>
      <c r="DK81" s="1311">
        <f t="shared" si="186"/>
        <v>620</v>
      </c>
      <c r="DL81" s="1311">
        <f t="shared" si="187"/>
        <v>-6.5</v>
      </c>
      <c r="DM81" s="1311">
        <f t="shared" si="152"/>
        <v>6.25</v>
      </c>
      <c r="DN81" s="1311">
        <f t="shared" si="153"/>
        <v>6.25</v>
      </c>
      <c r="DO81" s="889">
        <f t="shared" si="154"/>
        <v>6.25</v>
      </c>
      <c r="DP81" s="889">
        <f t="shared" si="155"/>
        <v>6.25</v>
      </c>
      <c r="DQ81" s="1311">
        <f t="shared" si="188"/>
        <v>6.25</v>
      </c>
      <c r="DR81" s="1311">
        <f t="shared" si="188"/>
        <v>6.25</v>
      </c>
      <c r="DS81" s="1311">
        <f t="shared" si="189"/>
        <v>-6.5</v>
      </c>
      <c r="DT81" s="1311">
        <f t="shared" si="156"/>
        <v>6.25</v>
      </c>
      <c r="DU81" s="1311">
        <f t="shared" si="157"/>
        <v>6.25</v>
      </c>
      <c r="DV81" s="889">
        <f t="shared" si="158"/>
        <v>6.25</v>
      </c>
      <c r="DW81" s="889">
        <f t="shared" si="159"/>
        <v>6.25</v>
      </c>
      <c r="DX81" s="873">
        <f t="shared" si="190"/>
        <v>6.25</v>
      </c>
      <c r="DY81" s="873">
        <f t="shared" si="190"/>
        <v>6.25</v>
      </c>
      <c r="DZ81" s="873">
        <f t="shared" si="199"/>
        <v>6.75</v>
      </c>
      <c r="EA81" s="873">
        <f t="shared" si="200"/>
        <v>6.75</v>
      </c>
      <c r="EB81" s="876">
        <f t="shared" si="160"/>
        <v>5</v>
      </c>
      <c r="EC81" s="877">
        <f t="shared" si="191"/>
        <v>5</v>
      </c>
      <c r="ED81" s="876" t="str">
        <f t="shared" si="161"/>
        <v/>
      </c>
      <c r="EE81" s="876" t="str">
        <f t="shared" si="162"/>
        <v/>
      </c>
      <c r="EF81" s="876" t="str">
        <f t="shared" si="163"/>
        <v/>
      </c>
      <c r="EG81" s="876" t="str">
        <f t="shared" si="164"/>
        <v/>
      </c>
      <c r="EH81" s="876" t="str">
        <f t="shared" si="165"/>
        <v/>
      </c>
      <c r="EI81" s="876" t="str">
        <f t="shared" si="166"/>
        <v/>
      </c>
      <c r="EJ81" s="876" t="str">
        <f t="shared" si="167"/>
        <v/>
      </c>
      <c r="EK81" s="874">
        <f t="shared" si="192"/>
        <v>0</v>
      </c>
      <c r="EL81" s="874">
        <f t="shared" si="193"/>
        <v>0</v>
      </c>
      <c r="EM81" s="874">
        <f t="shared" si="168"/>
        <v>0</v>
      </c>
      <c r="EN81" s="874" t="str">
        <f t="shared" si="169"/>
        <v/>
      </c>
      <c r="EO81" s="873">
        <f t="shared" si="194"/>
        <v>0</v>
      </c>
      <c r="EP81" s="874">
        <f t="shared" si="195"/>
        <v>0</v>
      </c>
      <c r="EQ81" s="874">
        <f t="shared" si="196"/>
        <v>0</v>
      </c>
      <c r="ER81" s="874">
        <f t="shared" si="170"/>
        <v>0</v>
      </c>
      <c r="ES81" s="874" t="str">
        <f t="shared" si="171"/>
        <v/>
      </c>
      <c r="ET81" s="873">
        <f t="shared" si="197"/>
        <v>0</v>
      </c>
      <c r="EU81" s="873">
        <f t="shared" si="172"/>
        <v>0</v>
      </c>
      <c r="EV81" s="876">
        <f t="shared" si="173"/>
        <v>6</v>
      </c>
      <c r="EW81" s="876">
        <f t="shared" si="174"/>
        <v>6</v>
      </c>
      <c r="EX81" s="942" t="e">
        <f t="shared" si="175"/>
        <v>#VALUE!</v>
      </c>
      <c r="EY81" s="879" t="e">
        <f t="shared" si="198"/>
        <v>#VALUE!</v>
      </c>
      <c r="EZ81" s="959" t="e">
        <f t="shared" si="176"/>
        <v>#VALUE!</v>
      </c>
      <c r="FA81" s="960" t="e">
        <f t="shared" si="177"/>
        <v>#VALUE!</v>
      </c>
      <c r="FB81" s="880">
        <f t="shared" si="178"/>
        <v>0</v>
      </c>
      <c r="FC81" s="881">
        <f t="shared" si="179"/>
        <v>0</v>
      </c>
      <c r="FD81" s="512">
        <f t="shared" si="180"/>
        <v>1.75</v>
      </c>
      <c r="FE81" s="513">
        <f t="shared" si="181"/>
        <v>1.75</v>
      </c>
      <c r="FF81" s="754" t="b">
        <f t="shared" si="106"/>
        <v>0</v>
      </c>
      <c r="FG81" s="754" t="b">
        <f t="shared" si="107"/>
        <v>0</v>
      </c>
      <c r="FH81" s="754" t="b">
        <f t="shared" si="108"/>
        <v>0</v>
      </c>
      <c r="FI81" s="917" t="b">
        <f t="shared" si="109"/>
        <v>0</v>
      </c>
      <c r="FJ81" s="920" t="str">
        <f t="shared" si="119"/>
        <v/>
      </c>
      <c r="FK81" s="919" t="str">
        <f t="shared" si="120"/>
        <v>G16</v>
      </c>
      <c r="FL81" s="320">
        <f t="shared" si="121"/>
        <v>595.5</v>
      </c>
      <c r="FM81" s="312" t="str">
        <f t="shared" si="110"/>
        <v/>
      </c>
      <c r="FN81" s="272" t="str">
        <f t="shared" ca="1" si="122"/>
        <v/>
      </c>
      <c r="FO81" s="273" t="str">
        <f t="shared" ca="1" si="123"/>
        <v/>
      </c>
      <c r="FP81" s="274" t="str">
        <f t="shared" ca="1" si="124"/>
        <v/>
      </c>
      <c r="FQ81" s="274" t="str">
        <f t="shared" ca="1" si="125"/>
        <v/>
      </c>
      <c r="FR81" s="321">
        <f t="shared" ca="1" si="126"/>
        <v>0</v>
      </c>
      <c r="FS81" s="322">
        <f t="shared" ca="1" si="127"/>
        <v>0</v>
      </c>
      <c r="FT81" s="272" t="str">
        <f t="shared" ca="1" si="132"/>
        <v/>
      </c>
      <c r="FU81" s="275" t="str">
        <f t="shared" ca="1" si="133"/>
        <v/>
      </c>
      <c r="FV81" s="323" t="str">
        <f t="shared" ca="1" si="134"/>
        <v/>
      </c>
      <c r="FW81" s="276" t="str">
        <f t="shared" ca="1" si="128"/>
        <v/>
      </c>
      <c r="FX81" s="276" t="str">
        <f t="shared" ca="1" si="129"/>
        <v/>
      </c>
      <c r="FY81" s="276" t="str">
        <f t="shared" ca="1" si="135"/>
        <v/>
      </c>
      <c r="FZ81" s="276" t="str">
        <f t="shared" ca="1" si="130"/>
        <v/>
      </c>
      <c r="GA81" s="276" t="str">
        <f t="shared" ca="1" si="136"/>
        <v/>
      </c>
      <c r="GB81" s="277" t="str">
        <f ca="1">IF(FY81="","",2+SUM(FO81:OFFSET(FO81,(FU81-1)*-1,0)))</f>
        <v/>
      </c>
      <c r="GC81" s="316">
        <f t="shared" si="131"/>
        <v>-5.5</v>
      </c>
      <c r="GD81" s="324" t="str">
        <f t="shared" si="111"/>
        <v/>
      </c>
      <c r="GE81" s="325" t="str">
        <f t="shared" si="112"/>
        <v/>
      </c>
      <c r="GF81" s="278" t="str">
        <f t="shared" si="113"/>
        <v/>
      </c>
      <c r="GG81" s="279" t="str">
        <f t="shared" si="114"/>
        <v/>
      </c>
      <c r="GH81" s="279" t="str">
        <f t="shared" si="115"/>
        <v/>
      </c>
      <c r="GI81" s="280" t="str">
        <f t="shared" si="116"/>
        <v/>
      </c>
      <c r="GJ81" s="326">
        <f t="shared" ca="1" si="117"/>
        <v>0</v>
      </c>
      <c r="GK81" s="913" t="str">
        <f t="shared" ca="1" si="118"/>
        <v/>
      </c>
    </row>
    <row r="82" spans="1:238" ht="12.6" hidden="1" customHeight="1" x14ac:dyDescent="0.2">
      <c r="BZ82" s="293"/>
      <c r="CA82" s="293"/>
      <c r="CB82" s="365" t="str">
        <f t="shared" si="137"/>
        <v>G15</v>
      </c>
      <c r="CC82" s="1305" t="str">
        <f>IF(CG42="","",VLOOKUP(CG42,SectInfo!$B:$N,12,FALSE))</f>
        <v>C</v>
      </c>
      <c r="CD82" s="1306">
        <f>IF(ISBLANK(CN42),IF(CG42="","",VLOOKUP(CG42,SectInfo!$B:$N,13,FALSE)),CN42)</f>
        <v>-0.25</v>
      </c>
      <c r="CE82" s="1306" t="str">
        <f>IF(CG42="","",IF(VLOOKUP(CG42,SectInfo!$B:$N,5,FALSE)="","R",UPPER(VLOOKUP(CG42,SectInfo!$B:$N,5,FALSE))))</f>
        <v>R</v>
      </c>
      <c r="CF82" s="1306">
        <f>IF(ISBLANK(CP42),IF(CG42="","",VLOOKUP(CG42,SectInfo!$B:$N,6,FALSE)),CP42)</f>
        <v>7.5</v>
      </c>
      <c r="CG82" s="1306">
        <f>IF(CG42="","",IF(VLOOKUP(CG42,SectInfo!$B:$N,10,FALSE)="","",(VLOOKUP(CG42,SectInfo!$B:$N,10,FALSE)*-1)))</f>
        <v>-7</v>
      </c>
      <c r="CH82" s="1306">
        <f>IF(CG42="","",IF(VLOOKUP(CG42,SectInfo!$B:$N,7,FALSE)="","",(VLOOKUP(CG42,SectInfo!$B:$N,7,FALSE)*-1)))</f>
        <v>-6.5</v>
      </c>
      <c r="CI82" s="1306">
        <f>IF(CG42="","",IF(VLOOKUP(CG42,SectInfo!$B:$N,8,FALSE)="",$FC$4,(VLOOKUP(CG42,SectInfo!$B:$N,8,FALSE))))</f>
        <v>5</v>
      </c>
      <c r="CJ82" s="1306">
        <f>IF(CG42="","",VLOOKUP(CG42,SectInfo!$B:$N,9,FALSE))</f>
        <v>8</v>
      </c>
      <c r="CK82" s="1307">
        <f t="shared" si="138"/>
        <v>0</v>
      </c>
      <c r="CL82" s="1305" t="str">
        <f>IF(CQ42="","",VLOOKUP(CQ42,SectInfo!$B:$N,12,FALSE))</f>
        <v>M</v>
      </c>
      <c r="CM82" s="1306">
        <f>IF(ISBLANK(CX42),IF(CQ42="","",VLOOKUP(CQ42,SectInfo!$B:$N,13,FALSE)),CX42)</f>
        <v>-1</v>
      </c>
      <c r="CN82" s="1306" t="str">
        <f>IF(CQ42="","",IF(VLOOKUP(CQ42,SectInfo!$B:$N,5,FALSE)="","R",UPPER(VLOOKUP(CQ42,SectInfo!$B:$N,5,FALSE))))</f>
        <v>R</v>
      </c>
      <c r="CO82" s="1306">
        <f>IF(ISBLANK(CZ42),IF(CQ42="","",VLOOKUP(CQ42,SectInfo!$B:$N,6,FALSE)),CZ42)</f>
        <v>7.5</v>
      </c>
      <c r="CP82" s="1306">
        <f>IF(CQ42="","",IF(VLOOKUP(CQ42,SectInfo!$B:$N,10,FALSE)="","",(VLOOKUP(CQ42,SectInfo!$B:$N,10,FALSE)*-1)))</f>
        <v>-2</v>
      </c>
      <c r="CQ82" s="367">
        <f>IF(CQ42="","",IF(VLOOKUP(CQ42,SectInfo!$B:$N,7,FALSE)="","",(VLOOKUP(CQ42,SectInfo!$B:$N,7,FALSE)*-1)))</f>
        <v>-4.5</v>
      </c>
      <c r="CR82" s="367">
        <f>IF(CQ42="","",IF(VLOOKUP(CQ42,SectInfo!$B:$N,8,FALSE)="",$FC$4,(VLOOKUP(CQ42,SectInfo!$B:$N,8,FALSE))))</f>
        <v>5</v>
      </c>
      <c r="CS82" s="367">
        <f>IF(CQ42="","",VLOOKUP(CQ42,SectInfo!$B:$N,9,FALSE))</f>
        <v>6</v>
      </c>
      <c r="CT82" s="368">
        <f t="shared" si="139"/>
        <v>0</v>
      </c>
      <c r="CU82" s="369">
        <f t="shared" si="140"/>
        <v>0</v>
      </c>
      <c r="CV82" s="274">
        <f t="shared" si="141"/>
        <v>613.75</v>
      </c>
      <c r="CW82" s="274">
        <f t="shared" si="142"/>
        <v>7.5</v>
      </c>
      <c r="CX82" s="873">
        <f t="shared" si="143"/>
        <v>7.5</v>
      </c>
      <c r="CY82" s="874">
        <f t="shared" si="144"/>
        <v>0</v>
      </c>
      <c r="CZ82" s="874">
        <f t="shared" si="145"/>
        <v>8</v>
      </c>
      <c r="DA82" s="874">
        <f t="shared" si="146"/>
        <v>8</v>
      </c>
      <c r="DB82" s="1311">
        <f t="shared" si="182"/>
        <v>7.75</v>
      </c>
      <c r="DC82" s="1311">
        <f t="shared" si="147"/>
        <v>1.75</v>
      </c>
      <c r="DD82" s="1312">
        <f t="shared" si="183"/>
        <v>1.75</v>
      </c>
      <c r="DE82" s="1311">
        <f t="shared" si="148"/>
        <v>0</v>
      </c>
      <c r="DF82" s="1313">
        <f t="shared" si="149"/>
        <v>6</v>
      </c>
      <c r="DG82" s="1313">
        <f t="shared" si="150"/>
        <v>6</v>
      </c>
      <c r="DH82" s="1311">
        <f t="shared" si="184"/>
        <v>5</v>
      </c>
      <c r="DI82" s="1311">
        <f t="shared" si="151"/>
        <v>0</v>
      </c>
      <c r="DJ82" s="1312">
        <f t="shared" si="185"/>
        <v>0</v>
      </c>
      <c r="DK82" s="1311">
        <f t="shared" si="186"/>
        <v>612</v>
      </c>
      <c r="DL82" s="1311">
        <f t="shared" si="187"/>
        <v>-6.5</v>
      </c>
      <c r="DM82" s="1311">
        <f t="shared" si="152"/>
        <v>6.25</v>
      </c>
      <c r="DN82" s="1311">
        <f t="shared" si="153"/>
        <v>6.25</v>
      </c>
      <c r="DO82" s="889">
        <f t="shared" si="154"/>
        <v>6.25</v>
      </c>
      <c r="DP82" s="889">
        <f t="shared" si="155"/>
        <v>6.25</v>
      </c>
      <c r="DQ82" s="1311">
        <f t="shared" si="188"/>
        <v>6.25</v>
      </c>
      <c r="DR82" s="1311">
        <f t="shared" si="188"/>
        <v>6.25</v>
      </c>
      <c r="DS82" s="1311">
        <f t="shared" si="189"/>
        <v>-4.5</v>
      </c>
      <c r="DT82" s="1311">
        <f t="shared" si="156"/>
        <v>3.5</v>
      </c>
      <c r="DU82" s="1311">
        <f t="shared" si="157"/>
        <v>3.5</v>
      </c>
      <c r="DV82" s="889">
        <f t="shared" si="158"/>
        <v>3.5</v>
      </c>
      <c r="DW82" s="889">
        <f t="shared" si="159"/>
        <v>3.5</v>
      </c>
      <c r="DX82" s="873">
        <f t="shared" si="190"/>
        <v>3.5</v>
      </c>
      <c r="DY82" s="873">
        <f t="shared" si="190"/>
        <v>3.5</v>
      </c>
      <c r="DZ82" s="873">
        <f t="shared" si="199"/>
        <v>6.75</v>
      </c>
      <c r="EA82" s="873">
        <f t="shared" si="200"/>
        <v>1</v>
      </c>
      <c r="EB82" s="876">
        <f t="shared" si="160"/>
        <v>5</v>
      </c>
      <c r="EC82" s="877">
        <f t="shared" si="191"/>
        <v>5</v>
      </c>
      <c r="ED82" s="876" t="str">
        <f t="shared" si="161"/>
        <v/>
      </c>
      <c r="EE82" s="876" t="str">
        <f t="shared" si="162"/>
        <v/>
      </c>
      <c r="EF82" s="876" t="str">
        <f t="shared" si="163"/>
        <v/>
      </c>
      <c r="EG82" s="876" t="str">
        <f t="shared" si="164"/>
        <v/>
      </c>
      <c r="EH82" s="876" t="str">
        <f t="shared" si="165"/>
        <v/>
      </c>
      <c r="EI82" s="876" t="str">
        <f t="shared" si="166"/>
        <v/>
      </c>
      <c r="EJ82" s="876" t="str">
        <f t="shared" si="167"/>
        <v/>
      </c>
      <c r="EK82" s="874">
        <f t="shared" si="192"/>
        <v>0</v>
      </c>
      <c r="EL82" s="874">
        <f t="shared" si="193"/>
        <v>0</v>
      </c>
      <c r="EM82" s="874">
        <f t="shared" si="168"/>
        <v>0</v>
      </c>
      <c r="EN82" s="874" t="str">
        <f t="shared" si="169"/>
        <v/>
      </c>
      <c r="EO82" s="873">
        <f t="shared" si="194"/>
        <v>0</v>
      </c>
      <c r="EP82" s="874">
        <f t="shared" si="195"/>
        <v>0</v>
      </c>
      <c r="EQ82" s="874">
        <f t="shared" si="196"/>
        <v>0</v>
      </c>
      <c r="ER82" s="874">
        <f t="shared" si="170"/>
        <v>0</v>
      </c>
      <c r="ES82" s="874" t="str">
        <f t="shared" si="171"/>
        <v/>
      </c>
      <c r="ET82" s="873">
        <f t="shared" si="197"/>
        <v>0</v>
      </c>
      <c r="EU82" s="873">
        <f t="shared" si="172"/>
        <v>0</v>
      </c>
      <c r="EV82" s="876">
        <f t="shared" si="173"/>
        <v>6</v>
      </c>
      <c r="EW82" s="876">
        <f t="shared" si="174"/>
        <v>5</v>
      </c>
      <c r="EX82" s="942" t="e">
        <f t="shared" si="175"/>
        <v>#VALUE!</v>
      </c>
      <c r="EY82" s="879" t="e">
        <f t="shared" si="198"/>
        <v>#VALUE!</v>
      </c>
      <c r="EZ82" s="959" t="e">
        <f t="shared" si="176"/>
        <v>#VALUE!</v>
      </c>
      <c r="FA82" s="960" t="e">
        <f t="shared" si="177"/>
        <v>#VALUE!</v>
      </c>
      <c r="FB82" s="880">
        <f t="shared" si="178"/>
        <v>0</v>
      </c>
      <c r="FC82" s="881">
        <f t="shared" si="179"/>
        <v>0</v>
      </c>
      <c r="FD82" s="512">
        <f t="shared" si="180"/>
        <v>1.75</v>
      </c>
      <c r="FE82" s="513">
        <f t="shared" si="181"/>
        <v>0</v>
      </c>
      <c r="FF82" s="754" t="b">
        <f t="shared" si="106"/>
        <v>0</v>
      </c>
      <c r="FG82" s="754" t="b">
        <f t="shared" si="107"/>
        <v>0</v>
      </c>
      <c r="FH82" s="754" t="b">
        <f t="shared" si="108"/>
        <v>0</v>
      </c>
      <c r="FI82" s="917" t="b">
        <f t="shared" si="109"/>
        <v>0</v>
      </c>
      <c r="FJ82" s="920" t="str">
        <f t="shared" si="119"/>
        <v/>
      </c>
      <c r="FK82" s="919" t="str">
        <f t="shared" si="120"/>
        <v>G16</v>
      </c>
      <c r="FL82" s="320">
        <f t="shared" si="121"/>
        <v>595.5</v>
      </c>
      <c r="FM82" s="312" t="str">
        <f t="shared" si="110"/>
        <v/>
      </c>
      <c r="FN82" s="272" t="str">
        <f t="shared" ca="1" si="122"/>
        <v/>
      </c>
      <c r="FO82" s="273" t="str">
        <f t="shared" ca="1" si="123"/>
        <v/>
      </c>
      <c r="FP82" s="274" t="str">
        <f t="shared" ca="1" si="124"/>
        <v/>
      </c>
      <c r="FQ82" s="274" t="str">
        <f t="shared" ca="1" si="125"/>
        <v/>
      </c>
      <c r="FR82" s="321">
        <f t="shared" ca="1" si="126"/>
        <v>0</v>
      </c>
      <c r="FS82" s="322">
        <f t="shared" ca="1" si="127"/>
        <v>0</v>
      </c>
      <c r="FT82" s="272" t="str">
        <f t="shared" ca="1" si="132"/>
        <v/>
      </c>
      <c r="FU82" s="275" t="str">
        <f t="shared" ca="1" si="133"/>
        <v/>
      </c>
      <c r="FV82" s="323" t="str">
        <f t="shared" ca="1" si="134"/>
        <v/>
      </c>
      <c r="FW82" s="276" t="str">
        <f t="shared" ca="1" si="128"/>
        <v/>
      </c>
      <c r="FX82" s="276" t="str">
        <f t="shared" ca="1" si="129"/>
        <v/>
      </c>
      <c r="FY82" s="276" t="str">
        <f t="shared" ca="1" si="135"/>
        <v/>
      </c>
      <c r="FZ82" s="276" t="str">
        <f t="shared" ca="1" si="130"/>
        <v/>
      </c>
      <c r="GA82" s="276" t="str">
        <f t="shared" ca="1" si="136"/>
        <v/>
      </c>
      <c r="GB82" s="277" t="str">
        <f ca="1">IF(FY82="","",2+SUM(FO82:OFFSET(FO82,(FU82-1)*-1,0)))</f>
        <v/>
      </c>
      <c r="GC82" s="316">
        <f t="shared" si="131"/>
        <v>-5.5</v>
      </c>
      <c r="GD82" s="324" t="str">
        <f t="shared" si="111"/>
        <v/>
      </c>
      <c r="GE82" s="325" t="str">
        <f t="shared" si="112"/>
        <v/>
      </c>
      <c r="GF82" s="278" t="str">
        <f t="shared" si="113"/>
        <v/>
      </c>
      <c r="GG82" s="279" t="str">
        <f t="shared" si="114"/>
        <v/>
      </c>
      <c r="GH82" s="279" t="str">
        <f t="shared" si="115"/>
        <v/>
      </c>
      <c r="GI82" s="280" t="str">
        <f t="shared" si="116"/>
        <v/>
      </c>
      <c r="GJ82" s="326">
        <f t="shared" ca="1" si="117"/>
        <v>0</v>
      </c>
      <c r="GK82" s="913" t="str">
        <f t="shared" ca="1" si="118"/>
        <v/>
      </c>
    </row>
    <row r="83" spans="1:238" ht="12.6" hidden="1" customHeight="1" x14ac:dyDescent="0.2">
      <c r="BZ83" s="293"/>
      <c r="CA83" s="293"/>
      <c r="CB83" s="365" t="str">
        <f t="shared" si="137"/>
        <v>G16</v>
      </c>
      <c r="CC83" s="1305" t="str">
        <f>IF(CG43="","",VLOOKUP(CG43,SectInfo!$B:$N,12,FALSE))</f>
        <v>C</v>
      </c>
      <c r="CD83" s="1306">
        <f>IF(ISBLANK(CN43),IF(CG43="","",VLOOKUP(CG43,SectInfo!$B:$N,13,FALSE)),CN43)</f>
        <v>-5.5</v>
      </c>
      <c r="CE83" s="1306" t="str">
        <f>IF(CG43="","",IF(VLOOKUP(CG43,SectInfo!$B:$N,5,FALSE)="","R",UPPER(VLOOKUP(CG43,SectInfo!$B:$N,5,FALSE))))</f>
        <v>R</v>
      </c>
      <c r="CF83" s="1306">
        <f>IF(ISBLANK(CP43),IF(CG43="","",VLOOKUP(CG43,SectInfo!$B:$N,6,FALSE)),CP43)</f>
        <v>7.5</v>
      </c>
      <c r="CG83" s="1306">
        <f>IF(CG43="","",IF(VLOOKUP(CG43,SectInfo!$B:$N,10,FALSE)="","",(VLOOKUP(CG43,SectInfo!$B:$N,10,FALSE)*-1)))</f>
        <v>-7</v>
      </c>
      <c r="CH83" s="1306">
        <f>IF(CG43="","",IF(VLOOKUP(CG43,SectInfo!$B:$N,7,FALSE)="","",(VLOOKUP(CG43,SectInfo!$B:$N,7,FALSE)*-1)))</f>
        <v>-8.5</v>
      </c>
      <c r="CI83" s="1306">
        <f>IF(CG43="","",IF(VLOOKUP(CG43,SectInfo!$B:$N,8,FALSE)="",$FC$4,(VLOOKUP(CG43,SectInfo!$B:$N,8,FALSE))))</f>
        <v>5</v>
      </c>
      <c r="CJ83" s="1306">
        <f>IF(CG43="","",VLOOKUP(CG43,SectInfo!$B:$N,9,FALSE))</f>
        <v>11</v>
      </c>
      <c r="CK83" s="1307">
        <f t="shared" si="138"/>
        <v>0</v>
      </c>
      <c r="CL83" s="1305" t="str">
        <f>IF(CQ43="","",VLOOKUP(CQ43,SectInfo!$B:$N,12,FALSE))</f>
        <v>M</v>
      </c>
      <c r="CM83" s="1306">
        <f>IF(ISBLANK(CX43),IF(CQ43="","",VLOOKUP(CQ43,SectInfo!$B:$N,13,FALSE)),CX43)</f>
        <v>-1.5</v>
      </c>
      <c r="CN83" s="1306" t="str">
        <f>IF(CQ43="","",IF(VLOOKUP(CQ43,SectInfo!$B:$N,5,FALSE)="","R",UPPER(VLOOKUP(CQ43,SectInfo!$B:$N,5,FALSE))))</f>
        <v>R</v>
      </c>
      <c r="CO83" s="1306">
        <f>IF(ISBLANK(CZ43),IF(CQ43="","",VLOOKUP(CQ43,SectInfo!$B:$N,6,FALSE)),CZ43)</f>
        <v>7.5</v>
      </c>
      <c r="CP83" s="1306">
        <f>IF(CQ43="","",IF(VLOOKUP(CQ43,SectInfo!$B:$N,10,FALSE)="","",(VLOOKUP(CQ43,SectInfo!$B:$N,10,FALSE)*-1)))</f>
        <v>-4.5</v>
      </c>
      <c r="CQ83" s="367" t="str">
        <f>IF(CQ43="","",IF(VLOOKUP(CQ43,SectInfo!$B:$N,7,FALSE)="","",(VLOOKUP(CQ43,SectInfo!$B:$N,7,FALSE)*-1)))</f>
        <v/>
      </c>
      <c r="CR83" s="367">
        <f>IF(CQ43="","",IF(VLOOKUP(CQ43,SectInfo!$B:$N,8,FALSE)="",$FC$4,(VLOOKUP(CQ43,SectInfo!$B:$N,8,FALSE))))</f>
        <v>5</v>
      </c>
      <c r="CS83" s="367">
        <f>IF(CQ43="","",VLOOKUP(CQ43,SectInfo!$B:$N,9,FALSE))</f>
        <v>9.875</v>
      </c>
      <c r="CT83" s="368">
        <f t="shared" si="139"/>
        <v>0</v>
      </c>
      <c r="CU83" s="369">
        <f t="shared" si="140"/>
        <v>0</v>
      </c>
      <c r="CV83" s="274">
        <f t="shared" si="141"/>
        <v>599.5</v>
      </c>
      <c r="CW83" s="274">
        <f t="shared" si="142"/>
        <v>7.5</v>
      </c>
      <c r="CX83" s="873">
        <f t="shared" si="143"/>
        <v>7.5</v>
      </c>
      <c r="CY83" s="874">
        <f t="shared" si="144"/>
        <v>0</v>
      </c>
      <c r="CZ83" s="874">
        <f t="shared" si="145"/>
        <v>11</v>
      </c>
      <c r="DA83" s="874">
        <f t="shared" si="146"/>
        <v>11</v>
      </c>
      <c r="DB83" s="1311">
        <f t="shared" si="182"/>
        <v>5.5</v>
      </c>
      <c r="DC83" s="1311">
        <f t="shared" si="147"/>
        <v>0</v>
      </c>
      <c r="DD83" s="1312">
        <f t="shared" si="183"/>
        <v>0</v>
      </c>
      <c r="DE83" s="1311">
        <f t="shared" si="148"/>
        <v>0.8028514559173916</v>
      </c>
      <c r="DF83" s="1313">
        <f t="shared" si="149"/>
        <v>9.875</v>
      </c>
      <c r="DG83" s="1313">
        <f t="shared" si="150"/>
        <v>9.875</v>
      </c>
      <c r="DH83" s="1311">
        <f t="shared" si="184"/>
        <v>9.9282954706858551</v>
      </c>
      <c r="DI83" s="1311">
        <f t="shared" si="151"/>
        <v>3.9282954706858551</v>
      </c>
      <c r="DJ83" s="1312">
        <f t="shared" si="185"/>
        <v>4</v>
      </c>
      <c r="DK83" s="1311">
        <f t="shared" si="186"/>
        <v>595.5</v>
      </c>
      <c r="DL83" s="1311">
        <f t="shared" si="187"/>
        <v>-8.5</v>
      </c>
      <c r="DM83" s="1311">
        <f t="shared" si="152"/>
        <v>3</v>
      </c>
      <c r="DN83" s="1311">
        <f t="shared" si="153"/>
        <v>3</v>
      </c>
      <c r="DO83" s="889">
        <f t="shared" si="154"/>
        <v>3</v>
      </c>
      <c r="DP83" s="889">
        <f t="shared" si="155"/>
        <v>3</v>
      </c>
      <c r="DQ83" s="1311">
        <f t="shared" si="188"/>
        <v>3</v>
      </c>
      <c r="DR83" s="1311">
        <f t="shared" si="188"/>
        <v>3</v>
      </c>
      <c r="DS83" s="1311" t="str">
        <f t="shared" si="189"/>
        <v/>
      </c>
      <c r="DT83" s="1311" t="str">
        <f t="shared" si="156"/>
        <v/>
      </c>
      <c r="DU83" s="1311" t="str">
        <f t="shared" si="157"/>
        <v/>
      </c>
      <c r="DV83" s="889" t="str">
        <f t="shared" si="158"/>
        <v>ERR</v>
      </c>
      <c r="DW83" s="889" t="str">
        <f t="shared" si="159"/>
        <v>ERR</v>
      </c>
      <c r="DX83" s="873" t="str">
        <f t="shared" si="190"/>
        <v/>
      </c>
      <c r="DY83" s="873" t="str">
        <f t="shared" si="190"/>
        <v/>
      </c>
      <c r="DZ83" s="873">
        <f t="shared" si="199"/>
        <v>1.5</v>
      </c>
      <c r="EA83" s="873">
        <f t="shared" si="200"/>
        <v>3</v>
      </c>
      <c r="EB83" s="876">
        <f t="shared" si="160"/>
        <v>5</v>
      </c>
      <c r="EC83" s="877">
        <f t="shared" si="191"/>
        <v>5</v>
      </c>
      <c r="ED83" s="876" t="str">
        <f t="shared" si="161"/>
        <v/>
      </c>
      <c r="EE83" s="876" t="str">
        <f t="shared" si="162"/>
        <v/>
      </c>
      <c r="EF83" s="876" t="str">
        <f t="shared" si="163"/>
        <v/>
      </c>
      <c r="EG83" s="876" t="str">
        <f t="shared" si="164"/>
        <v/>
      </c>
      <c r="EH83" s="876" t="str">
        <f t="shared" si="165"/>
        <v/>
      </c>
      <c r="EI83" s="876" t="str">
        <f t="shared" si="166"/>
        <v/>
      </c>
      <c r="EJ83" s="876" t="str">
        <f t="shared" si="167"/>
        <v/>
      </c>
      <c r="EK83" s="874">
        <f t="shared" si="192"/>
        <v>0</v>
      </c>
      <c r="EL83" s="874">
        <f t="shared" si="193"/>
        <v>0</v>
      </c>
      <c r="EM83" s="874">
        <f t="shared" si="168"/>
        <v>0</v>
      </c>
      <c r="EN83" s="874" t="str">
        <f t="shared" si="169"/>
        <v/>
      </c>
      <c r="EO83" s="873">
        <f t="shared" si="194"/>
        <v>0</v>
      </c>
      <c r="EP83" s="874">
        <f t="shared" si="195"/>
        <v>0</v>
      </c>
      <c r="EQ83" s="874">
        <f t="shared" si="196"/>
        <v>0</v>
      </c>
      <c r="ER83" s="874">
        <f t="shared" si="170"/>
        <v>0</v>
      </c>
      <c r="ES83" s="874" t="str">
        <f t="shared" si="171"/>
        <v/>
      </c>
      <c r="ET83" s="873">
        <f t="shared" si="197"/>
        <v>0</v>
      </c>
      <c r="EU83" s="873">
        <f t="shared" si="172"/>
        <v>0</v>
      </c>
      <c r="EV83" s="876">
        <f t="shared" si="173"/>
        <v>5.5</v>
      </c>
      <c r="EW83" s="876">
        <f t="shared" si="174"/>
        <v>8.7873253581181938</v>
      </c>
      <c r="EX83" s="942" t="str">
        <f t="shared" si="175"/>
        <v>ERR</v>
      </c>
      <c r="EY83" s="879" t="e">
        <f t="shared" si="198"/>
        <v>#VALUE!</v>
      </c>
      <c r="EZ83" s="959">
        <f t="shared" si="176"/>
        <v>7838.5792857142842</v>
      </c>
      <c r="FA83" s="960">
        <f t="shared" si="177"/>
        <v>6793.43538095238</v>
      </c>
      <c r="FB83" s="880">
        <f t="shared" si="178"/>
        <v>0</v>
      </c>
      <c r="FC83" s="881">
        <f t="shared" si="179"/>
        <v>0</v>
      </c>
      <c r="FD83" s="512">
        <f t="shared" si="180"/>
        <v>0</v>
      </c>
      <c r="FE83" s="513">
        <f t="shared" si="181"/>
        <v>3.9282954706858551</v>
      </c>
      <c r="FF83" s="754" t="b">
        <f t="shared" si="106"/>
        <v>0</v>
      </c>
      <c r="FG83" s="754" t="b">
        <f t="shared" si="107"/>
        <v>0</v>
      </c>
      <c r="FH83" s="754" t="b">
        <f t="shared" si="108"/>
        <v>0</v>
      </c>
      <c r="FI83" s="917" t="b">
        <f t="shared" si="109"/>
        <v>0</v>
      </c>
      <c r="FJ83" s="920" t="str">
        <f t="shared" si="119"/>
        <v/>
      </c>
      <c r="FK83" s="919" t="str">
        <f t="shared" si="120"/>
        <v>G16</v>
      </c>
      <c r="FL83" s="320">
        <f t="shared" si="121"/>
        <v>595.5</v>
      </c>
      <c r="FM83" s="312" t="str">
        <f t="shared" si="110"/>
        <v/>
      </c>
      <c r="FN83" s="272" t="str">
        <f t="shared" ca="1" si="122"/>
        <v/>
      </c>
      <c r="FO83" s="273" t="str">
        <f t="shared" ca="1" si="123"/>
        <v/>
      </c>
      <c r="FP83" s="274" t="str">
        <f t="shared" ca="1" si="124"/>
        <v/>
      </c>
      <c r="FQ83" s="274" t="str">
        <f t="shared" ca="1" si="125"/>
        <v/>
      </c>
      <c r="FR83" s="321">
        <f t="shared" ca="1" si="126"/>
        <v>0</v>
      </c>
      <c r="FS83" s="322">
        <f t="shared" ca="1" si="127"/>
        <v>0</v>
      </c>
      <c r="FT83" s="272" t="str">
        <f t="shared" ca="1" si="132"/>
        <v/>
      </c>
      <c r="FU83" s="275" t="str">
        <f t="shared" ca="1" si="133"/>
        <v/>
      </c>
      <c r="FV83" s="323" t="str">
        <f t="shared" ca="1" si="134"/>
        <v/>
      </c>
      <c r="FW83" s="276" t="str">
        <f t="shared" ca="1" si="128"/>
        <v/>
      </c>
      <c r="FX83" s="276" t="str">
        <f t="shared" ca="1" si="129"/>
        <v/>
      </c>
      <c r="FY83" s="276" t="str">
        <f t="shared" ca="1" si="135"/>
        <v/>
      </c>
      <c r="FZ83" s="276" t="str">
        <f t="shared" ca="1" si="130"/>
        <v/>
      </c>
      <c r="GA83" s="276" t="str">
        <f t="shared" ca="1" si="136"/>
        <v/>
      </c>
      <c r="GB83" s="277" t="str">
        <f ca="1">IF(FY83="","",2+SUM(FO83:OFFSET(FO83,(FU83-1)*-1,0)))</f>
        <v/>
      </c>
      <c r="GC83" s="316">
        <f t="shared" si="131"/>
        <v>-5.5</v>
      </c>
      <c r="GD83" s="324" t="str">
        <f t="shared" si="111"/>
        <v/>
      </c>
      <c r="GE83" s="325" t="str">
        <f t="shared" si="112"/>
        <v/>
      </c>
      <c r="GF83" s="278" t="str">
        <f t="shared" si="113"/>
        <v/>
      </c>
      <c r="GG83" s="279" t="str">
        <f t="shared" si="114"/>
        <v/>
      </c>
      <c r="GH83" s="279" t="str">
        <f t="shared" si="115"/>
        <v/>
      </c>
      <c r="GI83" s="280" t="str">
        <f t="shared" si="116"/>
        <v/>
      </c>
      <c r="GJ83" s="326">
        <f t="shared" ca="1" si="117"/>
        <v>0</v>
      </c>
      <c r="GK83" s="913" t="str">
        <f t="shared" ca="1" si="118"/>
        <v/>
      </c>
    </row>
    <row r="84" spans="1:238" ht="12.6" hidden="1" customHeight="1" x14ac:dyDescent="0.2">
      <c r="BZ84" s="293"/>
      <c r="CA84" s="293"/>
      <c r="CB84" s="365" t="str">
        <f t="shared" si="137"/>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38"/>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39"/>
        <v>0</v>
      </c>
      <c r="CU84" s="369">
        <f t="shared" si="140"/>
        <v>0</v>
      </c>
      <c r="CV84" s="274" t="str">
        <f t="shared" si="141"/>
        <v/>
      </c>
      <c r="CW84" s="274" t="str">
        <f t="shared" si="142"/>
        <v/>
      </c>
      <c r="CX84" s="873" t="str">
        <f t="shared" si="143"/>
        <v/>
      </c>
      <c r="CY84" s="874">
        <f t="shared" si="144"/>
        <v>0</v>
      </c>
      <c r="CZ84" s="874">
        <f t="shared" si="145"/>
        <v>0</v>
      </c>
      <c r="DA84" s="874" t="str">
        <f t="shared" si="146"/>
        <v/>
      </c>
      <c r="DB84" s="1311" t="str">
        <f t="shared" si="182"/>
        <v/>
      </c>
      <c r="DC84" s="1311" t="str">
        <f t="shared" si="147"/>
        <v/>
      </c>
      <c r="DD84" s="1312">
        <f t="shared" si="183"/>
        <v>0</v>
      </c>
      <c r="DE84" s="1311">
        <f t="shared" si="148"/>
        <v>0</v>
      </c>
      <c r="DF84" s="1313">
        <f t="shared" si="149"/>
        <v>0</v>
      </c>
      <c r="DG84" s="1313" t="str">
        <f t="shared" si="150"/>
        <v/>
      </c>
      <c r="DH84" s="1311" t="str">
        <f t="shared" si="184"/>
        <v/>
      </c>
      <c r="DI84" s="1311" t="str">
        <f t="shared" si="151"/>
        <v/>
      </c>
      <c r="DJ84" s="1312">
        <f t="shared" si="185"/>
        <v>0</v>
      </c>
      <c r="DK84" s="1311" t="str">
        <f t="shared" si="186"/>
        <v/>
      </c>
      <c r="DL84" s="1311" t="str">
        <f t="shared" si="187"/>
        <v/>
      </c>
      <c r="DM84" s="1311" t="str">
        <f t="shared" si="152"/>
        <v/>
      </c>
      <c r="DN84" s="1311" t="str">
        <f t="shared" si="153"/>
        <v/>
      </c>
      <c r="DO84" s="889" t="str">
        <f t="shared" si="154"/>
        <v>ERR</v>
      </c>
      <c r="DP84" s="889" t="str">
        <f t="shared" si="155"/>
        <v>ERR</v>
      </c>
      <c r="DQ84" s="1311" t="str">
        <f t="shared" si="188"/>
        <v/>
      </c>
      <c r="DR84" s="1311" t="str">
        <f t="shared" si="188"/>
        <v/>
      </c>
      <c r="DS84" s="1311" t="str">
        <f t="shared" si="189"/>
        <v/>
      </c>
      <c r="DT84" s="1311" t="str">
        <f t="shared" si="156"/>
        <v/>
      </c>
      <c r="DU84" s="1311" t="str">
        <f t="shared" si="157"/>
        <v/>
      </c>
      <c r="DV84" s="889" t="str">
        <f t="shared" si="158"/>
        <v>ERR</v>
      </c>
      <c r="DW84" s="889" t="str">
        <f t="shared" si="159"/>
        <v>ERR</v>
      </c>
      <c r="DX84" s="873" t="str">
        <f t="shared" si="190"/>
        <v/>
      </c>
      <c r="DY84" s="873" t="str">
        <f t="shared" si="190"/>
        <v/>
      </c>
      <c r="DZ84" s="873" t="str">
        <f t="shared" si="199"/>
        <v/>
      </c>
      <c r="EA84" s="873" t="str">
        <f t="shared" si="200"/>
        <v/>
      </c>
      <c r="EB84" s="876" t="str">
        <f t="shared" si="160"/>
        <v/>
      </c>
      <c r="EC84" s="877" t="str">
        <f t="shared" si="191"/>
        <v/>
      </c>
      <c r="ED84" s="876" t="str">
        <f t="shared" si="161"/>
        <v/>
      </c>
      <c r="EE84" s="876" t="str">
        <f t="shared" si="162"/>
        <v/>
      </c>
      <c r="EF84" s="876" t="str">
        <f t="shared" si="163"/>
        <v/>
      </c>
      <c r="EG84" s="876" t="str">
        <f t="shared" si="164"/>
        <v/>
      </c>
      <c r="EH84" s="876" t="str">
        <f t="shared" si="165"/>
        <v/>
      </c>
      <c r="EI84" s="876" t="str">
        <f t="shared" si="166"/>
        <v/>
      </c>
      <c r="EJ84" s="876" t="str">
        <f t="shared" si="167"/>
        <v/>
      </c>
      <c r="EK84" s="874">
        <f t="shared" si="192"/>
        <v>0</v>
      </c>
      <c r="EL84" s="874">
        <f t="shared" si="193"/>
        <v>0</v>
      </c>
      <c r="EM84" s="874">
        <f t="shared" si="168"/>
        <v>0</v>
      </c>
      <c r="EN84" s="874" t="str">
        <f t="shared" si="169"/>
        <v/>
      </c>
      <c r="EO84" s="873" t="str">
        <f t="shared" si="194"/>
        <v/>
      </c>
      <c r="EP84" s="874">
        <f t="shared" si="195"/>
        <v>0</v>
      </c>
      <c r="EQ84" s="874">
        <f t="shared" si="196"/>
        <v>0</v>
      </c>
      <c r="ER84" s="874">
        <f t="shared" si="170"/>
        <v>0</v>
      </c>
      <c r="ES84" s="874" t="str">
        <f t="shared" si="171"/>
        <v/>
      </c>
      <c r="ET84" s="873" t="str">
        <f t="shared" si="197"/>
        <v/>
      </c>
      <c r="EU84" s="873">
        <f t="shared" si="172"/>
        <v>0</v>
      </c>
      <c r="EV84" s="876" t="e">
        <f t="shared" si="173"/>
        <v>#VALUE!</v>
      </c>
      <c r="EW84" s="876" t="e">
        <f t="shared" si="174"/>
        <v>#VALUE!</v>
      </c>
      <c r="EX84" s="942" t="str">
        <f t="shared" si="175"/>
        <v/>
      </c>
      <c r="EY84" s="879" t="e">
        <f t="shared" si="198"/>
        <v>#DIV/0!</v>
      </c>
      <c r="EZ84" s="959" t="e">
        <f t="shared" si="176"/>
        <v>#DIV/0!</v>
      </c>
      <c r="FA84" s="960" t="e">
        <f t="shared" si="177"/>
        <v>#DIV/0!</v>
      </c>
      <c r="FB84" s="880" t="str">
        <f t="shared" si="178"/>
        <v/>
      </c>
      <c r="FC84" s="881" t="str">
        <f t="shared" si="179"/>
        <v/>
      </c>
      <c r="FD84" s="512">
        <f t="shared" si="180"/>
        <v>0</v>
      </c>
      <c r="FE84" s="513">
        <f t="shared" si="181"/>
        <v>0</v>
      </c>
      <c r="FF84" s="754" t="b">
        <f t="shared" si="106"/>
        <v>0</v>
      </c>
      <c r="FG84" s="754" t="b">
        <f t="shared" si="107"/>
        <v>0</v>
      </c>
      <c r="FH84" s="754" t="b">
        <f t="shared" si="108"/>
        <v>0</v>
      </c>
      <c r="FI84" s="917" t="b">
        <f t="shared" si="109"/>
        <v>0</v>
      </c>
      <c r="FJ84" s="920" t="str">
        <f t="shared" si="119"/>
        <v/>
      </c>
      <c r="FK84" s="919" t="str">
        <f t="shared" si="120"/>
        <v>G16</v>
      </c>
      <c r="FL84" s="320">
        <f t="shared" si="121"/>
        <v>595.5</v>
      </c>
      <c r="FM84" s="312" t="str">
        <f t="shared" si="110"/>
        <v/>
      </c>
      <c r="FN84" s="272" t="str">
        <f t="shared" ca="1" si="122"/>
        <v/>
      </c>
      <c r="FO84" s="273" t="str">
        <f t="shared" ca="1" si="123"/>
        <v/>
      </c>
      <c r="FP84" s="274" t="str">
        <f t="shared" ca="1" si="124"/>
        <v/>
      </c>
      <c r="FQ84" s="274" t="str">
        <f t="shared" ca="1" si="125"/>
        <v/>
      </c>
      <c r="FR84" s="321">
        <f t="shared" ca="1" si="126"/>
        <v>0</v>
      </c>
      <c r="FS84" s="322">
        <f t="shared" ca="1" si="127"/>
        <v>0</v>
      </c>
      <c r="FT84" s="272" t="str">
        <f t="shared" ca="1" si="132"/>
        <v/>
      </c>
      <c r="FU84" s="275" t="str">
        <f t="shared" ca="1" si="133"/>
        <v/>
      </c>
      <c r="FV84" s="323" t="str">
        <f t="shared" ca="1" si="134"/>
        <v/>
      </c>
      <c r="FW84" s="276" t="str">
        <f t="shared" ca="1" si="128"/>
        <v/>
      </c>
      <c r="FX84" s="276" t="str">
        <f t="shared" ca="1" si="129"/>
        <v/>
      </c>
      <c r="FY84" s="276" t="str">
        <f t="shared" ca="1" si="135"/>
        <v/>
      </c>
      <c r="FZ84" s="276" t="str">
        <f t="shared" ca="1" si="130"/>
        <v/>
      </c>
      <c r="GA84" s="276" t="str">
        <f t="shared" ca="1" si="136"/>
        <v/>
      </c>
      <c r="GB84" s="277" t="str">
        <f ca="1">IF(FY84="","",2+SUM(FO84:OFFSET(FO84,(FU84-1)*-1,0)))</f>
        <v/>
      </c>
      <c r="GC84" s="316">
        <f t="shared" si="131"/>
        <v>-5.5</v>
      </c>
      <c r="GD84" s="324" t="str">
        <f t="shared" si="111"/>
        <v/>
      </c>
      <c r="GE84" s="325" t="str">
        <f t="shared" si="112"/>
        <v/>
      </c>
      <c r="GF84" s="278" t="str">
        <f t="shared" si="113"/>
        <v/>
      </c>
      <c r="GG84" s="279" t="str">
        <f t="shared" si="114"/>
        <v/>
      </c>
      <c r="GH84" s="279" t="str">
        <f t="shared" si="115"/>
        <v/>
      </c>
      <c r="GI84" s="280" t="str">
        <f t="shared" si="116"/>
        <v/>
      </c>
      <c r="GJ84" s="326">
        <f t="shared" ca="1" si="117"/>
        <v>0</v>
      </c>
      <c r="GK84" s="913" t="str">
        <f t="shared" ca="1" si="118"/>
        <v/>
      </c>
    </row>
    <row r="85" spans="1:238" ht="12.6" hidden="1" customHeight="1" thickBot="1" x14ac:dyDescent="0.25">
      <c r="BZ85" s="293"/>
      <c r="CA85" s="293"/>
      <c r="CB85" s="636" t="str">
        <f t="shared" si="137"/>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38"/>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39"/>
        <v>0</v>
      </c>
      <c r="CU85" s="639">
        <f t="shared" si="140"/>
        <v>0</v>
      </c>
      <c r="CV85" s="283" t="str">
        <f t="shared" si="141"/>
        <v/>
      </c>
      <c r="CW85" s="283" t="str">
        <f t="shared" si="142"/>
        <v/>
      </c>
      <c r="CX85" s="882" t="str">
        <f t="shared" si="143"/>
        <v/>
      </c>
      <c r="CY85" s="883">
        <f t="shared" si="144"/>
        <v>0</v>
      </c>
      <c r="CZ85" s="883">
        <f t="shared" si="145"/>
        <v>0</v>
      </c>
      <c r="DA85" s="883" t="str">
        <f t="shared" si="146"/>
        <v/>
      </c>
      <c r="DB85" s="1314" t="str">
        <f t="shared" si="182"/>
        <v/>
      </c>
      <c r="DC85" s="1314" t="str">
        <f t="shared" si="147"/>
        <v/>
      </c>
      <c r="DD85" s="1315">
        <f t="shared" si="183"/>
        <v>0</v>
      </c>
      <c r="DE85" s="1314">
        <f t="shared" si="148"/>
        <v>0</v>
      </c>
      <c r="DF85" s="1316">
        <f t="shared" si="149"/>
        <v>0</v>
      </c>
      <c r="DG85" s="1316" t="str">
        <f t="shared" si="150"/>
        <v/>
      </c>
      <c r="DH85" s="1314" t="str">
        <f t="shared" si="184"/>
        <v/>
      </c>
      <c r="DI85" s="1314" t="str">
        <f t="shared" si="151"/>
        <v/>
      </c>
      <c r="DJ85" s="1315">
        <f t="shared" si="185"/>
        <v>0</v>
      </c>
      <c r="DK85" s="1314" t="str">
        <f t="shared" si="186"/>
        <v/>
      </c>
      <c r="DL85" s="1314" t="str">
        <f t="shared" si="187"/>
        <v/>
      </c>
      <c r="DM85" s="1314" t="str">
        <f t="shared" si="152"/>
        <v/>
      </c>
      <c r="DN85" s="1314" t="str">
        <f t="shared" si="153"/>
        <v/>
      </c>
      <c r="DO85" s="891" t="str">
        <f t="shared" si="154"/>
        <v>ERR</v>
      </c>
      <c r="DP85" s="891" t="str">
        <f t="shared" si="155"/>
        <v>ERR</v>
      </c>
      <c r="DQ85" s="1314" t="str">
        <f t="shared" si="188"/>
        <v/>
      </c>
      <c r="DR85" s="1314" t="str">
        <f t="shared" si="188"/>
        <v/>
      </c>
      <c r="DS85" s="1314" t="str">
        <f t="shared" si="189"/>
        <v/>
      </c>
      <c r="DT85" s="1314" t="str">
        <f t="shared" si="156"/>
        <v/>
      </c>
      <c r="DU85" s="1314" t="str">
        <f t="shared" si="157"/>
        <v/>
      </c>
      <c r="DV85" s="891" t="str">
        <f t="shared" si="158"/>
        <v>ERR</v>
      </c>
      <c r="DW85" s="891" t="str">
        <f t="shared" si="159"/>
        <v>ERR</v>
      </c>
      <c r="DX85" s="882" t="str">
        <f t="shared" si="190"/>
        <v/>
      </c>
      <c r="DY85" s="882" t="str">
        <f t="shared" si="190"/>
        <v/>
      </c>
      <c r="DZ85" s="882" t="str">
        <f t="shared" si="199"/>
        <v/>
      </c>
      <c r="EA85" s="882" t="str">
        <f t="shared" si="200"/>
        <v/>
      </c>
      <c r="EB85" s="884" t="str">
        <f t="shared" si="160"/>
        <v/>
      </c>
      <c r="EC85" s="885" t="str">
        <f t="shared" si="191"/>
        <v/>
      </c>
      <c r="ED85" s="884" t="str">
        <f t="shared" si="161"/>
        <v/>
      </c>
      <c r="EE85" s="884" t="str">
        <f t="shared" si="162"/>
        <v/>
      </c>
      <c r="EF85" s="884" t="str">
        <f t="shared" si="163"/>
        <v/>
      </c>
      <c r="EG85" s="884" t="str">
        <f t="shared" si="164"/>
        <v/>
      </c>
      <c r="EH85" s="884" t="str">
        <f t="shared" si="165"/>
        <v/>
      </c>
      <c r="EI85" s="884" t="str">
        <f t="shared" si="166"/>
        <v/>
      </c>
      <c r="EJ85" s="884" t="str">
        <f t="shared" si="167"/>
        <v/>
      </c>
      <c r="EK85" s="883">
        <f t="shared" si="192"/>
        <v>0</v>
      </c>
      <c r="EL85" s="883">
        <f t="shared" si="193"/>
        <v>0</v>
      </c>
      <c r="EM85" s="883">
        <f t="shared" si="168"/>
        <v>0</v>
      </c>
      <c r="EN85" s="883" t="str">
        <f t="shared" si="169"/>
        <v/>
      </c>
      <c r="EO85" s="882" t="str">
        <f t="shared" si="194"/>
        <v/>
      </c>
      <c r="EP85" s="883">
        <f t="shared" si="195"/>
        <v>0</v>
      </c>
      <c r="EQ85" s="883">
        <f t="shared" si="196"/>
        <v>0</v>
      </c>
      <c r="ER85" s="883">
        <f t="shared" si="170"/>
        <v>0</v>
      </c>
      <c r="ES85" s="883" t="str">
        <f t="shared" si="171"/>
        <v/>
      </c>
      <c r="ET85" s="882" t="str">
        <f t="shared" si="197"/>
        <v/>
      </c>
      <c r="EU85" s="882">
        <f t="shared" si="172"/>
        <v>0</v>
      </c>
      <c r="EV85" s="884" t="e">
        <f t="shared" si="173"/>
        <v>#VALUE!</v>
      </c>
      <c r="EW85" s="884" t="e">
        <f t="shared" si="174"/>
        <v>#VALUE!</v>
      </c>
      <c r="EX85" s="943" t="str">
        <f t="shared" si="175"/>
        <v/>
      </c>
      <c r="EY85" s="886" t="e">
        <f t="shared" si="198"/>
        <v>#DIV/0!</v>
      </c>
      <c r="EZ85" s="961" t="e">
        <f t="shared" si="176"/>
        <v>#DIV/0!</v>
      </c>
      <c r="FA85" s="962" t="e">
        <f t="shared" si="177"/>
        <v>#DIV/0!</v>
      </c>
      <c r="FB85" s="887" t="str">
        <f t="shared" si="178"/>
        <v/>
      </c>
      <c r="FC85" s="888" t="str">
        <f t="shared" si="179"/>
        <v/>
      </c>
      <c r="FD85" s="514">
        <f t="shared" si="180"/>
        <v>0</v>
      </c>
      <c r="FE85" s="515">
        <f t="shared" si="181"/>
        <v>0</v>
      </c>
      <c r="FF85" s="754" t="b">
        <f t="shared" si="106"/>
        <v>0</v>
      </c>
      <c r="FG85" s="754" t="b">
        <f t="shared" si="107"/>
        <v>0</v>
      </c>
      <c r="FH85" s="754" t="b">
        <f t="shared" si="108"/>
        <v>0</v>
      </c>
      <c r="FI85" s="917" t="b">
        <f t="shared" si="109"/>
        <v>0</v>
      </c>
      <c r="FJ85" s="920" t="str">
        <f t="shared" si="119"/>
        <v/>
      </c>
      <c r="FK85" s="919" t="str">
        <f t="shared" si="120"/>
        <v>G16</v>
      </c>
      <c r="FL85" s="327">
        <f t="shared" si="121"/>
        <v>595.5</v>
      </c>
      <c r="FM85" s="328" t="str">
        <f t="shared" si="110"/>
        <v/>
      </c>
      <c r="FN85" s="281" t="str">
        <f t="shared" ca="1" si="122"/>
        <v/>
      </c>
      <c r="FO85" s="282" t="str">
        <f t="shared" ca="1" si="123"/>
        <v/>
      </c>
      <c r="FP85" s="283" t="str">
        <f t="shared" ca="1" si="124"/>
        <v/>
      </c>
      <c r="FQ85" s="283" t="str">
        <f t="shared" ca="1" si="125"/>
        <v/>
      </c>
      <c r="FR85" s="329">
        <f t="shared" ca="1" si="126"/>
        <v>0</v>
      </c>
      <c r="FS85" s="330">
        <f t="shared" ca="1" si="127"/>
        <v>0</v>
      </c>
      <c r="FT85" s="281" t="str">
        <f t="shared" ca="1" si="132"/>
        <v/>
      </c>
      <c r="FU85" s="284" t="str">
        <f t="shared" ca="1" si="133"/>
        <v/>
      </c>
      <c r="FV85" s="331" t="str">
        <f t="shared" ca="1" si="134"/>
        <v/>
      </c>
      <c r="FW85" s="285" t="str">
        <f t="shared" ca="1" si="128"/>
        <v/>
      </c>
      <c r="FX85" s="285" t="str">
        <f t="shared" ca="1" si="129"/>
        <v/>
      </c>
      <c r="FY85" s="285" t="str">
        <f t="shared" ca="1" si="135"/>
        <v/>
      </c>
      <c r="FZ85" s="285" t="str">
        <f t="shared" ca="1" si="130"/>
        <v/>
      </c>
      <c r="GA85" s="285" t="str">
        <f t="shared" ca="1" si="136"/>
        <v/>
      </c>
      <c r="GB85" s="286" t="str">
        <f ca="1">IF(FY85="","",2+SUM(FO85:OFFSET(FO85,(FU85-1)*-1,0)))</f>
        <v/>
      </c>
      <c r="GC85" s="332">
        <f t="shared" si="131"/>
        <v>-5.5</v>
      </c>
      <c r="GD85" s="333" t="str">
        <f t="shared" si="111"/>
        <v/>
      </c>
      <c r="GE85" s="334" t="str">
        <f t="shared" si="112"/>
        <v/>
      </c>
      <c r="GF85" s="287" t="str">
        <f t="shared" si="113"/>
        <v/>
      </c>
      <c r="GG85" s="288" t="str">
        <f t="shared" si="114"/>
        <v/>
      </c>
      <c r="GH85" s="288" t="str">
        <f t="shared" si="115"/>
        <v/>
      </c>
      <c r="GI85" s="289" t="str">
        <f t="shared" si="116"/>
        <v/>
      </c>
      <c r="GJ85" s="335">
        <f ca="1">IF(FY85="",FM46,(FY85-(FQ85+VLOOKUP(FK85,$CB$54:$EU$85,12,FALSE)-VLOOKUP(FK85,$CB$54:$EU$85,34,FALSE))/COS(VLOOKUP(FK85,$CB$54:$EU$85,72,FALSE)))/2)</f>
        <v>0</v>
      </c>
      <c r="GK85" s="914" t="str">
        <f t="shared" ca="1" si="118"/>
        <v/>
      </c>
    </row>
    <row r="86" spans="1:238" ht="12.6" hidden="1" customHeight="1" x14ac:dyDescent="0.2">
      <c r="Z86" s="1141"/>
      <c r="AA86" s="1141"/>
      <c r="AB86" s="1141"/>
    </row>
    <row r="87" spans="1:238" ht="12.6" hidden="1" customHeight="1" x14ac:dyDescent="0.25">
      <c r="A87" s="1215" t="str">
        <f>IF(ISBLANK(CB87),"",CB87)</f>
        <v/>
      </c>
      <c r="B87" s="1679" t="str">
        <f t="shared" ref="B87" si="201">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algorithmName="SHA-512" hashValue="ZdZvJJWuDvgkuDZwL6wanZqhPkOsLUYMxmT7h4MMDEDr8OiN13LuOMsqXGsAH8wqfluQgWUwWfNE4GHheKyAOw==" saltValue="AeMFJH6nbG6NZNqB5k7fhw==" spinCount="100000" sheet="1" objects="1" scenarios="1" selectLockedCells="1"/>
  <mergeCells count="392">
    <mergeCell ref="GA52:GA53"/>
    <mergeCell ref="GB52:GB53"/>
    <mergeCell ref="GC52:GC53"/>
    <mergeCell ref="GJ52:GJ53"/>
    <mergeCell ref="FU52:FU53"/>
    <mergeCell ref="FV52:FV53"/>
    <mergeCell ref="FW52:FW53"/>
    <mergeCell ref="FX52:FX53"/>
    <mergeCell ref="FY52:FY53"/>
    <mergeCell ref="FZ52:FZ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IN12:IN13"/>
    <mergeCell ref="IO12:IO13"/>
    <mergeCell ref="IP12:IP13"/>
    <mergeCell ref="IQ12:IQ13"/>
    <mergeCell ref="IR12:IR13"/>
    <mergeCell ref="IS12:IS13"/>
    <mergeCell ref="IH12:IH13"/>
    <mergeCell ref="II12:II13"/>
    <mergeCell ref="IJ12:IJ13"/>
    <mergeCell ref="IK12:IK13"/>
    <mergeCell ref="IL12:IL13"/>
    <mergeCell ref="IM12:IM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755" priority="38">
      <formula>AND(NOT($BK28),NOT($BR28))</formula>
    </cfRule>
  </conditionalFormatting>
  <conditionalFormatting sqref="DM54:DM85 DT54:DT85">
    <cfRule type="cellIs" dxfId="754" priority="39" stopIfTrue="1" operator="notEqual">
      <formula>DN54</formula>
    </cfRule>
  </conditionalFormatting>
  <conditionalFormatting sqref="DD28:DD45">
    <cfRule type="cellIs" dxfId="753" priority="40" operator="greaterThan">
      <formula>EY68</formula>
    </cfRule>
    <cfRule type="expression" dxfId="752" priority="41">
      <formula>AND(ISBLANK(DD28),EY68&gt;0)</formula>
    </cfRule>
  </conditionalFormatting>
  <conditionalFormatting sqref="DE28:DE45">
    <cfRule type="cellIs" dxfId="751" priority="42" operator="lessThan">
      <formula>EX68</formula>
    </cfRule>
    <cfRule type="expression" dxfId="750" priority="43">
      <formula>AND(ISBLANK(DE28),EX68&lt;&gt;"")</formula>
    </cfRule>
  </conditionalFormatting>
  <conditionalFormatting sqref="A28:B45">
    <cfRule type="expression" dxfId="749" priority="44">
      <formula>AND(NOT($BK$1),$B28=0,OR($BJ$1="",$BJ$1="M"))</formula>
    </cfRule>
  </conditionalFormatting>
  <conditionalFormatting sqref="FQ54:FR85">
    <cfRule type="cellIs" dxfId="748" priority="49" stopIfTrue="1" operator="lessThan">
      <formula>0</formula>
    </cfRule>
  </conditionalFormatting>
  <conditionalFormatting sqref="DI14">
    <cfRule type="expression" dxfId="747" priority="45">
      <formula>UPPER(#REF!)="X"</formula>
    </cfRule>
  </conditionalFormatting>
  <conditionalFormatting sqref="DJ14">
    <cfRule type="expression" dxfId="746" priority="46">
      <formula>OR(UPPER(#REF!)="X",UPPER(#REF!="X"))</formula>
    </cfRule>
  </conditionalFormatting>
  <conditionalFormatting sqref="DK14">
    <cfRule type="expression" dxfId="745" priority="47">
      <formula>OR(UPPER(#REF!)="X",UPPER(#REF!="X"))</formula>
    </cfRule>
  </conditionalFormatting>
  <conditionalFormatting sqref="Q2:T4 AU2:AX4">
    <cfRule type="cellIs" dxfId="744" priority="53" stopIfTrue="1" operator="equal">
      <formula>""</formula>
    </cfRule>
  </conditionalFormatting>
  <conditionalFormatting sqref="M7">
    <cfRule type="expression" dxfId="743" priority="54" stopIfTrue="1">
      <formula>OR(ISBLANK($M$7),$M$7="")</formula>
    </cfRule>
    <cfRule type="expression" dxfId="742" priority="55" stopIfTrue="1">
      <formula>NOT(OR(COUNTIF(masterFinishList, $M$7) &gt; 0, COUNTIF($M$7, "Other:*") &gt; 0))</formula>
    </cfRule>
  </conditionalFormatting>
  <conditionalFormatting sqref="DA20">
    <cfRule type="expression" dxfId="741" priority="56" stopIfTrue="1">
      <formula>NOT(ISBLANK($DA$20))</formula>
    </cfRule>
  </conditionalFormatting>
  <conditionalFormatting sqref="C28:C45">
    <cfRule type="expression" dxfId="740" priority="35">
      <formula>AND(NOT($BK28),NOT(BR28))</formula>
    </cfRule>
  </conditionalFormatting>
  <conditionalFormatting sqref="U28:U45">
    <cfRule type="expression" dxfId="739" priority="36">
      <formula>AND(NOT($BK28),BV28="No")</formula>
    </cfRule>
  </conditionalFormatting>
  <conditionalFormatting sqref="V28:V45">
    <cfRule type="expression" dxfId="738" priority="37">
      <formula>AND(NOT($BK28),BV28="No")</formula>
    </cfRule>
  </conditionalFormatting>
  <conditionalFormatting sqref="S28:S45">
    <cfRule type="expression" dxfId="737" priority="33">
      <formula>AND(NOT($BK28),BT28="No")</formula>
    </cfRule>
  </conditionalFormatting>
  <conditionalFormatting sqref="T28:T45">
    <cfRule type="expression" dxfId="736" priority="34">
      <formula>AND(NOT($BK28),BT28="No")</formula>
    </cfRule>
  </conditionalFormatting>
  <conditionalFormatting sqref="W28:W45">
    <cfRule type="expression" dxfId="735" priority="26">
      <formula>$W28=0</formula>
    </cfRule>
  </conditionalFormatting>
  <conditionalFormatting sqref="DI15:DI45">
    <cfRule type="expression" dxfId="734" priority="48">
      <formula>FM54="X"</formula>
    </cfRule>
  </conditionalFormatting>
  <conditionalFormatting sqref="DJ15:DJ45">
    <cfRule type="expression" dxfId="733" priority="50">
      <formula>FM54="X"</formula>
    </cfRule>
  </conditionalFormatting>
  <conditionalFormatting sqref="DK15:DK45">
    <cfRule type="expression" dxfId="732" priority="51">
      <formula>FM54="X"</formula>
    </cfRule>
  </conditionalFormatting>
  <conditionalFormatting sqref="DH14:DH45">
    <cfRule type="expression" dxfId="731" priority="12">
      <formula>NOT($FQ14)</formula>
    </cfRule>
    <cfRule type="expression" dxfId="730" priority="52">
      <formula>FJ54="G"</formula>
    </cfRule>
  </conditionalFormatting>
  <conditionalFormatting sqref="DT14:DU45">
    <cfRule type="expression" dxfId="729" priority="57">
      <formula>GD54=0</formula>
    </cfRule>
  </conditionalFormatting>
  <conditionalFormatting sqref="AR87:AS87 AR14:AS45">
    <cfRule type="expression" dxfId="728" priority="58">
      <formula>AND(NOT($BZ14),$FF54)</formula>
    </cfRule>
  </conditionalFormatting>
  <conditionalFormatting sqref="AV87:AW87 AV14:AW45">
    <cfRule type="expression" dxfId="727" priority="59">
      <formula>AND(NOT($BZ14),$FG54)</formula>
    </cfRule>
  </conditionalFormatting>
  <conditionalFormatting sqref="AZ87:BA87 AZ14:BA45">
    <cfRule type="expression" dxfId="726" priority="60">
      <formula>AND(NOT($BZ14),$FH54)</formula>
    </cfRule>
  </conditionalFormatting>
  <conditionalFormatting sqref="BD87:BE87 BD14:BE45">
    <cfRule type="expression" dxfId="725" priority="61">
      <formula>AND(NOT($BZ14),$FI54)</formula>
    </cfRule>
  </conditionalFormatting>
  <conditionalFormatting sqref="DW14:DW45">
    <cfRule type="expression" dxfId="724" priority="62">
      <formula>FF54</formula>
    </cfRule>
  </conditionalFormatting>
  <conditionalFormatting sqref="EA14:EA45">
    <cfRule type="expression" dxfId="723" priority="63">
      <formula>FG54</formula>
    </cfRule>
  </conditionalFormatting>
  <conditionalFormatting sqref="EE14:EE45">
    <cfRule type="expression" dxfId="722" priority="64">
      <formula>FH54</formula>
    </cfRule>
  </conditionalFormatting>
  <conditionalFormatting sqref="EI14:EI45">
    <cfRule type="expression" dxfId="721" priority="65">
      <formula>FI54</formula>
    </cfRule>
  </conditionalFormatting>
  <conditionalFormatting sqref="AD87:AE87 DJ14:DK45 AD14:AE45">
    <cfRule type="expression" dxfId="720" priority="66">
      <formula>AND(NOT($BZ14),FIND("A",$GK54))</formula>
    </cfRule>
  </conditionalFormatting>
  <conditionalFormatting sqref="AI87:AJ87 DM14:DN45 AI14:AJ45">
    <cfRule type="expression" dxfId="719" priority="67">
      <formula>AND(NOT($BZ14),FIND("B",$GK54))</formula>
    </cfRule>
  </conditionalFormatting>
  <conditionalFormatting sqref="DL14:DL45">
    <cfRule type="expression" dxfId="718" priority="4">
      <formula>AND(NOT(ISBLANK($DH14)),ISBLANK($DL14))</formula>
    </cfRule>
    <cfRule type="expression" dxfId="717" priority="31">
      <formula>FIND("B",$GK54)</formula>
    </cfRule>
  </conditionalFormatting>
  <conditionalFormatting sqref="DI14:DI45">
    <cfRule type="expression" dxfId="716" priority="68">
      <formula>NOT($EY14)</formula>
    </cfRule>
  </conditionalFormatting>
  <conditionalFormatting sqref="AC14:AC45">
    <cfRule type="expression" dxfId="715" priority="69">
      <formula>AND(NOT($BZ14),NOT($EY14))</formula>
    </cfRule>
  </conditionalFormatting>
  <conditionalFormatting sqref="AM14:AM45">
    <cfRule type="expression" dxfId="714" priority="30">
      <formula>AND(NOT($BZ14),AM14&lt;&gt;EZ14)</formula>
    </cfRule>
  </conditionalFormatting>
  <conditionalFormatting sqref="DQ14:DQ45">
    <cfRule type="expression" dxfId="713" priority="29">
      <formula>DQ14&lt;&gt;EZ14</formula>
    </cfRule>
  </conditionalFormatting>
  <conditionalFormatting sqref="DB28:DC45">
    <cfRule type="expression" dxfId="712" priority="28">
      <formula>AND(NOT($BK28),LEN($Z28)&gt;27)</formula>
    </cfRule>
  </conditionalFormatting>
  <conditionalFormatting sqref="FF14:FF45">
    <cfRule type="expression" dxfId="711" priority="32">
      <formula>$FC14=0</formula>
    </cfRule>
  </conditionalFormatting>
  <conditionalFormatting sqref="AD14:AJ45">
    <cfRule type="expression" dxfId="710" priority="27">
      <formula>AND(NOT($BZ14),NOT($FA14))</formula>
    </cfRule>
  </conditionalFormatting>
  <conditionalFormatting sqref="A87">
    <cfRule type="expression" dxfId="709" priority="24" stopIfTrue="1">
      <formula>AND(NOT($BK$1),$B87=0,OR($BJ$1="",$BJ$1="M"))</formula>
    </cfRule>
  </conditionalFormatting>
  <conditionalFormatting sqref="C87">
    <cfRule type="expression" dxfId="708" priority="21" stopIfTrue="1">
      <formula>AND(NOT($BK87),NOT(BR87))</formula>
    </cfRule>
  </conditionalFormatting>
  <conditionalFormatting sqref="U87">
    <cfRule type="expression" dxfId="707" priority="22" stopIfTrue="1">
      <formula>AND(NOT($BK87),BV87="No")</formula>
    </cfRule>
  </conditionalFormatting>
  <conditionalFormatting sqref="V87">
    <cfRule type="expression" dxfId="706" priority="23" stopIfTrue="1">
      <formula>AND(NOT($BK87),BV87="No")</formula>
    </cfRule>
  </conditionalFormatting>
  <conditionalFormatting sqref="S87">
    <cfRule type="expression" dxfId="705" priority="19" stopIfTrue="1">
      <formula>AND(NOT($BK87),BT87="No")</formula>
    </cfRule>
  </conditionalFormatting>
  <conditionalFormatting sqref="T87">
    <cfRule type="expression" dxfId="704" priority="20" stopIfTrue="1">
      <formula>AND(NOT($BK87),BT87="No")</formula>
    </cfRule>
  </conditionalFormatting>
  <conditionalFormatting sqref="W87">
    <cfRule type="expression" dxfId="703" priority="13">
      <formula>$W87=0</formula>
    </cfRule>
  </conditionalFormatting>
  <conditionalFormatting sqref="AC87">
    <cfRule type="expression" dxfId="702" priority="25">
      <formula>AND(NOT($BZ87),NOT($EY87))</formula>
    </cfRule>
  </conditionalFormatting>
  <conditionalFormatting sqref="AM87">
    <cfRule type="expression" dxfId="701" priority="18">
      <formula>AND(NOT($BZ87),AM87&lt;&gt;EZ87)</formula>
    </cfRule>
  </conditionalFormatting>
  <conditionalFormatting sqref="AD87:AJ87">
    <cfRule type="expression" dxfId="700" priority="17">
      <formula>AND(NOT($BZ87),NOT($FA87))</formula>
    </cfRule>
  </conditionalFormatting>
  <conditionalFormatting sqref="A87 CB28:DA45 C87:AA87">
    <cfRule type="expression" dxfId="699" priority="14">
      <formula>$FN28</formula>
    </cfRule>
  </conditionalFormatting>
  <conditionalFormatting sqref="AB87:BG87">
    <cfRule type="expression" dxfId="698" priority="16">
      <formula>$CA87</formula>
    </cfRule>
  </conditionalFormatting>
  <conditionalFormatting sqref="Z87">
    <cfRule type="expression" dxfId="697" priority="15">
      <formula>AND(NOT($BK87),LEN($Z87)&gt;27)</formula>
    </cfRule>
  </conditionalFormatting>
  <conditionalFormatting sqref="DH14:EK45 AB14:BG45">
    <cfRule type="expression" dxfId="696" priority="70">
      <formula>$FP14</formula>
    </cfRule>
  </conditionalFormatting>
  <conditionalFormatting sqref="A28:Y45 AA28:AA45">
    <cfRule type="expression" dxfId="695" priority="71">
      <formula>$FN28</formula>
    </cfRule>
  </conditionalFormatting>
  <conditionalFormatting sqref="CB28:CB45">
    <cfRule type="expression" dxfId="694" priority="5">
      <formula>NOT($FO28)</formula>
    </cfRule>
  </conditionalFormatting>
  <conditionalFormatting sqref="A28:A45">
    <cfRule type="expression" dxfId="693" priority="10">
      <formula>NOT($FO28)</formula>
    </cfRule>
  </conditionalFormatting>
  <conditionalFormatting sqref="AB14:AB45">
    <cfRule type="expression" dxfId="692" priority="9">
      <formula>NOT($FQ14)</formula>
    </cfRule>
  </conditionalFormatting>
  <conditionalFormatting sqref="Z28:Z45">
    <cfRule type="expression" dxfId="691" priority="7">
      <formula>$FN28</formula>
    </cfRule>
  </conditionalFormatting>
  <conditionalFormatting sqref="Z28:Z45">
    <cfRule type="expression" dxfId="690" priority="8">
      <formula>AND(NOT($BK28),LEN($Z28)&gt;27)</formula>
    </cfRule>
  </conditionalFormatting>
  <conditionalFormatting sqref="GA28:GB45">
    <cfRule type="expression" dxfId="689" priority="6" stopIfTrue="1">
      <formula>$GM28&gt;=0.125</formula>
    </cfRule>
  </conditionalFormatting>
  <conditionalFormatting sqref="CB28:CC45">
    <cfRule type="expression" dxfId="688" priority="11">
      <formula>AND(NOT($BK$1),$B28=0,OR($BJ$1="",$BJ$1="M"))</formula>
    </cfRule>
  </conditionalFormatting>
  <conditionalFormatting sqref="DB28:DE45">
    <cfRule type="expression" dxfId="687" priority="72">
      <formula>$FN28</formula>
    </cfRule>
  </conditionalFormatting>
  <conditionalFormatting sqref="CJ28:CJ45">
    <cfRule type="expression" dxfId="686" priority="73">
      <formula>AND(NOT($BK28),OR($CC68="M",$CC68="C",$CC68="G"))</formula>
    </cfRule>
    <cfRule type="expression" dxfId="685" priority="74">
      <formula>AND(NOT($BK28),AND(OR($CC68="B",$CC68="G"),CJ28="",CK28=""))</formula>
    </cfRule>
    <cfRule type="expression" dxfId="684" priority="75">
      <formula>AND(NOT($BK28),EG68="ERR")</formula>
    </cfRule>
  </conditionalFormatting>
  <conditionalFormatting sqref="CK28:CK45">
    <cfRule type="expression" dxfId="683" priority="76">
      <formula>AND(NOT($BK28),OR($CC68="M",$CC68="C",$CC68="G"))</formula>
    </cfRule>
    <cfRule type="expression" dxfId="682" priority="77">
      <formula>AND(NOT($BK28),AND(OR($CC68="B",$CC68="G"),CJ28="",CK28=""))</formula>
    </cfRule>
    <cfRule type="expression" dxfId="681" priority="78">
      <formula>AND(NOT($BK28),EG68="ERR")</formula>
    </cfRule>
  </conditionalFormatting>
  <conditionalFormatting sqref="CH28:CH45">
    <cfRule type="expression" dxfId="680" priority="79">
      <formula>AND(NOT($BK28),OR($CC68="M",$CC68="C"))</formula>
    </cfRule>
    <cfRule type="expression" dxfId="679" priority="80">
      <formula>AND(NOT($BK28),AND(CH28="",CI28="",OR($CC68="B",$CC68="G")))</formula>
    </cfRule>
    <cfRule type="expression" dxfId="678" priority="81">
      <formula>AND(NOT($BK28),(CH28/2)/COS(RADIANS(CL28))+CD68-DC68&lt;$FB$4)</formula>
    </cfRule>
  </conditionalFormatting>
  <conditionalFormatting sqref="CI28:CI45">
    <cfRule type="expression" dxfId="677" priority="82">
      <formula>AND(NOT($BK28),OR($CC68="M",$CC68="C"))</formula>
    </cfRule>
    <cfRule type="expression" dxfId="676" priority="83">
      <formula>AND(NOT($BK28),AND(CH28="",CI28="",OR($CC68="B",$CC68="G")))</formula>
    </cfRule>
    <cfRule type="expression" dxfId="675" priority="84">
      <formula>AND(NOT($BK28),(CI28/2)/COS(RADIANS(CL28))+CD68-DC68&lt;$FB$4)</formula>
    </cfRule>
  </conditionalFormatting>
  <conditionalFormatting sqref="CT28:CT45">
    <cfRule type="expression" dxfId="674" priority="85">
      <formula>AND(NOT($BK28),OR($CL68="M",$CL68="C",$CL68="G"))</formula>
    </cfRule>
    <cfRule type="expression" dxfId="673" priority="86">
      <formula>AND(NOT($BK28),AND(OR($CL68="B",$CL68="G"),CT28="",CU28=""))</formula>
    </cfRule>
    <cfRule type="expression" dxfId="672" priority="87">
      <formula>AND(NOT($BK28),EJ68="ERR")</formula>
    </cfRule>
  </conditionalFormatting>
  <conditionalFormatting sqref="CU28:CU45">
    <cfRule type="expression" dxfId="671" priority="88">
      <formula>AND(NOT($BK28),OR($CL68="M",$CL68="C",$CL68="G"))</formula>
    </cfRule>
    <cfRule type="expression" dxfId="670" priority="89">
      <formula>AND(NOT($BK28),AND(OR($CL68="B",$CL68="G"),CT28="",CU28=""))</formula>
    </cfRule>
    <cfRule type="expression" dxfId="669" priority="90">
      <formula>AND(NOT($BK28),EJ68="ERR")</formula>
    </cfRule>
  </conditionalFormatting>
  <conditionalFormatting sqref="CR28:CR45">
    <cfRule type="expression" dxfId="668" priority="91">
      <formula>AND(NOT($BK28),OR($CL68="M",$CL68="C"))</formula>
    </cfRule>
    <cfRule type="expression" dxfId="667" priority="92">
      <formula>AND(NOT($BK28),AND(CR28="",CS28="",OR($CL68="B",$CL68="G")))</formula>
    </cfRule>
    <cfRule type="expression" dxfId="666" priority="93">
      <formula>AND(NOT($BK28),(CR28/2)/COS(RADIANS(CV28))+CM68-DI68&lt;$FB$4)</formula>
    </cfRule>
  </conditionalFormatting>
  <conditionalFormatting sqref="CS28:CS45">
    <cfRule type="expression" dxfId="665" priority="94">
      <formula>AND(NOT($BK28),OR($CL68="M",$CL68="C"))</formula>
    </cfRule>
    <cfRule type="expression" dxfId="664" priority="95">
      <formula>AND(NOT($BK28),AND(CR28="",CS28="",OR($CL68="B",$CL68="G")))</formula>
    </cfRule>
    <cfRule type="expression" dxfId="663" priority="96">
      <formula>AND(NOT($BK28),(CS28/2)/COS(RADIANS(CV28))+CM68-DI68&lt;$FB$4)</formula>
    </cfRule>
  </conditionalFormatting>
  <conditionalFormatting sqref="CW28:CW45 CM28:CM45">
    <cfRule type="expression" dxfId="662" priority="97">
      <formula>AND(NOT($BK28),AND(ISBLANK(CM28),AND(NOT(ISBLANK(CL28)),$DA28&lt;&gt;0)))</formula>
    </cfRule>
  </conditionalFormatting>
  <conditionalFormatting sqref="CO28:CO45">
    <cfRule type="expression" dxfId="661" priority="98">
      <formula>ET28&lt;&gt;""</formula>
    </cfRule>
  </conditionalFormatting>
  <conditionalFormatting sqref="CY28:CY45">
    <cfRule type="expression" dxfId="660" priority="99">
      <formula>EU28&lt;&gt;""</formula>
    </cfRule>
  </conditionalFormatting>
  <conditionalFormatting sqref="DC28:DC45">
    <cfRule type="expression" dxfId="659" priority="100">
      <formula>OR(EN28&lt;&gt;"",EO28&lt;&gt;"",EP28&lt;&gt;"",EQ28&lt;&gt;"",ER28&lt;&gt;"",ES28&lt;&gt;"",ET28&lt;&gt;"",EU28&lt;&gt;"")</formula>
    </cfRule>
  </conditionalFormatting>
  <conditionalFormatting sqref="CG28:CG45">
    <cfRule type="expression" dxfId="658" priority="101">
      <formula>AND(NOT($BK28),ISERROR(CC68))</formula>
    </cfRule>
    <cfRule type="expression" dxfId="657" priority="102">
      <formula>AND(NOT($BK28),OR(ISERROR(CC68),CC68="", ET28&lt;&gt;""))</formula>
    </cfRule>
  </conditionalFormatting>
  <conditionalFormatting sqref="CQ28:CQ45">
    <cfRule type="expression" dxfId="656" priority="103">
      <formula>AND(NOT($BK28),ISERROR(CL68))</formula>
    </cfRule>
    <cfRule type="expression" dxfId="655" priority="104">
      <formula>AND(NOT($BK28),OR(CL68="", EU28&lt;&gt;""))</formula>
    </cfRule>
  </conditionalFormatting>
  <conditionalFormatting sqref="GA48:GB48">
    <cfRule type="expression" dxfId="654" priority="3" stopIfTrue="1">
      <formula>$GM48&gt;=0.125</formula>
    </cfRule>
  </conditionalFormatting>
  <conditionalFormatting sqref="B87">
    <cfRule type="expression" dxfId="653" priority="1">
      <formula>AND(NOT($BK$1),$B87=0,OR($BJ$1="",$BJ$1="M"))</formula>
    </cfRule>
  </conditionalFormatting>
  <conditionalFormatting sqref="B87">
    <cfRule type="expression" dxfId="652" priority="2">
      <formula>$FN87</formula>
    </cfRule>
  </conditionalFormatting>
  <dataValidations count="19">
    <dataValidation type="decimal" allowBlank="1" showInputMessage="1" showErrorMessage="1" error="Load must be blank or a number." sqref="DO14:DO45" xr:uid="{EEA9A318-E488-4002-A0EA-4C05114984EE}">
      <formula1>0</formula1>
      <formula2>99</formula2>
    </dataValidation>
    <dataValidation type="whole" operator="greaterThan" allowBlank="1" showInputMessage="1" showErrorMessage="1" errorTitle="Quantity Error" error="Value must be an integer greater than -1000." sqref="B28:B45 CC28:CC45" xr:uid="{B41C2F62-EB43-4995-844E-08EE83D7C873}">
      <formula1>-1001</formula1>
    </dataValidation>
    <dataValidation type="whole" operator="notBetween" allowBlank="1" showInputMessage="1" showErrorMessage="1" sqref="B87" xr:uid="{18402CC1-50AD-4ABB-9790-781BC1211E23}">
      <formula1>-10001</formula1>
      <formula2>-10000</formula2>
    </dataValidation>
    <dataValidation type="decimal" operator="greaterThan" allowBlank="1" showInputMessage="1" showErrorMessage="1" errorTitle="Input Error" error="Positive Numeric Values Only!" sqref="CP28:CP45 CZ28:CZ45" xr:uid="{F442BD09-0183-4114-904F-9B2DC6BBCEB5}">
      <formula1>0</formula1>
    </dataValidation>
    <dataValidation allowBlank="1" showInputMessage="1" showErrorMessage="1" errorTitle="Input Error" error="Numbers from 0&quot; to 11 7/8&quot; only!" sqref="GB28:GB45 GB48" xr:uid="{DE9B9612-0F7A-494E-9C35-0ED8EE8BEF65}"/>
    <dataValidation type="whole" operator="greaterThanOrEqual" allowBlank="1" showInputMessage="1" showErrorMessage="1" errorTitle="Input Error" error="Positive Integers Only!" sqref="GA28:GA45 GA48" xr:uid="{ACAFF9BE-E3A6-45A2-9D20-E0D89F8A0E38}">
      <formula1>0</formula1>
    </dataValidation>
    <dataValidation type="decimal" allowBlank="1" showInputMessage="1" showErrorMessage="1" errorTitle="Input Error" error="Numeric Values Only!" sqref="GC28:GD45 GC48:GD48 CN28:CN45 CX28:CX45" xr:uid="{FA7FD4C3-30C2-4FCC-9A7A-E482234C548B}">
      <formula1>-1200</formula1>
      <formula2>1200</formula2>
    </dataValidation>
    <dataValidation type="decimal" operator="greaterThanOrEqual" allowBlank="1" showInputMessage="1" showErrorMessage="1" errorTitle="Input Error" error="Enter a numeric value greater than 1/2&quot;." sqref="AP14:AQ45" xr:uid="{866B0D3A-42DF-44EE-818A-337BEAA114F9}">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18743C5C-7135-43C9-B9C5-7A0111012250}">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692DA18-8171-437B-93C0-F1376F960FC0}">
      <formula1>"N,F,B"</formula1>
    </dataValidation>
    <dataValidation type="decimal" operator="lessThanOrEqual" allowBlank="1" showInputMessage="1" showErrorMessage="1" errorTitle="BL Over-Ride Error!" error="Base Length can't be past Girder Overall Length!  See section for Maximum Over-Ride Dimension." sqref="CY28:CY45" xr:uid="{CF3EC874-2DFF-463C-AEE7-47BA54C94CF4}">
      <formula1>$CM68</formula1>
    </dataValidation>
    <dataValidation type="decimal" operator="lessThanOrEqual" allowBlank="1" showInputMessage="1" showErrorMessage="1" errorTitle="BL Over-Ride Error!" error="Base Length can't be past Girder Overall Length!  See section for Maximum Over-Ride Dimension." sqref="CO28:CO45" xr:uid="{77123C77-3AD6-462E-B0F2-C4A8C496E575}">
      <formula1>$CD68</formula1>
    </dataValidation>
    <dataValidation type="decimal" operator="notEqual" allowBlank="1" showInputMessage="1" showErrorMessage="1" errorTitle="Input Error" error="Enter + or - Numbers Only._x000a_Do NOT use &quot;&lt;&quot; or &quot;&gt;&quot;." sqref="X28:Y45 X87:Y87" xr:uid="{F566AD62-50EA-4FB4-BA24-B53DAEE7E2AA}">
      <formula1>0</formula1>
    </dataValidation>
    <dataValidation type="decimal" operator="greaterThanOrEqual" allowBlank="1" showInputMessage="1" showErrorMessage="1" errorTitle="Dimensional Error" error="&quot;Inches&quot; must be a number." sqref="CH28:CK45 CR28:CU45" xr:uid="{9013E525-C2AA-486A-AAC3-9BE02002C809}">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21422A91-9667-4E1C-A370-B88938A51A56}">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0C858E67-F8C2-4628-9569-D1A74AB7B568}">
      <formula1>IF(ISERROR(INT(AR14)),AR14="P",INT(AR14)=AR14)</formula1>
    </dataValidation>
    <dataValidation type="whole" operator="greaterThanOrEqual" allowBlank="1" showErrorMessage="1" errorTitle="Error" error="&quot;Number of Panels&quot; can only be whole numbers." sqref="DL14:DL45 AF87 AF14:AF45" xr:uid="{E1842451-A90B-44D1-B219-EAE64D4FCDCE}">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8C3B754-311B-48A1-AD06-9B399021A1D4}">
      <formula1>0</formula1>
    </dataValidation>
    <dataValidation type="list" allowBlank="1" showInputMessage="1" sqref="M7:S7 DA20:DB20" xr:uid="{B5055BD7-A7EE-49DF-BBD5-BFB916EF154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54E2E-BEE2-4ED9-8D4C-8FE51F4A4E40}">
  <sheetPr codeName="Sheet34">
    <tabColor indexed="42"/>
  </sheetPr>
  <dimension ref="A1:AAD111"/>
  <sheetViews>
    <sheetView showGridLines="0" topLeftCell="CL1" zoomScale="106" zoomScaleNormal="106" zoomScaleSheetLayoutView="75" workbookViewId="0">
      <selection activeCell="GG32" sqref="GG32"/>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1802" t="str">
        <f>Q1</f>
        <v>Master</v>
      </c>
      <c r="AV1" s="1802"/>
      <c r="AW1" s="1802"/>
      <c r="AX1" s="1802"/>
      <c r="AY1" s="382"/>
      <c r="AZ1" s="382"/>
      <c r="BA1" s="2117" t="s">
        <v>95</v>
      </c>
      <c r="BB1" s="2117"/>
      <c r="BC1" s="2117"/>
      <c r="BD1" s="1805" t="str">
        <f ca="1">'Job Info.'!D12</f>
        <v>775-428-0600</v>
      </c>
      <c r="BE1" s="1805"/>
      <c r="BF1" s="180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66" t="s">
        <v>1107</v>
      </c>
      <c r="FH3" s="2167"/>
      <c r="FI3" s="2168"/>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13" t="str">
        <f>Q4</f>
        <v/>
      </c>
      <c r="AV4" s="2261"/>
      <c r="AW4" s="2261"/>
      <c r="AX4" s="2262"/>
      <c r="AY4" s="382"/>
      <c r="AZ4" s="382"/>
      <c r="BA4" s="2117" t="s">
        <v>97</v>
      </c>
      <c r="BB4" s="2117"/>
      <c r="BC4" s="2117"/>
      <c r="BD4" s="1805" t="str">
        <f ca="1">'Job Info.'!D15</f>
        <v>775-867-2060</v>
      </c>
      <c r="BE4" s="1805"/>
      <c r="BF4" s="180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13" t="s">
        <v>1389</v>
      </c>
      <c r="DB4" s="221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260"/>
      <c r="AD5" s="2260"/>
      <c r="AE5" s="2260"/>
      <c r="AF5" s="2260"/>
      <c r="AG5" s="2260"/>
      <c r="AH5" s="2260"/>
      <c r="AI5" s="2260"/>
      <c r="AJ5" s="2260"/>
      <c r="AK5" s="2260"/>
      <c r="AL5" s="2260"/>
      <c r="AM5" s="2260"/>
      <c r="AN5" s="2260"/>
      <c r="AO5" s="2260"/>
      <c r="AP5" s="2260"/>
      <c r="AQ5" s="2260"/>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3" t="s">
        <v>639</v>
      </c>
      <c r="DI6" s="2157"/>
      <c r="DJ6" s="2157"/>
      <c r="DK6" s="2157"/>
      <c r="DL6" s="2157"/>
      <c r="DM6" s="2157"/>
      <c r="DN6" s="2157"/>
      <c r="DO6" s="2157"/>
      <c r="DP6" s="2157"/>
      <c r="DQ6" s="2157"/>
      <c r="DR6" s="2157"/>
      <c r="DS6" s="2157"/>
      <c r="DT6" s="2157"/>
      <c r="DU6" s="2157"/>
      <c r="DV6" s="2157"/>
      <c r="DW6" s="2157"/>
      <c r="DX6" s="2157"/>
      <c r="DY6" s="2157"/>
      <c r="DZ6" s="2157"/>
      <c r="EA6" s="2157"/>
      <c r="EB6" s="2157"/>
      <c r="EC6" s="2157"/>
      <c r="ED6" s="2157"/>
      <c r="EE6" s="2157"/>
      <c r="EF6" s="2157"/>
      <c r="EG6" s="2157"/>
      <c r="EH6" s="2157"/>
      <c r="EI6" s="2157"/>
      <c r="EJ6" s="2157"/>
      <c r="EK6" s="2158"/>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125" t="s">
        <v>26</v>
      </c>
      <c r="L7" s="2134"/>
      <c r="M7" s="2746" t="str">
        <f>IF(ISBLANK(DA4),"",DA4)</f>
        <v>Gray Primer</v>
      </c>
      <c r="N7" s="2747"/>
      <c r="O7" s="2747"/>
      <c r="P7" s="2747"/>
      <c r="Q7" s="2747"/>
      <c r="R7" s="2747"/>
      <c r="S7" s="2747"/>
      <c r="T7"/>
      <c r="U7" s="1092"/>
      <c r="V7" s="2125" t="s">
        <v>21</v>
      </c>
      <c r="W7" s="2125"/>
      <c r="X7" s="1176" t="str">
        <f>CONCATENATE(BI7, " of ",IF(ISBLANK('Job Info.'!D9),"",'Job Info.'!D9))</f>
        <v>17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18 of 28</v>
      </c>
      <c r="BC7" s="658"/>
      <c r="BD7" s="658"/>
      <c r="BE7" s="374"/>
      <c r="BF7" s="374"/>
      <c r="BG7" s="374"/>
      <c r="BH7" s="261"/>
      <c r="BI7" s="1083">
        <v>17</v>
      </c>
      <c r="CA7" s="246"/>
      <c r="CB7" s="2155" t="s">
        <v>638</v>
      </c>
      <c r="CC7" s="2191"/>
      <c r="CD7" s="2191"/>
      <c r="CE7" s="2191"/>
      <c r="CF7" s="2191"/>
      <c r="CG7" s="2191"/>
      <c r="CH7" s="2191"/>
      <c r="CI7" s="2191"/>
      <c r="CJ7" s="2191"/>
      <c r="CK7" s="2191"/>
      <c r="CL7" s="2191"/>
      <c r="CM7" s="2191"/>
      <c r="CN7" s="2191"/>
      <c r="CO7" s="2191"/>
      <c r="CP7" s="2191"/>
      <c r="CQ7" s="2191"/>
      <c r="CR7" s="2191"/>
      <c r="CS7" s="2191"/>
      <c r="CT7" s="2191"/>
      <c r="CU7" s="2191"/>
      <c r="CV7" s="2191"/>
      <c r="CW7" s="2191"/>
      <c r="CX7" s="2191"/>
      <c r="CY7" s="2191"/>
      <c r="CZ7" s="2157"/>
      <c r="DA7" s="2157"/>
      <c r="DB7" s="2157"/>
      <c r="DC7" s="2157"/>
      <c r="DD7" s="2157"/>
      <c r="DE7" s="2158"/>
      <c r="DF7" s="244"/>
      <c r="DG7" s="244"/>
      <c r="DH7" s="2234"/>
      <c r="DI7" s="1971"/>
      <c r="DJ7" s="1971"/>
      <c r="DK7" s="1971"/>
      <c r="DL7" s="1971"/>
      <c r="DM7" s="1971"/>
      <c r="DN7" s="1971"/>
      <c r="DO7" s="1971"/>
      <c r="DP7" s="1971"/>
      <c r="DQ7" s="1971"/>
      <c r="DR7" s="1971"/>
      <c r="DS7" s="1971"/>
      <c r="DT7" s="1971"/>
      <c r="DU7" s="1971"/>
      <c r="DV7" s="1971"/>
      <c r="DW7" s="1971"/>
      <c r="DX7" s="1971"/>
      <c r="DY7" s="1971"/>
      <c r="DZ7" s="1971"/>
      <c r="EA7" s="1971"/>
      <c r="EB7" s="1971"/>
      <c r="EC7" s="1971"/>
      <c r="ED7" s="1971"/>
      <c r="EE7" s="1971"/>
      <c r="EF7" s="1971"/>
      <c r="EG7" s="1971"/>
      <c r="EH7" s="1971"/>
      <c r="EI7" s="1971"/>
      <c r="EJ7" s="1971"/>
      <c r="EK7" s="2161"/>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57"/>
      <c r="B8" s="2257"/>
      <c r="C8" s="2257"/>
      <c r="D8" s="2257"/>
      <c r="E8" s="2257"/>
      <c r="F8" s="2257"/>
      <c r="G8" s="2257"/>
      <c r="H8" s="2257"/>
      <c r="I8" s="2257"/>
      <c r="J8" s="2257"/>
      <c r="K8" s="2257"/>
      <c r="L8" s="2257"/>
      <c r="M8" s="2257"/>
      <c r="N8" s="2257"/>
      <c r="O8" s="2257"/>
      <c r="P8" s="2257"/>
      <c r="Q8" s="2257"/>
      <c r="R8" s="2257"/>
      <c r="S8" s="2257"/>
      <c r="T8" s="2257"/>
      <c r="U8" s="2257"/>
      <c r="V8" s="2257"/>
      <c r="W8" s="2257"/>
      <c r="X8" s="2257"/>
      <c r="Y8" s="2257"/>
      <c r="Z8" s="2257"/>
      <c r="AA8" s="2257"/>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BI8" s="245"/>
      <c r="CA8" s="246"/>
      <c r="CB8" s="2193"/>
      <c r="CC8" s="2194"/>
      <c r="CD8" s="2194"/>
      <c r="CE8" s="2194"/>
      <c r="CF8" s="2194"/>
      <c r="CG8" s="2194"/>
      <c r="CH8" s="2194"/>
      <c r="CI8" s="2194"/>
      <c r="CJ8" s="2194"/>
      <c r="CK8" s="2194"/>
      <c r="CL8" s="2194"/>
      <c r="CM8" s="2194"/>
      <c r="CN8" s="2194"/>
      <c r="CO8" s="2194"/>
      <c r="CP8" s="2194"/>
      <c r="CQ8" s="2194"/>
      <c r="CR8" s="2194"/>
      <c r="CS8" s="2194"/>
      <c r="CT8" s="2194"/>
      <c r="CU8" s="2194"/>
      <c r="CV8" s="2194"/>
      <c r="CW8" s="2194"/>
      <c r="CX8" s="2194"/>
      <c r="CY8" s="2194"/>
      <c r="CZ8" s="1971"/>
      <c r="DA8" s="1971"/>
      <c r="DB8" s="1971"/>
      <c r="DC8" s="1971"/>
      <c r="DD8" s="1971"/>
      <c r="DE8" s="2161"/>
      <c r="DF8" s="141"/>
      <c r="DG8" s="141"/>
      <c r="DH8" s="2264"/>
      <c r="DI8" s="2231"/>
      <c r="DJ8" s="2231"/>
      <c r="DK8" s="2231"/>
      <c r="DL8" s="2231"/>
      <c r="DM8" s="2231"/>
      <c r="DN8" s="2231"/>
      <c r="DO8" s="2231"/>
      <c r="DP8" s="2231"/>
      <c r="DQ8" s="2231"/>
      <c r="DR8" s="2231"/>
      <c r="DS8" s="2231"/>
      <c r="DT8" s="2231"/>
      <c r="DU8" s="2231"/>
      <c r="DV8" s="2231"/>
      <c r="DW8" s="2231"/>
      <c r="DX8" s="2231"/>
      <c r="DY8" s="2231"/>
      <c r="DZ8" s="2231"/>
      <c r="EA8" s="2231"/>
      <c r="EB8" s="2231"/>
      <c r="EC8" s="2231"/>
      <c r="ED8" s="2231"/>
      <c r="EE8" s="2231"/>
      <c r="EF8" s="2231"/>
      <c r="EG8" s="2231"/>
      <c r="EH8" s="2231"/>
      <c r="EI8" s="2231"/>
      <c r="EJ8" s="2231"/>
      <c r="EK8" s="2232"/>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258"/>
      <c r="AD9" s="2259"/>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7" t="str">
        <f>T9</f>
        <v>9122-0050</v>
      </c>
      <c r="AY9" s="2119"/>
      <c r="AZ9" s="2119"/>
      <c r="BA9" s="2119"/>
      <c r="BB9" s="2119"/>
      <c r="BC9" s="2119"/>
      <c r="BD9" s="2119"/>
      <c r="BE9" s="2119"/>
      <c r="BF9" s="2119"/>
      <c r="BG9" s="2119"/>
      <c r="BH9" s="1417"/>
      <c r="BI9" s="245"/>
      <c r="CA9" s="246"/>
      <c r="CB9" s="2193"/>
      <c r="CC9" s="2194"/>
      <c r="CD9" s="2194"/>
      <c r="CE9" s="2194"/>
      <c r="CF9" s="2194"/>
      <c r="CG9" s="2194"/>
      <c r="CH9" s="2194"/>
      <c r="CI9" s="2194"/>
      <c r="CJ9" s="2194"/>
      <c r="CK9" s="2194"/>
      <c r="CL9" s="2194"/>
      <c r="CM9" s="2194"/>
      <c r="CN9" s="2194"/>
      <c r="CO9" s="2194"/>
      <c r="CP9" s="2194"/>
      <c r="CQ9" s="2194"/>
      <c r="CR9" s="2194"/>
      <c r="CS9" s="2194"/>
      <c r="CT9" s="2194"/>
      <c r="CU9" s="2194"/>
      <c r="CV9" s="2194"/>
      <c r="CW9" s="2194"/>
      <c r="CX9" s="2194"/>
      <c r="CY9" s="2194"/>
      <c r="CZ9" s="1971"/>
      <c r="DA9" s="1971"/>
      <c r="DB9" s="1971"/>
      <c r="DC9" s="1971"/>
      <c r="DD9" s="1971"/>
      <c r="DE9" s="2161"/>
      <c r="DF9" s="141"/>
      <c r="DG9" s="141"/>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924"/>
      <c r="EP9" s="927"/>
      <c r="EQ9" s="241"/>
      <c r="ER9" s="241"/>
      <c r="ES9" s="241"/>
      <c r="ET9" s="2098" t="s">
        <v>615</v>
      </c>
      <c r="EU9" s="2243"/>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258"/>
      <c r="AD10" s="2259"/>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7" t="str">
        <f>Z10</f>
        <v>NR</v>
      </c>
      <c r="BF10" s="2119"/>
      <c r="BG10" s="2119"/>
      <c r="BH10" s="1417"/>
      <c r="BI10" s="245"/>
      <c r="CA10" s="246"/>
      <c r="CB10" s="2219"/>
      <c r="CC10" s="1971"/>
      <c r="CD10" s="1971"/>
      <c r="CE10" s="1971"/>
      <c r="CF10" s="2161"/>
      <c r="CG10" s="2215" t="s">
        <v>469</v>
      </c>
      <c r="CH10" s="2216"/>
      <c r="CI10" s="2216"/>
      <c r="CJ10" s="2216"/>
      <c r="CK10" s="2216"/>
      <c r="CL10" s="2216"/>
      <c r="CM10" s="2216"/>
      <c r="CN10" s="2157"/>
      <c r="CO10" s="2157"/>
      <c r="CP10" s="2158"/>
      <c r="CQ10" s="2215" t="s">
        <v>470</v>
      </c>
      <c r="CR10" s="2216"/>
      <c r="CS10" s="2216"/>
      <c r="CT10" s="2216"/>
      <c r="CU10" s="2216"/>
      <c r="CV10" s="2216"/>
      <c r="CW10" s="2216"/>
      <c r="CX10" s="2157"/>
      <c r="CY10" s="2157"/>
      <c r="CZ10" s="2158"/>
      <c r="DA10" s="2283"/>
      <c r="DB10" s="2238"/>
      <c r="DC10" s="2238"/>
      <c r="DD10" s="2238"/>
      <c r="DE10" s="2239"/>
      <c r="DF10" s="141"/>
      <c r="DG10" s="1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241"/>
      <c r="EO10" s="241"/>
      <c r="EP10" s="241"/>
      <c r="EQ10" s="241"/>
      <c r="ER10" s="241"/>
      <c r="ES10" s="241"/>
      <c r="ET10" s="2244"/>
      <c r="EU10" s="2245"/>
      <c r="FW10" s="245"/>
      <c r="FX10" s="245"/>
      <c r="FY10" s="245"/>
      <c r="FZ10" s="245"/>
      <c r="GA10" s="1970" t="s">
        <v>1140</v>
      </c>
      <c r="GB10" s="2280"/>
      <c r="GC10" s="2280"/>
      <c r="GD10" s="2280"/>
      <c r="GE10" s="2280"/>
      <c r="GF10" s="2280"/>
      <c r="GG10" s="1971"/>
      <c r="GH10" s="1971"/>
      <c r="GI10" s="1971"/>
      <c r="GJ10" s="1971"/>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0"/>
      <c r="CC11" s="2221"/>
      <c r="CD11" s="2221"/>
      <c r="CE11" s="2221"/>
      <c r="CF11" s="2222"/>
      <c r="CG11" s="2217"/>
      <c r="CH11" s="2218"/>
      <c r="CI11" s="2218"/>
      <c r="CJ11" s="2218"/>
      <c r="CK11" s="2218"/>
      <c r="CL11" s="2218"/>
      <c r="CM11" s="2218"/>
      <c r="CN11" s="1971"/>
      <c r="CO11" s="1971"/>
      <c r="CP11" s="2161"/>
      <c r="CQ11" s="2229"/>
      <c r="CR11" s="2230"/>
      <c r="CS11" s="2230"/>
      <c r="CT11" s="2230"/>
      <c r="CU11" s="2230"/>
      <c r="CV11" s="2230"/>
      <c r="CW11" s="2230"/>
      <c r="CX11" s="2231"/>
      <c r="CY11" s="2231"/>
      <c r="CZ11" s="2232"/>
      <c r="DA11" s="1577"/>
      <c r="DB11" s="2233"/>
      <c r="DC11" s="2158"/>
      <c r="DD11" s="2235"/>
      <c r="DE11" s="2236"/>
      <c r="DF11" s="141"/>
      <c r="DG11" s="141"/>
      <c r="DH11" s="2173"/>
      <c r="DI11" s="2241"/>
      <c r="DJ11" s="1971"/>
      <c r="DK11" s="1971"/>
      <c r="DL11" s="1971"/>
      <c r="DM11" s="1971"/>
      <c r="DN11" s="2242"/>
      <c r="DO11" s="2170"/>
      <c r="DP11" s="2284"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241"/>
      <c r="ES11" s="241"/>
      <c r="ET11" s="2244"/>
      <c r="EU11" s="2245"/>
      <c r="FW11" s="2"/>
      <c r="FX11" s="2"/>
      <c r="FY11" s="2"/>
      <c r="FZ11" s="2"/>
      <c r="GA11" s="2281"/>
      <c r="GB11" s="2281"/>
      <c r="GC11" s="2281"/>
      <c r="GD11" s="2281"/>
      <c r="GE11" s="2281"/>
      <c r="GF11" s="2281"/>
      <c r="GG11" s="2221"/>
      <c r="GH11" s="2221"/>
      <c r="GI11" s="2221"/>
      <c r="GJ11" s="2221"/>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1934" t="s">
        <v>40</v>
      </c>
      <c r="B12" s="1935" t="s">
        <v>130</v>
      </c>
      <c r="C12" s="1935" t="s">
        <v>31</v>
      </c>
      <c r="D12" s="1935" t="s">
        <v>25</v>
      </c>
      <c r="E12" s="1936"/>
      <c r="F12" s="1937" t="s">
        <v>88</v>
      </c>
      <c r="G12" s="1910" t="s">
        <v>9</v>
      </c>
      <c r="H12" s="1908"/>
      <c r="I12" s="1908"/>
      <c r="J12" s="1908" t="s">
        <v>10</v>
      </c>
      <c r="K12" s="1908"/>
      <c r="L12" s="1911"/>
      <c r="M12" s="1938" t="s">
        <v>11</v>
      </c>
      <c r="N12" s="1939"/>
      <c r="O12" s="1940" t="s">
        <v>12</v>
      </c>
      <c r="P12" s="1905"/>
      <c r="Q12" s="1905" t="s">
        <v>13</v>
      </c>
      <c r="R12" s="1906"/>
      <c r="S12" s="1907" t="s">
        <v>14</v>
      </c>
      <c r="T12" s="1908"/>
      <c r="U12" s="1908"/>
      <c r="V12" s="1908"/>
      <c r="W12" s="1909"/>
      <c r="X12" s="1910" t="s">
        <v>111</v>
      </c>
      <c r="Y12" s="1911"/>
      <c r="Z12" s="1117" t="s">
        <v>15</v>
      </c>
      <c r="AA12" s="2255" t="s">
        <v>939</v>
      </c>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267" t="s">
        <v>82</v>
      </c>
      <c r="AS12" s="2268"/>
      <c r="AT12" s="2268"/>
      <c r="AU12" s="2268"/>
      <c r="AV12" s="2268"/>
      <c r="AW12" s="2268"/>
      <c r="AX12" s="2268"/>
      <c r="AY12" s="2268"/>
      <c r="AZ12" s="2268"/>
      <c r="BA12" s="2268"/>
      <c r="BB12" s="2268"/>
      <c r="BC12" s="2268"/>
      <c r="BD12" s="2268"/>
      <c r="BE12" s="2268"/>
      <c r="BF12" s="2268"/>
      <c r="BG12" s="2268"/>
      <c r="BH12" s="1417"/>
      <c r="BJ12" s="117"/>
      <c r="BK12" s="117"/>
      <c r="BL12" s="117"/>
      <c r="BM12" s="117"/>
      <c r="BN12" s="117"/>
      <c r="BO12" s="117"/>
      <c r="BW12" s="2252" t="s">
        <v>630</v>
      </c>
      <c r="BX12" s="2253"/>
      <c r="BY12" s="2253"/>
      <c r="BZ12" s="2254"/>
      <c r="CA12" s="105"/>
      <c r="CB12" s="2079" t="s">
        <v>613</v>
      </c>
      <c r="CC12" s="2153" t="s">
        <v>130</v>
      </c>
      <c r="CD12" s="2081" t="s">
        <v>478</v>
      </c>
      <c r="CE12" s="2147" t="s">
        <v>1291</v>
      </c>
      <c r="CF12" s="2148"/>
      <c r="CG12" s="1943" t="s">
        <v>1292</v>
      </c>
      <c r="CH12" s="1945" t="s">
        <v>595</v>
      </c>
      <c r="CI12" s="1946"/>
      <c r="CJ12" s="1945" t="s">
        <v>596</v>
      </c>
      <c r="CK12" s="1946"/>
      <c r="CL12" s="1962" t="s">
        <v>488</v>
      </c>
      <c r="CM12" s="1964" t="s">
        <v>790</v>
      </c>
      <c r="CN12" s="2223" t="s">
        <v>1276</v>
      </c>
      <c r="CO12" s="2224"/>
      <c r="CP12" s="2225"/>
      <c r="CQ12" s="1949" t="s">
        <v>1292</v>
      </c>
      <c r="CR12" s="1951" t="s">
        <v>595</v>
      </c>
      <c r="CS12" s="1952"/>
      <c r="CT12" s="1951" t="s">
        <v>596</v>
      </c>
      <c r="CU12" s="1952"/>
      <c r="CV12" s="2151" t="s">
        <v>488</v>
      </c>
      <c r="CW12" s="1960" t="s">
        <v>790</v>
      </c>
      <c r="CX12" s="2226" t="s">
        <v>1276</v>
      </c>
      <c r="CY12" s="2227"/>
      <c r="CZ12" s="2228"/>
      <c r="DA12" s="1941" t="s">
        <v>806</v>
      </c>
      <c r="DB12" s="2234"/>
      <c r="DC12" s="2161"/>
      <c r="DD12" s="1957" t="s">
        <v>1284</v>
      </c>
      <c r="DE12" s="1959" t="s">
        <v>1285</v>
      </c>
      <c r="DF12" s="141"/>
      <c r="DG12" s="141"/>
      <c r="DH12" s="2173"/>
      <c r="DI12" s="2180" t="s">
        <v>1289</v>
      </c>
      <c r="DJ12" s="2182" t="s">
        <v>32</v>
      </c>
      <c r="DK12" s="2183"/>
      <c r="DL12" s="2164" t="s">
        <v>34</v>
      </c>
      <c r="DM12" s="2163" t="s">
        <v>489</v>
      </c>
      <c r="DN12" s="2175"/>
      <c r="DO12" s="2170"/>
      <c r="DP12" s="2284"/>
      <c r="DQ12" s="2186" t="s">
        <v>602</v>
      </c>
      <c r="DR12" s="2211"/>
      <c r="DS12" s="2186" t="s">
        <v>604</v>
      </c>
      <c r="DT12" s="2188" t="s">
        <v>605</v>
      </c>
      <c r="DU12" s="2189"/>
      <c r="DV12" s="2265" t="s">
        <v>598</v>
      </c>
      <c r="DW12" s="2266"/>
      <c r="DX12" s="2021" t="s">
        <v>1287</v>
      </c>
      <c r="DY12" s="2178" t="s">
        <v>1288</v>
      </c>
      <c r="DZ12" s="2265" t="s">
        <v>598</v>
      </c>
      <c r="EA12" s="2266"/>
      <c r="EB12" s="2021" t="s">
        <v>1287</v>
      </c>
      <c r="EC12" s="2178" t="s">
        <v>1288</v>
      </c>
      <c r="ED12" s="2265" t="s">
        <v>598</v>
      </c>
      <c r="EE12" s="2266"/>
      <c r="EF12" s="2021" t="s">
        <v>1287</v>
      </c>
      <c r="EG12" s="2178" t="s">
        <v>1288</v>
      </c>
      <c r="EH12" s="2265" t="s">
        <v>598</v>
      </c>
      <c r="EI12" s="2266"/>
      <c r="EJ12" s="2021" t="s">
        <v>1287</v>
      </c>
      <c r="EK12" s="2023" t="s">
        <v>1288</v>
      </c>
      <c r="EL12" s="241"/>
      <c r="EM12" s="1966" t="s">
        <v>789</v>
      </c>
      <c r="EN12" s="1968" t="s">
        <v>588</v>
      </c>
      <c r="EO12" s="1969"/>
      <c r="EP12" s="1969"/>
      <c r="EQ12" s="1966" t="s">
        <v>589</v>
      </c>
      <c r="ER12" s="1955" t="s">
        <v>786</v>
      </c>
      <c r="ES12" s="1956"/>
      <c r="ET12" s="2246"/>
      <c r="EU12" s="2247"/>
      <c r="FW12" s="2"/>
      <c r="FX12" s="2"/>
      <c r="FY12" s="2"/>
      <c r="FZ12" s="2"/>
      <c r="GA12" s="2028" t="s">
        <v>708</v>
      </c>
      <c r="GB12" s="2029"/>
      <c r="GC12" s="2028" t="s">
        <v>558</v>
      </c>
      <c r="GD12" s="2029"/>
      <c r="GE12" s="2072" t="s">
        <v>711</v>
      </c>
      <c r="GF12" s="2074" t="s">
        <v>632</v>
      </c>
      <c r="GG12" s="2028" t="s">
        <v>1142</v>
      </c>
      <c r="GH12" s="2029"/>
      <c r="GI12" s="2028" t="s">
        <v>1141</v>
      </c>
      <c r="GJ12" s="2029"/>
      <c r="GK12" s="2032" t="s">
        <v>712</v>
      </c>
      <c r="GL12" s="2032" t="s">
        <v>713</v>
      </c>
      <c r="GM12" s="2032" t="s">
        <v>714</v>
      </c>
      <c r="HA12" s="2038" t="s">
        <v>632</v>
      </c>
      <c r="HB12" s="2014" t="s">
        <v>1134</v>
      </c>
      <c r="HC12" s="2014" t="s">
        <v>1159</v>
      </c>
      <c r="HD12" s="2014" t="str">
        <f>IF($HA$1,"Bay Length","Overall Length")</f>
        <v>Bay Length</v>
      </c>
      <c r="HE12" s="2015"/>
      <c r="HF12" s="2014" t="str">
        <f>IF($HA$1,"L Sect #","TC Width")</f>
        <v>L Sect #</v>
      </c>
      <c r="HG12" s="1972" t="str">
        <f>IF($HA$1,"L Min Sup Wid","TCXL Feet")</f>
        <v>L Min Sup Wid</v>
      </c>
      <c r="HH12" s="1972" t="str">
        <f>IF($HA$1,"L Max Sup Wid","TCXL Inch")</f>
        <v>L Max Sup Wid</v>
      </c>
      <c r="HI12" s="1972" t="str">
        <f>IF($HA$1,"L Min Flg Ga","TCXL Type")</f>
        <v>L Min Flg Ga</v>
      </c>
      <c r="HJ12" s="1972" t="str">
        <f>IF($HA$1,"L Max Flg Ga","TCXR Feet")</f>
        <v>L Max Flg Ga</v>
      </c>
      <c r="HK12" s="1972" t="str">
        <f>IF($HA$1,"L Skew","TCXR Inch")</f>
        <v>L Skew</v>
      </c>
      <c r="HL12" s="1972" t="str">
        <f>IF($HA$1,"L Brg Slp","TCXR Type")</f>
        <v>L Brg Slp</v>
      </c>
      <c r="HM12" s="2014" t="str">
        <f>IF($HA$1,"R Sect #","BDL")</f>
        <v>R Sect #</v>
      </c>
      <c r="HN12" s="1972" t="str">
        <f>IF($HA$1,"R Min Sup Wid","BDR")</f>
        <v>R Min Sup Wid</v>
      </c>
      <c r="HO12" s="1972" t="str">
        <f>IF($HA$1,"R Max Sup Wid","BCXL Feet")</f>
        <v>R Max Sup Wid</v>
      </c>
      <c r="HP12" s="1972" t="str">
        <f>IF($HA$1,"R Min Flg Ga","BCXL Inch")</f>
        <v>R Min Flg Ga</v>
      </c>
      <c r="HQ12" s="1972" t="str">
        <f>IF($HA$1,"R Max Flg Ga","BCXR Feet")</f>
        <v>R Max Flg Ga</v>
      </c>
      <c r="HR12" s="1972" t="str">
        <f>IF($HA$1,"R Skew","BCXR Inch")</f>
        <v>R Skew</v>
      </c>
      <c r="HS12" s="1972" t="str">
        <f>IF($HA$1,"R Brg Slp","HL Feet")</f>
        <v>R Brg Slp</v>
      </c>
      <c r="HT12" s="1972" t="str">
        <f>IF($HA$1,"TC Slope","HL Inch")</f>
        <v>TC Slope</v>
      </c>
      <c r="HU12" s="1972" t="str">
        <f>IF($HA$1,"Load Notes","HR Feet")</f>
        <v>Load Notes</v>
      </c>
      <c r="HV12" s="1972" t="str">
        <f>IF($HA$1,"Spcl Notes","HR Inch")</f>
        <v>Spcl Notes</v>
      </c>
      <c r="HW12" s="1972" t="str">
        <f>IF($HA$1,"# KB","Slot Ga")</f>
        <v># KB</v>
      </c>
      <c r="HX12" s="1972" t="str">
        <f>IF($HA$1,"TC Width","L Seat Slp")</f>
        <v>TC Width</v>
      </c>
      <c r="HY12" s="1972" t="str">
        <f>IF($HA$1,"TCL Override","R Seat Slp")</f>
        <v>TCL Override</v>
      </c>
      <c r="HZ12" s="1972" t="str">
        <f>IF($HA$1,"TCR Override","Load Notes")</f>
        <v>TCR Override</v>
      </c>
      <c r="IA12" s="1972" t="str">
        <f>IF($HA$1,"L-BL Override","Spcl Notes")</f>
        <v>L-BL Override</v>
      </c>
      <c r="IB12" s="1974" t="str">
        <f>IF($HA$1,"R-BL Override","# KB")</f>
        <v>R-BL Override</v>
      </c>
      <c r="IC12" s="1972" t="str">
        <f>IF($HA$1,"BDL Override","-")</f>
        <v>BDL Override</v>
      </c>
      <c r="ID12" s="2250" t="str">
        <f>IF($HA$1,"BDR Override","-")</f>
        <v>BDR Override</v>
      </c>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94"/>
      <c r="JN12" s="1194"/>
      <c r="JO12" s="1194"/>
    </row>
    <row r="13" spans="1:276" ht="21" customHeight="1" thickTop="1" thickBot="1" x14ac:dyDescent="0.3">
      <c r="A13" s="1934"/>
      <c r="B13" s="1935"/>
      <c r="C13" s="1935"/>
      <c r="D13" s="1935"/>
      <c r="E13" s="1936"/>
      <c r="F13" s="1937"/>
      <c r="G13" s="1914" t="s">
        <v>16</v>
      </c>
      <c r="H13" s="1915"/>
      <c r="I13" s="1103" t="s">
        <v>732</v>
      </c>
      <c r="J13" s="1915" t="s">
        <v>16</v>
      </c>
      <c r="K13" s="1915"/>
      <c r="L13" s="1065" t="s">
        <v>732</v>
      </c>
      <c r="M13" s="1107" t="s">
        <v>18</v>
      </c>
      <c r="N13" s="461" t="s">
        <v>19</v>
      </c>
      <c r="O13" s="1940"/>
      <c r="P13" s="1905"/>
      <c r="Q13" s="1905"/>
      <c r="R13" s="1906"/>
      <c r="S13" s="1916" t="s">
        <v>80</v>
      </c>
      <c r="T13" s="1915"/>
      <c r="U13" s="1915" t="s">
        <v>81</v>
      </c>
      <c r="V13" s="1915"/>
      <c r="W13" s="461" t="s">
        <v>27</v>
      </c>
      <c r="X13" s="1102" t="s">
        <v>112</v>
      </c>
      <c r="Y13" s="1065" t="s">
        <v>113</v>
      </c>
      <c r="Z13" s="1118" t="s">
        <v>57</v>
      </c>
      <c r="AA13" s="2256"/>
      <c r="AB13" s="1934"/>
      <c r="AC13" s="2091"/>
      <c r="AD13" s="2122"/>
      <c r="AE13" s="2123"/>
      <c r="AF13" s="1103" t="s">
        <v>33</v>
      </c>
      <c r="AG13" s="1915" t="s">
        <v>16</v>
      </c>
      <c r="AH13" s="1915"/>
      <c r="AI13" s="2122"/>
      <c r="AJ13" s="2123"/>
      <c r="AK13" s="2136"/>
      <c r="AL13" s="1119" t="s">
        <v>738</v>
      </c>
      <c r="AM13" s="1104" t="s">
        <v>735</v>
      </c>
      <c r="AN13" s="1104" t="s">
        <v>736</v>
      </c>
      <c r="AO13" s="1105"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80"/>
      <c r="CC13" s="2152"/>
      <c r="CD13" s="1953"/>
      <c r="CE13" s="2149"/>
      <c r="CF13" s="2150"/>
      <c r="CG13" s="1944"/>
      <c r="CH13" s="1947"/>
      <c r="CI13" s="1948"/>
      <c r="CJ13" s="1947"/>
      <c r="CK13" s="1948"/>
      <c r="CL13" s="1963"/>
      <c r="CM13" s="1965"/>
      <c r="CN13" s="1547" t="s">
        <v>1283</v>
      </c>
      <c r="CO13" s="1548" t="s">
        <v>1278</v>
      </c>
      <c r="CP13" s="1549" t="s">
        <v>501</v>
      </c>
      <c r="CQ13" s="1950"/>
      <c r="CR13" s="1953"/>
      <c r="CS13" s="1954"/>
      <c r="CT13" s="1953"/>
      <c r="CU13" s="1954"/>
      <c r="CV13" s="2152"/>
      <c r="CW13" s="1961"/>
      <c r="CX13" s="1547" t="s">
        <v>1283</v>
      </c>
      <c r="CY13" s="1548" t="s">
        <v>1278</v>
      </c>
      <c r="CZ13" s="1549" t="s">
        <v>501</v>
      </c>
      <c r="DA13" s="1942"/>
      <c r="DB13" s="431" t="s">
        <v>418</v>
      </c>
      <c r="DC13" s="432" t="s">
        <v>553</v>
      </c>
      <c r="DD13" s="1958"/>
      <c r="DE13" s="1958"/>
      <c r="DF13" s="141"/>
      <c r="DG13" s="141"/>
      <c r="DH13" s="2174"/>
      <c r="DI13" s="2181"/>
      <c r="DJ13" s="2184"/>
      <c r="DK13" s="2185"/>
      <c r="DL13" s="2165"/>
      <c r="DM13" s="2176"/>
      <c r="DN13" s="2177"/>
      <c r="DO13" s="2171"/>
      <c r="DP13" s="2285"/>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241"/>
      <c r="EM13" s="1967"/>
      <c r="EN13" s="522" t="s">
        <v>585</v>
      </c>
      <c r="EO13" s="433" t="s">
        <v>586</v>
      </c>
      <c r="EP13" s="434" t="s">
        <v>587</v>
      </c>
      <c r="EQ13" s="196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073"/>
      <c r="GF13" s="2073"/>
      <c r="GG13" s="542" t="s">
        <v>709</v>
      </c>
      <c r="GH13" s="543" t="s">
        <v>710</v>
      </c>
      <c r="GI13" s="542" t="s">
        <v>709</v>
      </c>
      <c r="GJ13" s="543" t="s">
        <v>710</v>
      </c>
      <c r="GK13" s="2033"/>
      <c r="GL13" s="2033"/>
      <c r="GM13" s="2033"/>
      <c r="HA13" s="2274"/>
      <c r="HB13" s="2248"/>
      <c r="HC13" s="2248"/>
      <c r="HD13" s="2248"/>
      <c r="HE13" s="2248"/>
      <c r="HF13" s="2248"/>
      <c r="HG13" s="2248"/>
      <c r="HH13" s="2248"/>
      <c r="HI13" s="2248"/>
      <c r="HJ13" s="2248"/>
      <c r="HK13" s="2248"/>
      <c r="HL13" s="2248"/>
      <c r="HM13" s="2248"/>
      <c r="HN13" s="2248"/>
      <c r="HO13" s="2248"/>
      <c r="HP13" s="2248"/>
      <c r="HQ13" s="2248"/>
      <c r="HR13" s="2248"/>
      <c r="HS13" s="2248"/>
      <c r="HT13" s="2248"/>
      <c r="HU13" s="2248"/>
      <c r="HV13" s="2248"/>
      <c r="HW13" s="2248"/>
      <c r="HX13" s="2248"/>
      <c r="HY13" s="2248"/>
      <c r="HZ13" s="2248"/>
      <c r="IA13" s="2248"/>
      <c r="IB13" s="2249"/>
      <c r="IC13" s="2248"/>
      <c r="ID13" s="2251"/>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94"/>
      <c r="JN13" s="1194"/>
      <c r="JO13" s="1194"/>
    </row>
    <row r="14" spans="1:276" ht="12.6" customHeight="1" thickTop="1" x14ac:dyDescent="0.25">
      <c r="A14" s="2718" t="str">
        <f t="shared" ref="A14:C45" si="0">IF(ISBLANK(CB14),"",CB14)</f>
        <v>G17</v>
      </c>
      <c r="B14" s="2748">
        <f t="shared" si="0"/>
        <v>1</v>
      </c>
      <c r="C14" s="2749" t="s">
        <v>1714</v>
      </c>
      <c r="D14" s="2720">
        <f t="shared" ref="D14:D45" si="1">IF(CV54="","",TRUNC(CV54/12))</f>
        <v>51</v>
      </c>
      <c r="E14" s="2750">
        <f t="shared" ref="E14:E45" si="2">IF(CV54="","",CV54-(D14*12))</f>
        <v>10.75</v>
      </c>
      <c r="F14" s="2751">
        <f t="shared" ref="F14:F45" si="3">IF(ISBLANK(DE14),"",DE14)</f>
        <v>11.125</v>
      </c>
      <c r="G14" s="2728">
        <f t="shared" ref="G14:G45" si="4">IF(DD54=0,"",TRUNC(DD54/12))</f>
        <v>0</v>
      </c>
      <c r="H14" s="2721">
        <f t="shared" ref="H14:H45" si="5">IF(DD54=0,"",DD54-(G14*12))</f>
        <v>1.75</v>
      </c>
      <c r="I14" s="2719" t="str">
        <f t="shared" ref="I14:I45" si="6">IF(DD54=0,"",CE54)</f>
        <v>R</v>
      </c>
      <c r="J14" s="2720" t="str">
        <f t="shared" ref="J14:J45" si="7">IF(DJ54=0,"",TRUNC(DJ54/12))</f>
        <v/>
      </c>
      <c r="K14" s="2721" t="str">
        <f t="shared" ref="K14:K45" si="8">IF(DJ54=0,"",DJ54-(J14*12))</f>
        <v/>
      </c>
      <c r="L14" s="2752" t="str">
        <f t="shared" ref="L14:L45" si="9">IF(DJ54=0,"",CN54)</f>
        <v/>
      </c>
      <c r="M14" s="2726">
        <f t="shared" ref="M14:N45" si="10">IF(CW54="","",CW54)</f>
        <v>7.5</v>
      </c>
      <c r="N14" s="2753">
        <f t="shared" si="10"/>
        <v>7.5</v>
      </c>
      <c r="O14" s="2728">
        <f t="shared" ref="O14:O45" si="11">IF(DZ54="","",IF(AND(DZ54&gt;-12,DZ54&lt;0),-0.000001,TRUNC(DZ54/12)))</f>
        <v>0</v>
      </c>
      <c r="P14" s="2721">
        <f t="shared" ref="P14:P45" si="12">IF(DZ54="","",IF(AND(DZ54&lt;0,DZ54-(O14*12)=0),-0.00001,DZ54-(O14*12)))</f>
        <v>6.75</v>
      </c>
      <c r="Q14" s="2720">
        <f t="shared" ref="Q14:Q45" si="13">IF(EA54="","",IF(AND(EA54&gt;-12,EA54&lt;0),-0.000001,TRUNC(EA54/12)))</f>
        <v>0</v>
      </c>
      <c r="R14" s="2750">
        <f t="shared" ref="R14:R45" si="14">IF(EA54="","",IF(AND(EA54&lt;0,EA54-(Q14*12)=0),-0.00001,EA54-(Q14*12)))</f>
        <v>1.5</v>
      </c>
      <c r="S14" s="2754">
        <f t="shared" ref="S14:S45" si="15">IF(DR54="","",IF(DR54="ERR",TRUNC(DQ54/12),TRUNC(DR54/12)))</f>
        <v>0</v>
      </c>
      <c r="T14" s="2721">
        <f t="shared" ref="T14:T45" si="16">IF(DR54="","",IF(DR54="ERR",DQ54-(S14*12),DR54-(S14*12)))</f>
        <v>6.25</v>
      </c>
      <c r="U14" s="2720">
        <f t="shared" ref="U14:U45" si="17">IF(DY54="","",IF(DY54="ERR",TRUNC(DX54/12),TRUNC(DY54/12)))</f>
        <v>0</v>
      </c>
      <c r="V14" s="2721">
        <f t="shared" ref="V14:V45" si="18">IF(DY54="","",IF(DY54="ERR",DX54-(U14*12),DY54-(U14*12)))</f>
        <v>3</v>
      </c>
      <c r="W14" s="2753">
        <f t="shared" ref="W14:W45" si="19">IF(EC54="",0,EC54)</f>
        <v>5</v>
      </c>
      <c r="X14" s="2755" t="str">
        <f t="shared" ref="X14:X45" si="20">IF(EN54="","",EN54)</f>
        <v/>
      </c>
      <c r="Y14" s="2756" t="str">
        <f t="shared" ref="Y14:Y45" si="21">IF(ES54="","",ES54)</f>
        <v/>
      </c>
      <c r="Z14" s="2698" t="s">
        <v>1880</v>
      </c>
      <c r="AA14" s="2757" t="str">
        <f t="shared" ref="AA14:AA45" si="22">IF(ISBLANK(DD14),"",DD14)</f>
        <v/>
      </c>
      <c r="AB14" s="2718" t="str">
        <f t="shared" ref="AB14:AB45" si="23">IF(ISBLANK(DH14),"",DH14)</f>
        <v>G17</v>
      </c>
      <c r="AC14" s="2719" t="str">
        <f t="shared" ref="AC14:AC45" si="24">IF(ISBLANK(DI14),"",UPPER(DI14))</f>
        <v>B</v>
      </c>
      <c r="AD14" s="2720">
        <f t="shared" ref="AD14:AD45" si="25">IF(ISERROR(FV54),"",IF(FV54="","",TRUNC(FV54/12)))</f>
        <v>3</v>
      </c>
      <c r="AE14" s="2721">
        <f t="shared" ref="AE14:AE45" si="26">IF(ISERROR(FV54),"",IF(FV54="","",FV54-(AD14*12)))</f>
        <v>10</v>
      </c>
      <c r="AF14" s="2719">
        <f t="shared" ref="AF14:AF45" si="27">IF(ISERROR(FO54),"",IF(FO54="","",FO54))</f>
        <v>5</v>
      </c>
      <c r="AG14" s="2720">
        <f t="shared" ref="AG14:AG45" si="28">IF(ISERROR(FX54),"",IF(FX54="","",TRUNC(FX54/12)))</f>
        <v>8</v>
      </c>
      <c r="AH14" s="2721">
        <f t="shared" ref="AH14:AH45" si="29">IF(ISERROR(FX54),"",IF(FX54="","",FX54-(AG14*12)))</f>
        <v>0</v>
      </c>
      <c r="AI14" s="2720">
        <f t="shared" ref="AI14:AI45" si="30">IF(ISERROR(FZ54),"",IF(FZ54="","",TRUNC(FZ54/12)))</f>
        <v>7</v>
      </c>
      <c r="AJ14" s="2721">
        <f t="shared" ref="AJ14:AJ45" si="31">IF(ISERROR(FZ54),"",IF(FZ54="","",FZ54-(AI14*12)))</f>
        <v>11</v>
      </c>
      <c r="AK14" s="2722" t="str">
        <f t="shared" ref="AK14:AO45" si="32">IF(ISBLANK(DO14),"",DO14)</f>
        <v/>
      </c>
      <c r="AL14" s="2723" t="str">
        <f t="shared" ref="AL14:AL45" si="33">IF(ISBLANK(DP14),"",UPPER(DP14))</f>
        <v/>
      </c>
      <c r="AM14" s="2724">
        <f t="shared" si="32"/>
        <v>5</v>
      </c>
      <c r="AN14" s="2719">
        <f t="shared" si="32"/>
        <v>13</v>
      </c>
      <c r="AO14" s="2753">
        <f t="shared" si="32"/>
        <v>4</v>
      </c>
      <c r="AP14" s="2726" t="str">
        <f t="shared" ref="AP14:AQ45" si="34">IF(ISERROR(GD54),"ERR",IF(OR(GD54="",GD54=0),"",GD54))</f>
        <v/>
      </c>
      <c r="AQ14" s="2727" t="str">
        <f t="shared" si="34"/>
        <v/>
      </c>
      <c r="AR14" s="2728" t="str">
        <f t="shared" ref="AR14:AR45" si="35">IF(ISERROR(GF54),"ERR",IF(GF54="","",IF(ISTEXT(GF54),"P",TRUNC(GF54/12))))</f>
        <v>P</v>
      </c>
      <c r="AS14" s="2721" t="str">
        <f t="shared" ref="AS14:AS45" si="36">IF(ISERROR(GF54),"",IF(GF54="","",IF(AR14="P",GF54,GF54-(AR14*12))))</f>
        <v>#1</v>
      </c>
      <c r="AT14" s="2729" t="str">
        <f t="shared" ref="AT14:AT45" si="37">IF(ISBLANK(DX14),"",DX14)</f>
        <v/>
      </c>
      <c r="AU14" s="2731" t="str">
        <f t="shared" ref="AU14:AU45" si="38">IF(ISBLANK(DY14),"",UPPER(DY14))</f>
        <v>B</v>
      </c>
      <c r="AV14" s="2754" t="str">
        <f t="shared" ref="AV14:AV45" si="39">IF(ISERROR(GG54),"ERR",IF(GG54="","",IF(ISTEXT(GG54),"P",TRUNC(GG54/12))))</f>
        <v/>
      </c>
      <c r="AW14" s="2721" t="str">
        <f t="shared" ref="AW14:AW45" si="40">IF(ISERROR(GG54),"",IF(GG54="","",IF(AV14="P",GG54,GG54-(AV14*12))))</f>
        <v/>
      </c>
      <c r="AX14" s="2729" t="str">
        <f t="shared" ref="AX14:AX45" si="41">IF(ISBLANK(EB14),"",EB14)</f>
        <v/>
      </c>
      <c r="AY14" s="2731" t="str">
        <f t="shared" ref="AY14:AY45" si="42">IF(ISBLANK(EC14),"",UPPER(EC14))</f>
        <v/>
      </c>
      <c r="AZ14" s="2754" t="str">
        <f t="shared" ref="AZ14:AZ45" si="43">IF(ISERROR(GH54),"ERR",IF(GH54="","",IF(ISTEXT(GH54),"P",TRUNC(GH54/12))))</f>
        <v/>
      </c>
      <c r="BA14" s="2721" t="str">
        <f t="shared" ref="BA14:BA45" si="44">IF(ISERROR(GH54),"",IF(GH54="","",IF(AZ14="P",GH54,GH54-(AZ14*12))))</f>
        <v/>
      </c>
      <c r="BB14" s="2729" t="str">
        <f t="shared" ref="BB14:BB45" si="45">IF(ISBLANK(EF14),"",EF14)</f>
        <v/>
      </c>
      <c r="BC14" s="2731" t="str">
        <f t="shared" ref="BC14:BC45" si="46">IF(ISBLANK(EG14),"",UPPER(EG14))</f>
        <v/>
      </c>
      <c r="BD14" s="2754" t="str">
        <f t="shared" ref="BD14:BD45" si="47">IF(ISERROR(GI54),"ERR",IF(GI54="","",IF(ISTEXT(GI54),"P",TRUNC(GI54/12))))</f>
        <v/>
      </c>
      <c r="BE14" s="2721" t="str">
        <f t="shared" ref="BE14:BE45" si="48">IF(ISERROR(GI54),"",IF(GI54="","",IF(BD14="P",GI54,GI54-(BD14*12))))</f>
        <v/>
      </c>
      <c r="BF14" s="2729" t="str">
        <f t="shared" ref="BF14:BF45" si="49">IF(ISBLANK(EJ14),"",EJ14)</f>
        <v/>
      </c>
      <c r="BG14" s="2731" t="str">
        <f t="shared" ref="BG14:BG45" si="50">IF(ISBLANK(EK14),"",UPPER(EK14))</f>
        <v/>
      </c>
      <c r="BH14" s="1417"/>
      <c r="BJ14" s="995" t="str">
        <f>IF(OR(ISBLANK(A14),A14=""),"",A14)</f>
        <v>G17</v>
      </c>
      <c r="BK14" s="993" t="b">
        <f t="shared" ref="BK14:BK45" si="51">IF($BK$1,IF(BJ14=BJ13,BK13,IF(AND(BJ14&lt;&gt;"",OR(B14=0,B14="")),TRUE,FALSE)),FALSE)</f>
        <v>0</v>
      </c>
      <c r="BL14" s="1784" t="b">
        <v>0</v>
      </c>
      <c r="BM14" s="989">
        <f t="shared" ref="BM14:BM45" si="52">IF(C14="",0,VALUE(IF(BN14="","",LEFT(C14,SEARCH(BN14,C14)-1))))</f>
        <v>60</v>
      </c>
      <c r="BN14" s="989" t="str">
        <f t="shared" ref="BN14:BN45" si="53">IF(C14="",0,IF(NOT(ISERROR(SEARCH("VG",C14))),"VG",IF(NOT(ISERROR(SEARCH("BG",C14))),"BG",IF(NOT(ISERROR(SEARCH("G",C14))),"G"))))</f>
        <v>G</v>
      </c>
      <c r="BO14" s="989">
        <f t="shared" ref="BO14:BO45" si="54">IF(C14="",0,VALUE(MID(C14,SEARCH(BN14,C14)+LEN(BN14),SEARCH("N",C14)-SEARCH(BN14,C14)-LEN(BN14))))</f>
        <v>7</v>
      </c>
      <c r="BP14" s="989" t="str">
        <f t="shared" ref="BP14:BP45" si="5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11/5</v>
      </c>
      <c r="BQ14" s="989">
        <f t="shared" ref="BQ14:BQ45" si="56">IF(ISERROR(SEARCH("F",C14)),IF(C14="",0,IF(SEARCH("K",C14)=LEN(C14),0,VALUE(MID(C14,SEARCH("K",C14)+1,LEN(C14))))),IF(C14="",0,IF(SEARCH("F",C14)=LEN(C14),0,VALUE(MID(C14,SEARCH("F",C14)+1,LEN(C14))))))</f>
        <v>2.4</v>
      </c>
      <c r="BR14" s="989" t="b">
        <f t="shared" ref="BR14:BR45" si="57">IF(OR(ISERROR(BM14),ISERROR(BN14),ISERROR(BO14),ISERROR(BP14),ISERROR(BQ14)),FALSE,TRUE)</f>
        <v>1</v>
      </c>
      <c r="BS14" s="1303">
        <f t="shared" ref="BS14:BS45" si="58">6+IF(LEFT(I14,1)="R",IF(ISNUMBER(G14),G14*12,0)+IF(ISNUMBER(H14),H14,0),0)</f>
        <v>7.75</v>
      </c>
      <c r="BT14" s="990" t="str">
        <f t="shared" ref="BT14:BT45" si="59">IF(IF(ISNUMBER(S14),S14*12,0)+IF(ISNUMBER(T14),T14,0)&gt;0,IF(AND(IF(ISNUMBER(S14),S14*12,0)+IF(ISNUMBER(T14),T14,0)&gt;=$FE$4/2+$EX$6,IF(ISNUMBER(S14),S14*12,0)+IF(ISNUMBER(T14),T14,0)&lt;=(BS14-($FE$4/2+$EX$6))+IF(I14="X",2,0)),"Yes","No"),"No")</f>
        <v>Yes</v>
      </c>
      <c r="BU14" s="1303">
        <f t="shared" ref="BU14:BU45" si="60">6+IF(LEFT(L14,1)="R",IF(ISNUMBER(J14),J14*12,0)+IF(ISNUMBER(K14),K14,0),0)</f>
        <v>6</v>
      </c>
      <c r="BV14" s="990" t="str">
        <f t="shared" ref="BV14:BV45" si="61">IF(IF(ISNUMBER(U14),U14*12,0)+IF(ISNUMBER(V14),V14,0)&gt;0,IF(AND(IF(ISNUMBER(U14),U14*12,0)+IF(ISNUMBER(V14),V14,0)&gt;=$FE$4/2+$EX$6,IF(ISNUMBER(U14),U14*12,0)+IF(ISNUMBER(V14),V14,0)&lt;=(BU14-($FE$4/2+$EX$6))+IF(L14="X",2,0)),"Yes","No"),"No")</f>
        <v>Yes</v>
      </c>
      <c r="BW14" s="991">
        <f t="shared" ref="BW14:BW45" si="62">IF(AB14="",0,1)+IF(AC14="",0,1)+IF(AD14="",0,1)+IF(AE14="",0,1)+IF(AF14="",0,1)+IF(AG14="",0,1)+IF(AH14="",0,1)+IF(AI14="",0,1)+IF(AJ14="",0,1)+IF(AK14="",0,1)+IF(AL14="",0,1)+IF(AM14="",0,1)+IF(AN14="",0,1)+IF(AO14="",0,1)+IF(AP14="",0,1)+IF(AQ14="",0,1)+IF(AR14="",0,1)+IF(AS14="",0,1)+IF(AT14="",0,1)+IF(AU14="",0,1)+IF(AV14="",0,1)+IF(AW14="",0,1)+IF(AX14="",0,1)+IF(AY14="",0,1)+IF(AZ14="",0,1)+IF(BA14="",0,1)+IF(BB14="",0,1)+IF(BC14="",0,1)+IF(BD14="",0,1)+IF(BE14="",0,1)+IF(BF14="",0,1)+IF(BG14="",0,1)</f>
        <v>15</v>
      </c>
      <c r="BX14" s="991" t="str">
        <f t="shared" ref="BX14:BX45" si="63">IF(AND(AB14="",BW14&gt;0),BX13,IF(ISBLANK(AB14),"",AB14))</f>
        <v>G17</v>
      </c>
      <c r="BY14" s="991" t="b">
        <f t="shared" ref="BY14:BY45" si="64">IF(ISERROR(VLOOKUP(BX14,$BJ$14:$BL$45,3,FALSE)),FALSE,VLOOKUP(BX14,$BJ$14:$BL$45,3,FALSE))</f>
        <v>0</v>
      </c>
      <c r="BZ14" s="991" t="b">
        <f>IF($BK$1,IF(BX14="",FALSE,IF(ISERROR(VLOOKUP(BX14,$A$14:$B$45,2,FALSE)),FALSE,IF(VLOOKUP(BX14,$A$14:$B$45,2,FALSE)=0,TRUE,FALSE))))</f>
        <v>0</v>
      </c>
      <c r="CB14" s="672" t="s">
        <v>1413</v>
      </c>
      <c r="CC14" s="1684">
        <v>1</v>
      </c>
      <c r="CD14" s="696" t="s">
        <v>1714</v>
      </c>
      <c r="CE14" s="697">
        <v>52</v>
      </c>
      <c r="CF14" s="698">
        <v>4.5</v>
      </c>
      <c r="CG14" s="664">
        <v>6</v>
      </c>
      <c r="CH14" s="709"/>
      <c r="CI14" s="710"/>
      <c r="CJ14" s="709"/>
      <c r="CK14" s="710"/>
      <c r="CL14" s="711"/>
      <c r="CM14" s="742"/>
      <c r="CN14" s="1614"/>
      <c r="CO14" s="1615"/>
      <c r="CP14" s="1616"/>
      <c r="CQ14" s="664">
        <v>17</v>
      </c>
      <c r="CR14" s="709"/>
      <c r="CS14" s="710"/>
      <c r="CT14" s="709"/>
      <c r="CU14" s="710"/>
      <c r="CV14" s="711"/>
      <c r="CW14" s="742"/>
      <c r="CX14" s="1614"/>
      <c r="CY14" s="1615"/>
      <c r="CZ14" s="1616"/>
      <c r="DA14" s="712"/>
      <c r="DB14" s="702" t="s">
        <v>1717</v>
      </c>
      <c r="DC14" s="703" t="s">
        <v>158</v>
      </c>
      <c r="DD14" s="723"/>
      <c r="DE14" s="724">
        <v>11.125</v>
      </c>
      <c r="DF14" s="141"/>
      <c r="DG14" s="141"/>
      <c r="DH14" s="672" t="s">
        <v>1413</v>
      </c>
      <c r="DI14" s="665" t="s">
        <v>35</v>
      </c>
      <c r="DJ14" s="690">
        <v>4</v>
      </c>
      <c r="DK14" s="1331">
        <v>0</v>
      </c>
      <c r="DL14" s="666">
        <v>5</v>
      </c>
      <c r="DM14" s="691">
        <v>8</v>
      </c>
      <c r="DN14" s="1334">
        <v>0</v>
      </c>
      <c r="DO14" s="667"/>
      <c r="DP14" s="668"/>
      <c r="DQ14" s="1419">
        <v>5</v>
      </c>
      <c r="DR14" s="669">
        <v>13</v>
      </c>
      <c r="DS14" s="1419">
        <v>4</v>
      </c>
      <c r="DT14" s="1422"/>
      <c r="DU14" s="1423"/>
      <c r="DV14" s="678" t="s">
        <v>1018</v>
      </c>
      <c r="DW14" s="1337" t="s">
        <v>1705</v>
      </c>
      <c r="DX14" s="679"/>
      <c r="DY14" s="674" t="s">
        <v>35</v>
      </c>
      <c r="DZ14" s="678"/>
      <c r="EA14" s="1337"/>
      <c r="EB14" s="679"/>
      <c r="EC14" s="674"/>
      <c r="ED14" s="678"/>
      <c r="EE14" s="1337"/>
      <c r="EF14" s="679"/>
      <c r="EG14" s="674"/>
      <c r="EH14" s="678"/>
      <c r="EI14" s="1337"/>
      <c r="EJ14" s="679"/>
      <c r="EK14" s="680"/>
      <c r="EL14" s="241"/>
      <c r="EM14" s="1630" t="str">
        <f t="shared" ref="EM14:EM45" si="65">IF(ISBLANK(CB14),"",CB14)</f>
        <v>G17</v>
      </c>
      <c r="EN14" s="1426" t="str">
        <f t="shared" ref="EN14:EN45" si="66">IF(DQ54=DR54,"",CONCATENATE(IF(CL14&lt;0,"NS ","FS "),IF(DR54="ERR","Slot Only",CONCATENATE("Slot @ ",DQ54))))</f>
        <v/>
      </c>
      <c r="EO14" s="1427" t="str">
        <f t="shared" ref="EO14:EO45" si="67">IF(DX54=DY54,"",CONCATENATE(IF(CV14&lt;0,"FS ","NS "),IF(DY54="ERR","Slot Only",CONCATENATE("Slot @ ",DX54))))</f>
        <v/>
      </c>
      <c r="EP14" s="1428" t="str">
        <f t="shared" ref="EP14:EP45" si="68">IF(EC54="","",IF(CI54&lt;&gt;EC54,CONCATENATE("LE slots @ ",CI54," Ga."),IF(CR54&lt;&gt;EC54,CONCATENATE("RE slots @ ",CR54," Ga."),"")))</f>
        <v/>
      </c>
      <c r="EQ14" s="1434" t="str">
        <f t="shared" ref="EQ14:EQ45" si="69">IF(AND(ET14&lt;&gt;"",CL14&lt;&gt;"",EU14&lt;&gt;"",CV14&lt;&gt;""),"BE",IF(AND(ET14&lt;&gt;"",CL14&lt;&gt;""),"LE",IF(AND(EU14&lt;&gt;"",CV14&lt;&gt;""),"RE","")))</f>
        <v/>
      </c>
      <c r="ER14" s="1437" t="str">
        <f t="shared" ref="ER14:ER45" si="70">IF(ISBLANK(CO14),"",IF(CEILING(DB54,0.125)&lt;=DC54+$FA$4,"",CEILING(DB54,0.125)))</f>
        <v/>
      </c>
      <c r="ES14" s="1438" t="str">
        <f t="shared" ref="ES14:ES45" si="71">IF(ISBLANK(CY14),"",IF(CEILING(DH54,0.125)&lt;=DI54+$FA$4,"",CEILING(DH54,0.125)))</f>
        <v/>
      </c>
      <c r="ET14" s="1439" t="str">
        <f t="shared" ref="ET14:ET45" si="72">IF(CG14="","",IF($FB$4&gt;EV54,EV54,""))</f>
        <v/>
      </c>
      <c r="EU14" s="1440"/>
      <c r="EX14" s="503" t="str">
        <f>CONCATENATE(BX14,AC14)</f>
        <v>G17B</v>
      </c>
      <c r="EY14" s="940" t="b">
        <f t="shared" ref="EY14:EY45" ca="1" si="73">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621</v>
      </c>
      <c r="FC14" s="134">
        <f t="shared" ref="FC14:FC45" si="74">IF(ISNUMBER(AD14),AD14,0)*12+IF(ISNUMBER(AE14),AE14,0)</f>
        <v>46</v>
      </c>
      <c r="FD14" s="134">
        <f t="shared" ref="FD14:FD45" si="75">IF(ISNUMBER(AF14),AF14,0)*(IF(ISNUMBER(AG14),AG14,0)*12+IF(ISNUMBER(AH14),AH14,0))</f>
        <v>480</v>
      </c>
      <c r="FE14" s="134">
        <f t="shared" ref="FE14:FE45" si="76">IF(ISNUMBER(AI14),AI14,0)*12+IF(ISNUMBER(AJ14),AJ14,0)</f>
        <v>95</v>
      </c>
      <c r="FF14" s="134">
        <f>SUM(FC14:FE14)+IF(FE14=0,FF15,0)</f>
        <v>621</v>
      </c>
      <c r="FN14" s="754" t="b">
        <v>0</v>
      </c>
      <c r="FO14" s="754" t="b">
        <f t="shared" ref="FO14:FO45" si="77">NOT(ISERROR(VLOOKUP(A14,$AB$14:$AB$45,1,FALSE)))</f>
        <v>1</v>
      </c>
      <c r="FP14" s="754" t="b">
        <v>0</v>
      </c>
      <c r="FQ14" s="754" t="b">
        <f>NOT(ISERROR(VLOOKUP(AB14,$A$14:$A$45,1,FALSE)))</f>
        <v>1</v>
      </c>
      <c r="FW14" s="2"/>
      <c r="FX14" s="2"/>
      <c r="FZ14" s="2"/>
      <c r="GA14" s="581">
        <f t="shared" ref="GA14:GA45" si="78">IF(GF14="","",CE14)</f>
        <v>52</v>
      </c>
      <c r="GB14" s="623">
        <f t="shared" ref="GB14:GB45" si="79">IF(GF14="","",CF14)</f>
        <v>4.5</v>
      </c>
      <c r="GC14" s="625">
        <f t="shared" ref="GC14:GC45" si="80">IF(GF14="","",IF(CD54="",0,CD54))</f>
        <v>-0.25</v>
      </c>
      <c r="GD14" s="626">
        <f t="shared" ref="GD14:GD45" si="81">IF(GF14="","",IF(CM54="",0,CM54))</f>
        <v>-5.5</v>
      </c>
      <c r="GE14" s="624">
        <f t="shared" ref="GE14:GE45" si="82">IF(GF14="","",IF(ISBLANK(DA14),IF(X14=Y14,0,MAX(ABS(X14),ABS(Y14))*IF(X14&lt;0,-1,1)),DA14))</f>
        <v>0</v>
      </c>
      <c r="GF14" s="582" t="str">
        <f t="shared" ref="GF14:GF45" si="83">IF(A14=0,"",A14)</f>
        <v>G17</v>
      </c>
      <c r="GG14" s="692">
        <v>0</v>
      </c>
      <c r="GH14" s="1135">
        <v>0</v>
      </c>
      <c r="GI14" s="692"/>
      <c r="GJ14" s="1135"/>
      <c r="GK14" s="1641">
        <f t="shared" ref="GK14:GK45" si="84">IF(D14="",0,D14*12+E14)</f>
        <v>622.75</v>
      </c>
      <c r="GL14" s="1641">
        <f t="shared" ref="GL14:GL45" si="85">(GA14*12+GB14+GC14+GD14)/COS(ATAN(ABS(GE14/12)))</f>
        <v>622.75</v>
      </c>
      <c r="GM14" s="1642">
        <f>IF(ABS(GK14-GL14)&gt;='Job Info.'!$L$22,ABS(GK14-GL14),0)</f>
        <v>0</v>
      </c>
      <c r="HA14" s="1242" t="s">
        <v>1413</v>
      </c>
      <c r="HB14" s="1243">
        <v>1</v>
      </c>
      <c r="HC14" s="1243" t="s">
        <v>1714</v>
      </c>
      <c r="HD14" s="1244">
        <v>52</v>
      </c>
      <c r="HE14" s="1245">
        <v>4.5</v>
      </c>
      <c r="HF14" s="1243">
        <v>6</v>
      </c>
      <c r="HG14" s="1243"/>
      <c r="HH14" s="1243"/>
      <c r="HI14" s="1243"/>
      <c r="HJ14" s="1243"/>
      <c r="HK14" s="1243"/>
      <c r="HL14" s="1243"/>
      <c r="HM14" s="1243"/>
      <c r="HN14" s="1243"/>
      <c r="HO14" s="1243"/>
      <c r="HP14" s="1243">
        <v>17</v>
      </c>
      <c r="HQ14" s="1243"/>
      <c r="HR14" s="1243"/>
      <c r="HS14" s="1243"/>
      <c r="HT14" s="1243"/>
      <c r="HU14" s="1243"/>
      <c r="HV14" s="1243"/>
      <c r="HW14" s="1243"/>
      <c r="HX14" s="1243"/>
      <c r="HY14" s="1247"/>
      <c r="HZ14" s="1247"/>
      <c r="IA14" s="1247" t="s">
        <v>1717</v>
      </c>
      <c r="IB14" s="1247" t="s">
        <v>158</v>
      </c>
      <c r="IC14" s="1247"/>
      <c r="ID14" s="1262">
        <v>11.125</v>
      </c>
      <c r="IE14" s="1257" t="s">
        <v>1413</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83" t="str">
        <f t="shared" si="0"/>
        <v>G18</v>
      </c>
      <c r="B15" s="2684">
        <f t="shared" si="0"/>
        <v>2</v>
      </c>
      <c r="C15" s="2685" t="s">
        <v>1714</v>
      </c>
      <c r="D15" s="2686">
        <f t="shared" si="1"/>
        <v>51</v>
      </c>
      <c r="E15" s="2687">
        <f t="shared" si="2"/>
        <v>11.5</v>
      </c>
      <c r="F15" s="2688">
        <f t="shared" si="3"/>
        <v>11.125</v>
      </c>
      <c r="G15" s="2689">
        <f t="shared" si="4"/>
        <v>0</v>
      </c>
      <c r="H15" s="2690">
        <f t="shared" si="5"/>
        <v>1.75</v>
      </c>
      <c r="I15" s="2691" t="str">
        <f t="shared" si="6"/>
        <v>R</v>
      </c>
      <c r="J15" s="2686">
        <f t="shared" si="7"/>
        <v>0</v>
      </c>
      <c r="K15" s="2690">
        <f t="shared" si="8"/>
        <v>1.75</v>
      </c>
      <c r="L15" s="2692" t="str">
        <f t="shared" si="9"/>
        <v>R</v>
      </c>
      <c r="M15" s="2693">
        <f t="shared" si="10"/>
        <v>7.5</v>
      </c>
      <c r="N15" s="2694">
        <f t="shared" si="10"/>
        <v>7.5</v>
      </c>
      <c r="O15" s="2689">
        <f t="shared" si="11"/>
        <v>0</v>
      </c>
      <c r="P15" s="2690">
        <f t="shared" si="12"/>
        <v>6.75</v>
      </c>
      <c r="Q15" s="2686">
        <f t="shared" si="13"/>
        <v>0</v>
      </c>
      <c r="R15" s="2687">
        <f t="shared" si="14"/>
        <v>6.75</v>
      </c>
      <c r="S15" s="2695">
        <f t="shared" si="15"/>
        <v>0</v>
      </c>
      <c r="T15" s="2690">
        <f t="shared" si="16"/>
        <v>6.25</v>
      </c>
      <c r="U15" s="2686">
        <f t="shared" si="17"/>
        <v>0</v>
      </c>
      <c r="V15" s="2690">
        <f t="shared" si="18"/>
        <v>6.25</v>
      </c>
      <c r="W15" s="2694">
        <f t="shared" si="19"/>
        <v>5</v>
      </c>
      <c r="X15" s="2696" t="str">
        <f t="shared" si="20"/>
        <v/>
      </c>
      <c r="Y15" s="2697" t="str">
        <f t="shared" si="21"/>
        <v/>
      </c>
      <c r="Z15" s="2698" t="s">
        <v>1881</v>
      </c>
      <c r="AA15" s="2758" t="str">
        <f t="shared" si="22"/>
        <v/>
      </c>
      <c r="AB15" s="2683" t="str">
        <f t="shared" si="23"/>
        <v>G18</v>
      </c>
      <c r="AC15" s="2691" t="str">
        <f t="shared" si="24"/>
        <v>B</v>
      </c>
      <c r="AD15" s="2686">
        <f t="shared" ca="1" si="25"/>
        <v>3</v>
      </c>
      <c r="AE15" s="2690">
        <f t="shared" ca="1" si="26"/>
        <v>10</v>
      </c>
      <c r="AF15" s="2691">
        <f t="shared" ca="1" si="27"/>
        <v>5</v>
      </c>
      <c r="AG15" s="2686">
        <f t="shared" ca="1" si="28"/>
        <v>8</v>
      </c>
      <c r="AH15" s="2690">
        <f t="shared" ca="1" si="29"/>
        <v>0</v>
      </c>
      <c r="AI15" s="2686">
        <f t="shared" ca="1" si="30"/>
        <v>7</v>
      </c>
      <c r="AJ15" s="2690">
        <f t="shared" ca="1" si="31"/>
        <v>10</v>
      </c>
      <c r="AK15" s="2732" t="str">
        <f t="shared" si="32"/>
        <v/>
      </c>
      <c r="AL15" s="2733" t="str">
        <f t="shared" si="33"/>
        <v/>
      </c>
      <c r="AM15" s="2734">
        <f t="shared" si="32"/>
        <v>5</v>
      </c>
      <c r="AN15" s="2691">
        <f t="shared" si="32"/>
        <v>13</v>
      </c>
      <c r="AO15" s="2694">
        <f t="shared" si="32"/>
        <v>4</v>
      </c>
      <c r="AP15" s="2693" t="str">
        <f t="shared" si="34"/>
        <v/>
      </c>
      <c r="AQ15" s="2736">
        <f t="shared" si="34"/>
        <v>1.75</v>
      </c>
      <c r="AR15" s="2689" t="str">
        <f t="shared" si="35"/>
        <v>P</v>
      </c>
      <c r="AS15" s="2690" t="str">
        <f t="shared" si="36"/>
        <v>#1</v>
      </c>
      <c r="AT15" s="2737" t="str">
        <f t="shared" si="37"/>
        <v/>
      </c>
      <c r="AU15" s="2738" t="str">
        <f t="shared" si="38"/>
        <v>B</v>
      </c>
      <c r="AV15" s="2695">
        <f t="shared" si="39"/>
        <v>51</v>
      </c>
      <c r="AW15" s="2690">
        <f t="shared" si="40"/>
        <v>0</v>
      </c>
      <c r="AX15" s="2737" t="str">
        <f t="shared" si="41"/>
        <v/>
      </c>
      <c r="AY15" s="2738" t="str">
        <f t="shared" si="42"/>
        <v>B</v>
      </c>
      <c r="AZ15" s="2695" t="str">
        <f t="shared" si="43"/>
        <v/>
      </c>
      <c r="BA15" s="2690" t="str">
        <f t="shared" si="44"/>
        <v/>
      </c>
      <c r="BB15" s="2737" t="str">
        <f t="shared" si="45"/>
        <v/>
      </c>
      <c r="BC15" s="2738" t="str">
        <f t="shared" si="46"/>
        <v/>
      </c>
      <c r="BD15" s="2695" t="str">
        <f t="shared" si="47"/>
        <v/>
      </c>
      <c r="BE15" s="2690" t="str">
        <f t="shared" si="48"/>
        <v/>
      </c>
      <c r="BF15" s="2737" t="str">
        <f t="shared" si="49"/>
        <v/>
      </c>
      <c r="BG15" s="2738" t="str">
        <f t="shared" si="50"/>
        <v/>
      </c>
      <c r="BH15" s="1417"/>
      <c r="BJ15" s="995" t="str">
        <f>IF(AND(OR(ISBLANK(A15),A15=""),Z15&lt;&gt;""),BJ14,IF(OR(ISBLANK(A15),A15=""),"",A15))</f>
        <v>G18</v>
      </c>
      <c r="BK15" s="993" t="b">
        <f t="shared" si="51"/>
        <v>0</v>
      </c>
      <c r="BL15" s="1784" t="b">
        <v>0</v>
      </c>
      <c r="BM15" s="989">
        <f t="shared" si="52"/>
        <v>60</v>
      </c>
      <c r="BN15" s="989" t="str">
        <f t="shared" si="53"/>
        <v>G</v>
      </c>
      <c r="BO15" s="989">
        <f t="shared" si="54"/>
        <v>7</v>
      </c>
      <c r="BP15" s="989" t="str">
        <f t="shared" si="55"/>
        <v>11/5</v>
      </c>
      <c r="BQ15" s="989">
        <f t="shared" si="56"/>
        <v>2.4</v>
      </c>
      <c r="BR15" s="989" t="b">
        <f t="shared" si="57"/>
        <v>1</v>
      </c>
      <c r="BS15" s="1303">
        <f t="shared" si="58"/>
        <v>7.75</v>
      </c>
      <c r="BT15" s="990" t="str">
        <f t="shared" si="59"/>
        <v>Yes</v>
      </c>
      <c r="BU15" s="1303">
        <f t="shared" si="60"/>
        <v>7.75</v>
      </c>
      <c r="BV15" s="990" t="str">
        <f t="shared" si="61"/>
        <v>Yes</v>
      </c>
      <c r="BW15" s="991">
        <f t="shared" ca="1" si="62"/>
        <v>19</v>
      </c>
      <c r="BX15" s="991" t="str">
        <f t="shared" ca="1" si="63"/>
        <v>G18</v>
      </c>
      <c r="BY15" s="991" t="b">
        <f t="shared" ca="1" si="64"/>
        <v>0</v>
      </c>
      <c r="BZ15" s="991" t="b">
        <f t="shared" ref="BZ15:BZ45" si="86">IF($BK$1,IF(BX15="",FALSE,IF(ISERROR(VLOOKUP(BX15,$A$14:$B$45,2,FALSE)),FALSE,IF(VLOOKUP(BX15,$A$14:$B$45,2,FALSE)=0,TRUE,FALSE))))</f>
        <v>0</v>
      </c>
      <c r="CB15" s="672" t="s">
        <v>1414</v>
      </c>
      <c r="CC15" s="1685">
        <v>2</v>
      </c>
      <c r="CD15" s="699" t="s">
        <v>1714</v>
      </c>
      <c r="CE15" s="700">
        <v>52</v>
      </c>
      <c r="CF15" s="701">
        <v>0</v>
      </c>
      <c r="CG15" s="672">
        <v>6</v>
      </c>
      <c r="CH15" s="713"/>
      <c r="CI15" s="714"/>
      <c r="CJ15" s="713"/>
      <c r="CK15" s="714"/>
      <c r="CL15" s="715"/>
      <c r="CM15" s="743"/>
      <c r="CN15" s="738"/>
      <c r="CO15" s="1552"/>
      <c r="CP15" s="910"/>
      <c r="CQ15" s="672">
        <v>6</v>
      </c>
      <c r="CR15" s="713"/>
      <c r="CS15" s="714"/>
      <c r="CT15" s="713"/>
      <c r="CU15" s="714"/>
      <c r="CV15" s="715"/>
      <c r="CW15" s="743"/>
      <c r="CX15" s="738"/>
      <c r="CY15" s="1552"/>
      <c r="CZ15" s="910"/>
      <c r="DA15" s="717"/>
      <c r="DB15" s="702" t="s">
        <v>1718</v>
      </c>
      <c r="DC15" s="703"/>
      <c r="DD15" s="725"/>
      <c r="DE15" s="726">
        <v>11.125</v>
      </c>
      <c r="DF15" s="141"/>
      <c r="DG15" s="141"/>
      <c r="DH15" s="672" t="s">
        <v>1414</v>
      </c>
      <c r="DI15" s="673" t="s">
        <v>35</v>
      </c>
      <c r="DJ15" s="692">
        <v>4</v>
      </c>
      <c r="DK15" s="1332">
        <v>0</v>
      </c>
      <c r="DL15" s="674">
        <v>5</v>
      </c>
      <c r="DM15" s="693">
        <v>8</v>
      </c>
      <c r="DN15" s="1335">
        <v>0</v>
      </c>
      <c r="DO15" s="675"/>
      <c r="DP15" s="676"/>
      <c r="DQ15" s="1420">
        <v>5</v>
      </c>
      <c r="DR15" s="677">
        <v>13</v>
      </c>
      <c r="DS15" s="1420">
        <v>4</v>
      </c>
      <c r="DT15" s="1422"/>
      <c r="DU15" s="1423">
        <v>2</v>
      </c>
      <c r="DV15" s="678" t="s">
        <v>1018</v>
      </c>
      <c r="DW15" s="1337" t="s">
        <v>1705</v>
      </c>
      <c r="DX15" s="679"/>
      <c r="DY15" s="674" t="s">
        <v>35</v>
      </c>
      <c r="DZ15" s="2661">
        <v>51</v>
      </c>
      <c r="EA15" s="2664">
        <v>0.25</v>
      </c>
      <c r="EB15" s="679"/>
      <c r="EC15" s="2665" t="s">
        <v>35</v>
      </c>
      <c r="ED15" s="678"/>
      <c r="EE15" s="1337"/>
      <c r="EF15" s="679"/>
      <c r="EG15" s="674"/>
      <c r="EH15" s="678"/>
      <c r="EI15" s="1337"/>
      <c r="EJ15" s="679"/>
      <c r="EK15" s="680"/>
      <c r="EL15" s="241"/>
      <c r="EM15" s="1632" t="str">
        <f t="shared" si="65"/>
        <v>G18</v>
      </c>
      <c r="EN15" s="1429" t="str">
        <f t="shared" si="66"/>
        <v/>
      </c>
      <c r="EO15" s="1430" t="str">
        <f t="shared" si="67"/>
        <v/>
      </c>
      <c r="EP15" s="1431" t="str">
        <f t="shared" si="68"/>
        <v/>
      </c>
      <c r="EQ15" s="1435" t="str">
        <f t="shared" si="69"/>
        <v/>
      </c>
      <c r="ER15" s="1441" t="str">
        <f t="shared" si="70"/>
        <v/>
      </c>
      <c r="ES15" s="1442" t="str">
        <f t="shared" si="71"/>
        <v/>
      </c>
      <c r="ET15" s="1443" t="str">
        <f t="shared" si="72"/>
        <v/>
      </c>
      <c r="EU15" s="1444" t="str">
        <f t="shared" ref="EU15:EU45" si="87">IF(CQ15="","",IF($FB$4&gt;EW55,EW55,""))</f>
        <v/>
      </c>
      <c r="EX15" s="503" t="str">
        <f t="shared" ref="EX15:EX45" ca="1" si="88">IF(AND(AC15="",BX15=BX14),EX14,CONCATENATE(BX15,AC15))</f>
        <v>G18B</v>
      </c>
      <c r="EY15" s="940" t="b">
        <f t="shared" ca="1" si="73"/>
        <v>1</v>
      </c>
      <c r="EZ15" s="940">
        <f t="shared" ref="EZ15:EZ45" ca="1" si="89">IF(AB15="","",IF(VLOOKUP(BX15,$A$14:$F$45,6,FALSE)="",0,HLOOKUP(VLOOKUP(BX15,$A$14:$F$45,6,FALSE),$FG$4:$FI$5,2,TRUE)))</f>
        <v>5</v>
      </c>
      <c r="FA15" s="958" t="b">
        <f ca="1">IF(FB15="","",IF(FC15=0,FA14,FB15=FF15))</f>
        <v>1</v>
      </c>
      <c r="FB15" s="134">
        <f t="shared" ref="FB15:FB45" ca="1" si="90">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620</v>
      </c>
      <c r="FC15" s="134">
        <f t="shared" ca="1" si="74"/>
        <v>46</v>
      </c>
      <c r="FD15" s="134">
        <f t="shared" ca="1" si="75"/>
        <v>480</v>
      </c>
      <c r="FE15" s="134">
        <f t="shared" ca="1" si="76"/>
        <v>94</v>
      </c>
      <c r="FF15" s="134">
        <f t="shared" ref="FF15:FF45" ca="1" si="91">SUM(FC15:FE15)+IF(FE15=0,FF16,0)</f>
        <v>620</v>
      </c>
      <c r="FN15" s="754" t="b">
        <v>0</v>
      </c>
      <c r="FO15" s="754" t="b">
        <f t="shared" si="77"/>
        <v>1</v>
      </c>
      <c r="FP15" s="754" t="b">
        <v>0</v>
      </c>
      <c r="FQ15" s="754" t="b">
        <f t="shared" ref="FQ15:FQ45" si="92">NOT(ISERROR(VLOOKUP(AB15,$A$14:$A$45,1,FALSE)))</f>
        <v>1</v>
      </c>
      <c r="FW15" s="2"/>
      <c r="FX15" s="2"/>
      <c r="FZ15" s="2"/>
      <c r="GA15" s="581">
        <f t="shared" si="78"/>
        <v>52</v>
      </c>
      <c r="GB15" s="623">
        <f t="shared" si="79"/>
        <v>0</v>
      </c>
      <c r="GC15" s="625">
        <f t="shared" si="80"/>
        <v>-0.25</v>
      </c>
      <c r="GD15" s="626">
        <f t="shared" si="81"/>
        <v>-0.25</v>
      </c>
      <c r="GE15" s="624">
        <f t="shared" si="82"/>
        <v>0</v>
      </c>
      <c r="GF15" s="582" t="str">
        <f t="shared" si="83"/>
        <v>G18</v>
      </c>
      <c r="GG15" s="692">
        <v>0</v>
      </c>
      <c r="GH15" s="1136">
        <v>0</v>
      </c>
      <c r="GI15" s="692"/>
      <c r="GJ15" s="1136"/>
      <c r="GK15" s="1641">
        <f t="shared" si="84"/>
        <v>623.5</v>
      </c>
      <c r="GL15" s="1641">
        <f t="shared" si="85"/>
        <v>623.5</v>
      </c>
      <c r="GM15" s="1642">
        <f>IF(ABS(GK15-GL15)&gt;='Job Info.'!$L$22,ABS(GK15-GL15),0)</f>
        <v>0</v>
      </c>
      <c r="HA15" s="1242" t="s">
        <v>1414</v>
      </c>
      <c r="HB15" s="1243">
        <v>2</v>
      </c>
      <c r="HC15" s="1243" t="s">
        <v>1714</v>
      </c>
      <c r="HD15" s="1244">
        <v>52</v>
      </c>
      <c r="HE15" s="1245">
        <v>0</v>
      </c>
      <c r="HF15" s="1243">
        <v>6</v>
      </c>
      <c r="HG15" s="1243"/>
      <c r="HH15" s="1243"/>
      <c r="HI15" s="1243"/>
      <c r="HJ15" s="1243"/>
      <c r="HK15" s="1243"/>
      <c r="HL15" s="1243"/>
      <c r="HM15" s="1243"/>
      <c r="HN15" s="1243"/>
      <c r="HO15" s="1243"/>
      <c r="HP15" s="1243">
        <v>6</v>
      </c>
      <c r="HQ15" s="1243"/>
      <c r="HR15" s="1243"/>
      <c r="HS15" s="1243"/>
      <c r="HT15" s="1243"/>
      <c r="HU15" s="1243"/>
      <c r="HV15" s="1243"/>
      <c r="HW15" s="1243"/>
      <c r="HX15" s="1243"/>
      <c r="HY15" s="1247"/>
      <c r="HZ15" s="1247"/>
      <c r="IA15" s="1247" t="s">
        <v>1718</v>
      </c>
      <c r="IB15" s="1247"/>
      <c r="IC15" s="1247"/>
      <c r="ID15" s="1262">
        <v>11.125</v>
      </c>
      <c r="IE15" s="1242" t="s">
        <v>1414</v>
      </c>
      <c r="IF15" s="1243" t="s">
        <v>35</v>
      </c>
      <c r="IG15" s="1244">
        <v>4</v>
      </c>
      <c r="IH15" s="1245">
        <v>0</v>
      </c>
      <c r="II15" s="1243">
        <v>5</v>
      </c>
      <c r="IJ15" s="1244">
        <v>8</v>
      </c>
      <c r="IK15" s="1245">
        <v>0</v>
      </c>
      <c r="IL15" s="1243"/>
      <c r="IM15" s="1243"/>
      <c r="IN15" s="1243">
        <v>5</v>
      </c>
      <c r="IO15" s="1243">
        <v>13</v>
      </c>
      <c r="IP15" s="1243">
        <v>4</v>
      </c>
      <c r="IQ15" s="1243"/>
      <c r="IR15" s="1243">
        <v>2</v>
      </c>
      <c r="IS15" s="1244" t="s">
        <v>1018</v>
      </c>
      <c r="IT15" s="1245" t="s">
        <v>1705</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83" t="str">
        <f t="shared" si="0"/>
        <v>G19</v>
      </c>
      <c r="B16" s="2684">
        <f t="shared" si="0"/>
        <v>2</v>
      </c>
      <c r="C16" s="2685" t="s">
        <v>1714</v>
      </c>
      <c r="D16" s="2686">
        <f t="shared" si="1"/>
        <v>51</v>
      </c>
      <c r="E16" s="2687">
        <f t="shared" si="2"/>
        <v>11.5</v>
      </c>
      <c r="F16" s="2688">
        <f t="shared" si="3"/>
        <v>11.125</v>
      </c>
      <c r="G16" s="2689">
        <f t="shared" si="4"/>
        <v>0</v>
      </c>
      <c r="H16" s="2690">
        <f t="shared" si="5"/>
        <v>1.75</v>
      </c>
      <c r="I16" s="2691" t="str">
        <f t="shared" si="6"/>
        <v>R</v>
      </c>
      <c r="J16" s="2686">
        <f t="shared" si="7"/>
        <v>0</v>
      </c>
      <c r="K16" s="2690">
        <f t="shared" si="8"/>
        <v>1.75</v>
      </c>
      <c r="L16" s="2692" t="str">
        <f t="shared" si="9"/>
        <v>R</v>
      </c>
      <c r="M16" s="2693">
        <f t="shared" si="10"/>
        <v>7.5</v>
      </c>
      <c r="N16" s="2694">
        <f t="shared" si="10"/>
        <v>7.5</v>
      </c>
      <c r="O16" s="2689">
        <f t="shared" si="11"/>
        <v>0</v>
      </c>
      <c r="P16" s="2690">
        <f t="shared" si="12"/>
        <v>6.75</v>
      </c>
      <c r="Q16" s="2686">
        <f t="shared" si="13"/>
        <v>0</v>
      </c>
      <c r="R16" s="2687">
        <f t="shared" si="14"/>
        <v>6.75</v>
      </c>
      <c r="S16" s="2695">
        <f t="shared" si="15"/>
        <v>0</v>
      </c>
      <c r="T16" s="2690">
        <f t="shared" si="16"/>
        <v>6.25</v>
      </c>
      <c r="U16" s="2686">
        <f t="shared" si="17"/>
        <v>0</v>
      </c>
      <c r="V16" s="2690">
        <f t="shared" si="18"/>
        <v>6.25</v>
      </c>
      <c r="W16" s="2694">
        <f t="shared" si="19"/>
        <v>5</v>
      </c>
      <c r="X16" s="2696" t="str">
        <f t="shared" si="20"/>
        <v/>
      </c>
      <c r="Y16" s="2697" t="str">
        <f t="shared" si="21"/>
        <v/>
      </c>
      <c r="Z16" s="2698" t="s">
        <v>1882</v>
      </c>
      <c r="AA16" s="2758" t="str">
        <f t="shared" si="22"/>
        <v/>
      </c>
      <c r="AB16" s="2683" t="str">
        <f t="shared" si="23"/>
        <v>G19</v>
      </c>
      <c r="AC16" s="2691" t="str">
        <f t="shared" si="24"/>
        <v>B</v>
      </c>
      <c r="AD16" s="2686">
        <f t="shared" ca="1" si="25"/>
        <v>7</v>
      </c>
      <c r="AE16" s="2690">
        <f t="shared" ca="1" si="26"/>
        <v>10</v>
      </c>
      <c r="AF16" s="2691">
        <f t="shared" ca="1" si="27"/>
        <v>5</v>
      </c>
      <c r="AG16" s="2686">
        <f t="shared" ca="1" si="28"/>
        <v>8</v>
      </c>
      <c r="AH16" s="2690">
        <f t="shared" ca="1" si="29"/>
        <v>0</v>
      </c>
      <c r="AI16" s="2686">
        <f t="shared" ca="1" si="30"/>
        <v>3</v>
      </c>
      <c r="AJ16" s="2690">
        <f t="shared" ca="1" si="31"/>
        <v>10</v>
      </c>
      <c r="AK16" s="2732" t="str">
        <f t="shared" si="32"/>
        <v/>
      </c>
      <c r="AL16" s="2733" t="str">
        <f t="shared" si="33"/>
        <v/>
      </c>
      <c r="AM16" s="2734">
        <f t="shared" si="32"/>
        <v>5</v>
      </c>
      <c r="AN16" s="2691">
        <f t="shared" si="32"/>
        <v>13</v>
      </c>
      <c r="AO16" s="2694">
        <f t="shared" si="32"/>
        <v>4</v>
      </c>
      <c r="AP16" s="2693">
        <f t="shared" si="34"/>
        <v>1.75</v>
      </c>
      <c r="AQ16" s="2736" t="str">
        <f t="shared" si="34"/>
        <v/>
      </c>
      <c r="AR16" s="2689" t="str">
        <f t="shared" si="35"/>
        <v>P</v>
      </c>
      <c r="AS16" s="2690" t="str">
        <f t="shared" si="36"/>
        <v>#6</v>
      </c>
      <c r="AT16" s="2737" t="str">
        <f t="shared" si="37"/>
        <v/>
      </c>
      <c r="AU16" s="2738" t="str">
        <f t="shared" si="38"/>
        <v>B</v>
      </c>
      <c r="AV16" s="2695">
        <f t="shared" si="39"/>
        <v>1</v>
      </c>
      <c r="AW16" s="2690">
        <f t="shared" si="40"/>
        <v>0</v>
      </c>
      <c r="AX16" s="2737" t="str">
        <f t="shared" si="41"/>
        <v/>
      </c>
      <c r="AY16" s="2738" t="str">
        <f t="shared" si="42"/>
        <v>B</v>
      </c>
      <c r="AZ16" s="2695" t="str">
        <f t="shared" si="43"/>
        <v/>
      </c>
      <c r="BA16" s="2690" t="str">
        <f t="shared" si="44"/>
        <v/>
      </c>
      <c r="BB16" s="2737" t="str">
        <f t="shared" si="45"/>
        <v/>
      </c>
      <c r="BC16" s="2738" t="str">
        <f t="shared" si="46"/>
        <v/>
      </c>
      <c r="BD16" s="2695" t="str">
        <f t="shared" si="47"/>
        <v/>
      </c>
      <c r="BE16" s="2690" t="str">
        <f t="shared" si="48"/>
        <v/>
      </c>
      <c r="BF16" s="2737" t="str">
        <f t="shared" si="49"/>
        <v/>
      </c>
      <c r="BG16" s="2738" t="str">
        <f t="shared" si="50"/>
        <v/>
      </c>
      <c r="BH16" s="1417"/>
      <c r="BJ16" s="995" t="str">
        <f t="shared" ref="BJ16:BJ45" si="93">IF(AND(OR(ISBLANK(A16),A16=""),Z16&lt;&gt;""),BJ15,IF(OR(ISBLANK(A16),A16=""),"",A16))</f>
        <v>G19</v>
      </c>
      <c r="BK16" s="993" t="b">
        <f t="shared" si="51"/>
        <v>0</v>
      </c>
      <c r="BL16" s="1784" t="b">
        <v>0</v>
      </c>
      <c r="BM16" s="989">
        <f t="shared" si="52"/>
        <v>60</v>
      </c>
      <c r="BN16" s="989" t="str">
        <f t="shared" si="53"/>
        <v>G</v>
      </c>
      <c r="BO16" s="989">
        <f t="shared" si="54"/>
        <v>7</v>
      </c>
      <c r="BP16" s="989" t="str">
        <f t="shared" si="55"/>
        <v>11/5</v>
      </c>
      <c r="BQ16" s="989">
        <f t="shared" si="56"/>
        <v>2.4</v>
      </c>
      <c r="BR16" s="989" t="b">
        <f t="shared" si="57"/>
        <v>1</v>
      </c>
      <c r="BS16" s="1303">
        <f t="shared" si="58"/>
        <v>7.75</v>
      </c>
      <c r="BT16" s="990" t="str">
        <f t="shared" si="59"/>
        <v>Yes</v>
      </c>
      <c r="BU16" s="1303">
        <f t="shared" si="60"/>
        <v>7.75</v>
      </c>
      <c r="BV16" s="990" t="str">
        <f t="shared" si="61"/>
        <v>Yes</v>
      </c>
      <c r="BW16" s="991">
        <f t="shared" ca="1" si="62"/>
        <v>19</v>
      </c>
      <c r="BX16" s="991" t="str">
        <f t="shared" ca="1" si="63"/>
        <v>G19</v>
      </c>
      <c r="BY16" s="991" t="b">
        <f t="shared" ca="1" si="64"/>
        <v>0</v>
      </c>
      <c r="BZ16" s="991" t="b">
        <f t="shared" si="86"/>
        <v>0</v>
      </c>
      <c r="CB16" s="672" t="s">
        <v>1415</v>
      </c>
      <c r="CC16" s="1685">
        <v>2</v>
      </c>
      <c r="CD16" s="699" t="s">
        <v>1714</v>
      </c>
      <c r="CE16" s="700">
        <v>52</v>
      </c>
      <c r="CF16" s="701">
        <v>0</v>
      </c>
      <c r="CG16" s="672">
        <v>6</v>
      </c>
      <c r="CH16" s="713"/>
      <c r="CI16" s="714"/>
      <c r="CJ16" s="713"/>
      <c r="CK16" s="714"/>
      <c r="CL16" s="715"/>
      <c r="CM16" s="743"/>
      <c r="CN16" s="738"/>
      <c r="CO16" s="1552"/>
      <c r="CP16" s="910"/>
      <c r="CQ16" s="672">
        <v>6</v>
      </c>
      <c r="CR16" s="713"/>
      <c r="CS16" s="714"/>
      <c r="CT16" s="713"/>
      <c r="CU16" s="714"/>
      <c r="CV16" s="715"/>
      <c r="CW16" s="743"/>
      <c r="CX16" s="738"/>
      <c r="CY16" s="1552"/>
      <c r="CZ16" s="910"/>
      <c r="DA16" s="717"/>
      <c r="DB16" s="702" t="s">
        <v>1719</v>
      </c>
      <c r="DC16" s="703"/>
      <c r="DD16" s="725"/>
      <c r="DE16" s="726">
        <v>11.125</v>
      </c>
      <c r="DF16" s="141"/>
      <c r="DG16" s="141"/>
      <c r="DH16" s="672" t="s">
        <v>1415</v>
      </c>
      <c r="DI16" s="673" t="s">
        <v>35</v>
      </c>
      <c r="DJ16" s="692">
        <v>8</v>
      </c>
      <c r="DK16" s="1332">
        <v>0</v>
      </c>
      <c r="DL16" s="674">
        <v>5</v>
      </c>
      <c r="DM16" s="693">
        <v>8</v>
      </c>
      <c r="DN16" s="1335">
        <v>0</v>
      </c>
      <c r="DO16" s="675"/>
      <c r="DP16" s="676"/>
      <c r="DQ16" s="1420">
        <v>5</v>
      </c>
      <c r="DR16" s="677">
        <v>13</v>
      </c>
      <c r="DS16" s="1420">
        <v>4</v>
      </c>
      <c r="DT16" s="1422">
        <v>2</v>
      </c>
      <c r="DU16" s="1423"/>
      <c r="DV16" s="678" t="s">
        <v>1018</v>
      </c>
      <c r="DW16" s="1337" t="s">
        <v>1706</v>
      </c>
      <c r="DX16" s="679"/>
      <c r="DY16" s="674" t="s">
        <v>35</v>
      </c>
      <c r="DZ16" s="2661">
        <v>1</v>
      </c>
      <c r="EA16" s="2664">
        <v>0.25</v>
      </c>
      <c r="EB16" s="679"/>
      <c r="EC16" s="2665" t="s">
        <v>35</v>
      </c>
      <c r="ED16" s="678"/>
      <c r="EE16" s="1337"/>
      <c r="EF16" s="679"/>
      <c r="EG16" s="674"/>
      <c r="EH16" s="678"/>
      <c r="EI16" s="1337"/>
      <c r="EJ16" s="679"/>
      <c r="EK16" s="680"/>
      <c r="EL16" s="241"/>
      <c r="EM16" s="1632" t="str">
        <f t="shared" si="65"/>
        <v>G19</v>
      </c>
      <c r="EN16" s="1429" t="str">
        <f t="shared" si="66"/>
        <v/>
      </c>
      <c r="EO16" s="1430" t="str">
        <f t="shared" si="67"/>
        <v/>
      </c>
      <c r="EP16" s="1431" t="str">
        <f t="shared" si="68"/>
        <v/>
      </c>
      <c r="EQ16" s="1435" t="str">
        <f t="shared" si="69"/>
        <v/>
      </c>
      <c r="ER16" s="1441" t="str">
        <f t="shared" si="70"/>
        <v/>
      </c>
      <c r="ES16" s="1442" t="str">
        <f t="shared" si="71"/>
        <v/>
      </c>
      <c r="ET16" s="1443" t="str">
        <f t="shared" si="72"/>
        <v/>
      </c>
      <c r="EU16" s="1444" t="str">
        <f t="shared" si="87"/>
        <v/>
      </c>
      <c r="EX16" s="503" t="str">
        <f t="shared" ca="1" si="88"/>
        <v>G19B</v>
      </c>
      <c r="EY16" s="940" t="b">
        <f t="shared" ca="1" si="73"/>
        <v>1</v>
      </c>
      <c r="EZ16" s="940">
        <f t="shared" ca="1" si="89"/>
        <v>5</v>
      </c>
      <c r="FA16" s="958" t="b">
        <f t="shared" ref="FA16:FA45" ca="1" si="94">IF(FB16="","",IF(FC16=0,FA15,FB16=FF16))</f>
        <v>1</v>
      </c>
      <c r="FB16" s="134">
        <f t="shared" ca="1" si="90"/>
        <v>620</v>
      </c>
      <c r="FC16" s="134">
        <f t="shared" ca="1" si="74"/>
        <v>94</v>
      </c>
      <c r="FD16" s="134">
        <f t="shared" ca="1" si="75"/>
        <v>480</v>
      </c>
      <c r="FE16" s="134">
        <f t="shared" ca="1" si="76"/>
        <v>46</v>
      </c>
      <c r="FF16" s="134">
        <f t="shared" ca="1" si="91"/>
        <v>620</v>
      </c>
      <c r="FN16" s="754" t="b">
        <v>0</v>
      </c>
      <c r="FO16" s="754" t="b">
        <f t="shared" si="77"/>
        <v>1</v>
      </c>
      <c r="FP16" s="754" t="b">
        <v>0</v>
      </c>
      <c r="FQ16" s="754" t="b">
        <f t="shared" si="92"/>
        <v>1</v>
      </c>
      <c r="FW16" s="2"/>
      <c r="FX16" s="2"/>
      <c r="FZ16" s="2"/>
      <c r="GA16" s="581">
        <f t="shared" si="78"/>
        <v>52</v>
      </c>
      <c r="GB16" s="623">
        <f t="shared" si="79"/>
        <v>0</v>
      </c>
      <c r="GC16" s="625">
        <f t="shared" si="80"/>
        <v>-0.25</v>
      </c>
      <c r="GD16" s="626">
        <f t="shared" si="81"/>
        <v>-0.25</v>
      </c>
      <c r="GE16" s="624">
        <f t="shared" si="82"/>
        <v>0</v>
      </c>
      <c r="GF16" s="582" t="str">
        <f t="shared" si="83"/>
        <v>G19</v>
      </c>
      <c r="GG16" s="692">
        <v>0</v>
      </c>
      <c r="GH16" s="1136">
        <v>0</v>
      </c>
      <c r="GI16" s="692"/>
      <c r="GJ16" s="1136"/>
      <c r="GK16" s="1641">
        <f t="shared" si="84"/>
        <v>623.5</v>
      </c>
      <c r="GL16" s="1641">
        <f t="shared" si="85"/>
        <v>623.5</v>
      </c>
      <c r="GM16" s="1642">
        <f>IF(ABS(GK16-GL16)&gt;='Job Info.'!$L$22,ABS(GK16-GL16),0)</f>
        <v>0</v>
      </c>
      <c r="GO16" s="140"/>
      <c r="GP16" s="140"/>
      <c r="GZ16" s="140"/>
      <c r="HA16" s="1242" t="s">
        <v>1415</v>
      </c>
      <c r="HB16" s="1243">
        <v>2</v>
      </c>
      <c r="HC16" s="1243" t="s">
        <v>1714</v>
      </c>
      <c r="HD16" s="1244">
        <v>52</v>
      </c>
      <c r="HE16" s="1245">
        <v>0</v>
      </c>
      <c r="HF16" s="1243">
        <v>6</v>
      </c>
      <c r="HG16" s="1243"/>
      <c r="HH16" s="1243"/>
      <c r="HI16" s="1243"/>
      <c r="HJ16" s="1243"/>
      <c r="HK16" s="1243"/>
      <c r="HL16" s="1243"/>
      <c r="HM16" s="1243"/>
      <c r="HN16" s="1243"/>
      <c r="HO16" s="1243"/>
      <c r="HP16" s="1243">
        <v>6</v>
      </c>
      <c r="HQ16" s="1243"/>
      <c r="HR16" s="1243"/>
      <c r="HS16" s="1243"/>
      <c r="HT16" s="1243"/>
      <c r="HU16" s="1243"/>
      <c r="HV16" s="1243"/>
      <c r="HW16" s="1243"/>
      <c r="HX16" s="1243"/>
      <c r="HY16" s="1247"/>
      <c r="HZ16" s="1247"/>
      <c r="IA16" s="1247" t="s">
        <v>1719</v>
      </c>
      <c r="IB16" s="1247"/>
      <c r="IC16" s="1247"/>
      <c r="ID16" s="1262">
        <v>11.125</v>
      </c>
      <c r="IE16" s="1242" t="s">
        <v>1415</v>
      </c>
      <c r="IF16" s="1243" t="s">
        <v>35</v>
      </c>
      <c r="IG16" s="1244">
        <v>8</v>
      </c>
      <c r="IH16" s="1245">
        <v>0</v>
      </c>
      <c r="II16" s="1243">
        <v>5</v>
      </c>
      <c r="IJ16" s="1244">
        <v>8</v>
      </c>
      <c r="IK16" s="1245">
        <v>0</v>
      </c>
      <c r="IL16" s="1243"/>
      <c r="IM16" s="1243"/>
      <c r="IN16" s="1243">
        <v>5</v>
      </c>
      <c r="IO16" s="1243">
        <v>13</v>
      </c>
      <c r="IP16" s="1243">
        <v>4</v>
      </c>
      <c r="IQ16" s="1243">
        <v>2</v>
      </c>
      <c r="IR16" s="1243"/>
      <c r="IS16" s="1244" t="s">
        <v>1018</v>
      </c>
      <c r="IT16" s="1245" t="s">
        <v>1706</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95">IF(ISBLANK(JK16),IF(JL15=0,0,IF(VALUE(OFFSET(JK16,JL15*-1,0))&lt;JL15+1,0,JL15+1)),1)</f>
        <v>1</v>
      </c>
    </row>
    <row r="17" spans="1:272" ht="12.6" customHeight="1" x14ac:dyDescent="0.25">
      <c r="A17" s="2683" t="str">
        <f t="shared" si="0"/>
        <v>G20</v>
      </c>
      <c r="B17" s="2684">
        <f t="shared" si="0"/>
        <v>4</v>
      </c>
      <c r="C17" s="2685" t="s">
        <v>1714</v>
      </c>
      <c r="D17" s="2686">
        <f t="shared" si="1"/>
        <v>51</v>
      </c>
      <c r="E17" s="2687">
        <f t="shared" si="2"/>
        <v>11.5</v>
      </c>
      <c r="F17" s="2688">
        <f t="shared" si="3"/>
        <v>11.125</v>
      </c>
      <c r="G17" s="2689">
        <f t="shared" si="4"/>
        <v>0</v>
      </c>
      <c r="H17" s="2690">
        <f t="shared" si="5"/>
        <v>1.75</v>
      </c>
      <c r="I17" s="2691" t="str">
        <f t="shared" si="6"/>
        <v>R</v>
      </c>
      <c r="J17" s="2686">
        <f t="shared" si="7"/>
        <v>0</v>
      </c>
      <c r="K17" s="2690">
        <f t="shared" si="8"/>
        <v>1.75</v>
      </c>
      <c r="L17" s="2692" t="str">
        <f t="shared" si="9"/>
        <v>R</v>
      </c>
      <c r="M17" s="2693">
        <f t="shared" si="10"/>
        <v>7.5</v>
      </c>
      <c r="N17" s="2694">
        <f t="shared" si="10"/>
        <v>7.5</v>
      </c>
      <c r="O17" s="2689">
        <f t="shared" si="11"/>
        <v>0</v>
      </c>
      <c r="P17" s="2690">
        <f t="shared" si="12"/>
        <v>6.75</v>
      </c>
      <c r="Q17" s="2686">
        <f t="shared" si="13"/>
        <v>0</v>
      </c>
      <c r="R17" s="2687">
        <f t="shared" si="14"/>
        <v>6.75</v>
      </c>
      <c r="S17" s="2695">
        <f t="shared" si="15"/>
        <v>0</v>
      </c>
      <c r="T17" s="2690">
        <f t="shared" si="16"/>
        <v>6.25</v>
      </c>
      <c r="U17" s="2686">
        <f t="shared" si="17"/>
        <v>0</v>
      </c>
      <c r="V17" s="2690">
        <f t="shared" si="18"/>
        <v>6.25</v>
      </c>
      <c r="W17" s="2694">
        <f t="shared" si="19"/>
        <v>5</v>
      </c>
      <c r="X17" s="2696" t="str">
        <f t="shared" si="20"/>
        <v/>
      </c>
      <c r="Y17" s="2697" t="str">
        <f t="shared" si="21"/>
        <v/>
      </c>
      <c r="Z17" s="2698" t="s">
        <v>1883</v>
      </c>
      <c r="AA17" s="2758" t="str">
        <f t="shared" si="22"/>
        <v/>
      </c>
      <c r="AB17" s="2683" t="str">
        <f t="shared" si="23"/>
        <v>G20</v>
      </c>
      <c r="AC17" s="2691" t="str">
        <f t="shared" si="24"/>
        <v>B</v>
      </c>
      <c r="AD17" s="2686">
        <f t="shared" ca="1" si="25"/>
        <v>3</v>
      </c>
      <c r="AE17" s="2690">
        <f t="shared" ca="1" si="26"/>
        <v>10</v>
      </c>
      <c r="AF17" s="2691">
        <f t="shared" ca="1" si="27"/>
        <v>5</v>
      </c>
      <c r="AG17" s="2686">
        <f t="shared" ca="1" si="28"/>
        <v>8</v>
      </c>
      <c r="AH17" s="2690">
        <f t="shared" ca="1" si="29"/>
        <v>0</v>
      </c>
      <c r="AI17" s="2686">
        <f t="shared" ca="1" si="30"/>
        <v>7</v>
      </c>
      <c r="AJ17" s="2690">
        <f t="shared" ca="1" si="31"/>
        <v>10</v>
      </c>
      <c r="AK17" s="2732" t="str">
        <f t="shared" si="32"/>
        <v/>
      </c>
      <c r="AL17" s="2733" t="str">
        <f t="shared" si="33"/>
        <v/>
      </c>
      <c r="AM17" s="2734">
        <f t="shared" si="32"/>
        <v>5</v>
      </c>
      <c r="AN17" s="2691">
        <f t="shared" si="32"/>
        <v>13</v>
      </c>
      <c r="AO17" s="2694">
        <f t="shared" si="32"/>
        <v>4</v>
      </c>
      <c r="AP17" s="2693" t="str">
        <f t="shared" si="34"/>
        <v/>
      </c>
      <c r="AQ17" s="2736">
        <f t="shared" si="34"/>
        <v>1.75</v>
      </c>
      <c r="AR17" s="2689" t="str">
        <f t="shared" si="35"/>
        <v>P</v>
      </c>
      <c r="AS17" s="2690" t="str">
        <f t="shared" si="36"/>
        <v>#1</v>
      </c>
      <c r="AT17" s="2737" t="str">
        <f t="shared" si="37"/>
        <v/>
      </c>
      <c r="AU17" s="2738" t="str">
        <f t="shared" si="38"/>
        <v>B</v>
      </c>
      <c r="AV17" s="2695">
        <f t="shared" si="39"/>
        <v>51</v>
      </c>
      <c r="AW17" s="2690">
        <f t="shared" si="40"/>
        <v>0</v>
      </c>
      <c r="AX17" s="2737" t="str">
        <f t="shared" si="41"/>
        <v/>
      </c>
      <c r="AY17" s="2738" t="str">
        <f t="shared" si="42"/>
        <v>B</v>
      </c>
      <c r="AZ17" s="2695" t="str">
        <f t="shared" si="43"/>
        <v/>
      </c>
      <c r="BA17" s="2690" t="str">
        <f t="shared" si="44"/>
        <v/>
      </c>
      <c r="BB17" s="2737" t="str">
        <f t="shared" si="45"/>
        <v/>
      </c>
      <c r="BC17" s="2738" t="str">
        <f t="shared" si="46"/>
        <v/>
      </c>
      <c r="BD17" s="2695" t="str">
        <f t="shared" si="47"/>
        <v/>
      </c>
      <c r="BE17" s="2690" t="str">
        <f t="shared" si="48"/>
        <v/>
      </c>
      <c r="BF17" s="2737" t="str">
        <f t="shared" si="49"/>
        <v/>
      </c>
      <c r="BG17" s="2738" t="str">
        <f t="shared" si="50"/>
        <v/>
      </c>
      <c r="BH17" s="1417"/>
      <c r="BJ17" s="995" t="str">
        <f t="shared" si="93"/>
        <v>G20</v>
      </c>
      <c r="BK17" s="993" t="b">
        <f t="shared" si="51"/>
        <v>0</v>
      </c>
      <c r="BL17" s="1784" t="b">
        <v>0</v>
      </c>
      <c r="BM17" s="989">
        <f t="shared" si="52"/>
        <v>60</v>
      </c>
      <c r="BN17" s="989" t="str">
        <f t="shared" si="53"/>
        <v>G</v>
      </c>
      <c r="BO17" s="989">
        <f t="shared" si="54"/>
        <v>7</v>
      </c>
      <c r="BP17" s="989" t="str">
        <f t="shared" si="55"/>
        <v>11/5</v>
      </c>
      <c r="BQ17" s="989">
        <f t="shared" si="56"/>
        <v>2.4</v>
      </c>
      <c r="BR17" s="989" t="b">
        <f t="shared" si="57"/>
        <v>1</v>
      </c>
      <c r="BS17" s="1303">
        <f t="shared" si="58"/>
        <v>7.75</v>
      </c>
      <c r="BT17" s="990" t="str">
        <f t="shared" si="59"/>
        <v>Yes</v>
      </c>
      <c r="BU17" s="1303">
        <f t="shared" si="60"/>
        <v>7.75</v>
      </c>
      <c r="BV17" s="990" t="str">
        <f t="shared" si="61"/>
        <v>Yes</v>
      </c>
      <c r="BW17" s="991">
        <f t="shared" ca="1" si="62"/>
        <v>19</v>
      </c>
      <c r="BX17" s="991" t="str">
        <f t="shared" ca="1" si="63"/>
        <v>G20</v>
      </c>
      <c r="BY17" s="991" t="b">
        <f t="shared" ca="1" si="64"/>
        <v>0</v>
      </c>
      <c r="BZ17" s="991" t="b">
        <f t="shared" si="86"/>
        <v>0</v>
      </c>
      <c r="CB17" s="672" t="s">
        <v>1416</v>
      </c>
      <c r="CC17" s="1685">
        <v>4</v>
      </c>
      <c r="CD17" s="699" t="s">
        <v>1714</v>
      </c>
      <c r="CE17" s="700">
        <v>52</v>
      </c>
      <c r="CF17" s="701">
        <v>0</v>
      </c>
      <c r="CG17" s="672">
        <v>6</v>
      </c>
      <c r="CH17" s="713"/>
      <c r="CI17" s="714"/>
      <c r="CJ17" s="713"/>
      <c r="CK17" s="714"/>
      <c r="CL17" s="715"/>
      <c r="CM17" s="743"/>
      <c r="CN17" s="738"/>
      <c r="CO17" s="1552"/>
      <c r="CP17" s="910"/>
      <c r="CQ17" s="672">
        <v>6</v>
      </c>
      <c r="CR17" s="713"/>
      <c r="CS17" s="714"/>
      <c r="CT17" s="713"/>
      <c r="CU17" s="714"/>
      <c r="CV17" s="715"/>
      <c r="CW17" s="743"/>
      <c r="CX17" s="738"/>
      <c r="CY17" s="1552"/>
      <c r="CZ17" s="910"/>
      <c r="DA17" s="717"/>
      <c r="DB17" s="702">
        <v>2</v>
      </c>
      <c r="DC17" s="703"/>
      <c r="DD17" s="725"/>
      <c r="DE17" s="726">
        <v>11.125</v>
      </c>
      <c r="DF17" s="141"/>
      <c r="DG17" s="141"/>
      <c r="DH17" s="672" t="s">
        <v>1416</v>
      </c>
      <c r="DI17" s="673" t="s">
        <v>35</v>
      </c>
      <c r="DJ17" s="692">
        <v>4</v>
      </c>
      <c r="DK17" s="1332">
        <v>0</v>
      </c>
      <c r="DL17" s="674">
        <v>5</v>
      </c>
      <c r="DM17" s="693">
        <v>8</v>
      </c>
      <c r="DN17" s="1335">
        <v>0</v>
      </c>
      <c r="DO17" s="675"/>
      <c r="DP17" s="676"/>
      <c r="DQ17" s="1420">
        <v>5</v>
      </c>
      <c r="DR17" s="677">
        <v>13</v>
      </c>
      <c r="DS17" s="1420">
        <v>4</v>
      </c>
      <c r="DT17" s="1422"/>
      <c r="DU17" s="1423">
        <v>2</v>
      </c>
      <c r="DV17" s="678" t="s">
        <v>1018</v>
      </c>
      <c r="DW17" s="1337" t="s">
        <v>1705</v>
      </c>
      <c r="DX17" s="679"/>
      <c r="DY17" s="674" t="s">
        <v>35</v>
      </c>
      <c r="DZ17" s="2661">
        <v>51</v>
      </c>
      <c r="EA17" s="2664">
        <v>0.25</v>
      </c>
      <c r="EB17" s="679"/>
      <c r="EC17" s="2665" t="s">
        <v>35</v>
      </c>
      <c r="ED17" s="678"/>
      <c r="EE17" s="1337"/>
      <c r="EF17" s="679"/>
      <c r="EG17" s="674"/>
      <c r="EH17" s="678"/>
      <c r="EI17" s="1337"/>
      <c r="EJ17" s="679"/>
      <c r="EK17" s="680"/>
      <c r="EL17" s="241"/>
      <c r="EM17" s="1632" t="str">
        <f t="shared" si="65"/>
        <v>G20</v>
      </c>
      <c r="EN17" s="1429" t="str">
        <f t="shared" si="66"/>
        <v/>
      </c>
      <c r="EO17" s="1430" t="str">
        <f t="shared" si="67"/>
        <v/>
      </c>
      <c r="EP17" s="1431" t="str">
        <f t="shared" si="68"/>
        <v/>
      </c>
      <c r="EQ17" s="1435" t="str">
        <f t="shared" si="69"/>
        <v/>
      </c>
      <c r="ER17" s="1441" t="str">
        <f t="shared" si="70"/>
        <v/>
      </c>
      <c r="ES17" s="1442" t="str">
        <f t="shared" si="71"/>
        <v/>
      </c>
      <c r="ET17" s="1443" t="str">
        <f t="shared" si="72"/>
        <v/>
      </c>
      <c r="EU17" s="1444" t="str">
        <f t="shared" si="87"/>
        <v/>
      </c>
      <c r="EX17" s="503" t="str">
        <f t="shared" ca="1" si="88"/>
        <v>G20B</v>
      </c>
      <c r="EY17" s="940" t="b">
        <f t="shared" ca="1" si="73"/>
        <v>1</v>
      </c>
      <c r="EZ17" s="940">
        <f t="shared" ca="1" si="89"/>
        <v>5</v>
      </c>
      <c r="FA17" s="958" t="b">
        <f t="shared" ca="1" si="94"/>
        <v>1</v>
      </c>
      <c r="FB17" s="134">
        <f t="shared" ca="1" si="90"/>
        <v>620</v>
      </c>
      <c r="FC17" s="134">
        <f t="shared" ca="1" si="74"/>
        <v>46</v>
      </c>
      <c r="FD17" s="134">
        <f t="shared" ca="1" si="75"/>
        <v>480</v>
      </c>
      <c r="FE17" s="134">
        <f t="shared" ca="1" si="76"/>
        <v>94</v>
      </c>
      <c r="FF17" s="134">
        <f t="shared" ca="1" si="91"/>
        <v>620</v>
      </c>
      <c r="FN17" s="754" t="b">
        <v>0</v>
      </c>
      <c r="FO17" s="754" t="b">
        <f t="shared" si="77"/>
        <v>1</v>
      </c>
      <c r="FP17" s="754" t="b">
        <v>0</v>
      </c>
      <c r="FQ17" s="754" t="b">
        <f t="shared" si="92"/>
        <v>1</v>
      </c>
      <c r="FW17" s="2"/>
      <c r="FX17" s="2"/>
      <c r="FZ17" s="2"/>
      <c r="GA17" s="581">
        <f t="shared" si="78"/>
        <v>52</v>
      </c>
      <c r="GB17" s="623">
        <f t="shared" si="79"/>
        <v>0</v>
      </c>
      <c r="GC17" s="625">
        <f t="shared" si="80"/>
        <v>-0.25</v>
      </c>
      <c r="GD17" s="626">
        <f t="shared" si="81"/>
        <v>-0.25</v>
      </c>
      <c r="GE17" s="624">
        <f t="shared" si="82"/>
        <v>0</v>
      </c>
      <c r="GF17" s="582" t="str">
        <f t="shared" si="83"/>
        <v>G20</v>
      </c>
      <c r="GG17" s="692">
        <v>0</v>
      </c>
      <c r="GH17" s="1136">
        <v>0</v>
      </c>
      <c r="GI17" s="692"/>
      <c r="GJ17" s="1136"/>
      <c r="GK17" s="1641">
        <f t="shared" si="84"/>
        <v>623.5</v>
      </c>
      <c r="GL17" s="1641">
        <f t="shared" si="85"/>
        <v>623.5</v>
      </c>
      <c r="GM17" s="1642">
        <f>IF(ABS(GK17-GL17)&gt;='Job Info.'!$L$22,ABS(GK17-GL17),0)</f>
        <v>0</v>
      </c>
      <c r="HA17" s="1242" t="s">
        <v>1416</v>
      </c>
      <c r="HB17" s="1243">
        <v>4</v>
      </c>
      <c r="HC17" s="1243" t="s">
        <v>1714</v>
      </c>
      <c r="HD17" s="1244">
        <v>52</v>
      </c>
      <c r="HE17" s="1245">
        <v>0</v>
      </c>
      <c r="HF17" s="1243">
        <v>6</v>
      </c>
      <c r="HG17" s="1243"/>
      <c r="HH17" s="1243"/>
      <c r="HI17" s="1243"/>
      <c r="HJ17" s="1243"/>
      <c r="HK17" s="1243"/>
      <c r="HL17" s="1243"/>
      <c r="HM17" s="1243"/>
      <c r="HN17" s="1243"/>
      <c r="HO17" s="1243"/>
      <c r="HP17" s="1243">
        <v>6</v>
      </c>
      <c r="HQ17" s="1243"/>
      <c r="HR17" s="1243"/>
      <c r="HS17" s="1243"/>
      <c r="HT17" s="1243"/>
      <c r="HU17" s="1243"/>
      <c r="HV17" s="1243"/>
      <c r="HW17" s="1243"/>
      <c r="HX17" s="1243"/>
      <c r="HY17" s="1247"/>
      <c r="HZ17" s="1247"/>
      <c r="IA17" s="1247">
        <v>2</v>
      </c>
      <c r="IB17" s="1247"/>
      <c r="IC17" s="1247"/>
      <c r="ID17" s="1262">
        <v>11.125</v>
      </c>
      <c r="IE17" s="1242" t="s">
        <v>1416</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95"/>
        <v>1</v>
      </c>
    </row>
    <row r="18" spans="1:272" ht="12.6" customHeight="1" x14ac:dyDescent="0.25">
      <c r="A18" s="2683" t="str">
        <f t="shared" si="0"/>
        <v>G21</v>
      </c>
      <c r="B18" s="2684">
        <f t="shared" si="0"/>
        <v>4</v>
      </c>
      <c r="C18" s="2685" t="s">
        <v>1714</v>
      </c>
      <c r="D18" s="2686">
        <f t="shared" si="1"/>
        <v>51</v>
      </c>
      <c r="E18" s="2687">
        <f t="shared" si="2"/>
        <v>11.5</v>
      </c>
      <c r="F18" s="2688">
        <f t="shared" si="3"/>
        <v>11.125</v>
      </c>
      <c r="G18" s="2689">
        <f t="shared" si="4"/>
        <v>0</v>
      </c>
      <c r="H18" s="2690">
        <f t="shared" si="5"/>
        <v>1.75</v>
      </c>
      <c r="I18" s="2691" t="str">
        <f t="shared" si="6"/>
        <v>R</v>
      </c>
      <c r="J18" s="2686">
        <f t="shared" si="7"/>
        <v>0</v>
      </c>
      <c r="K18" s="2690">
        <f t="shared" si="8"/>
        <v>1.75</v>
      </c>
      <c r="L18" s="2692" t="str">
        <f t="shared" si="9"/>
        <v>R</v>
      </c>
      <c r="M18" s="2693">
        <f t="shared" si="10"/>
        <v>7.5</v>
      </c>
      <c r="N18" s="2694">
        <f t="shared" si="10"/>
        <v>7.5</v>
      </c>
      <c r="O18" s="2689">
        <f t="shared" si="11"/>
        <v>0</v>
      </c>
      <c r="P18" s="2690">
        <f t="shared" si="12"/>
        <v>6.75</v>
      </c>
      <c r="Q18" s="2686">
        <f t="shared" si="13"/>
        <v>0</v>
      </c>
      <c r="R18" s="2687">
        <f t="shared" si="14"/>
        <v>6.75</v>
      </c>
      <c r="S18" s="2695">
        <f t="shared" si="15"/>
        <v>0</v>
      </c>
      <c r="T18" s="2690">
        <f t="shared" si="16"/>
        <v>6.25</v>
      </c>
      <c r="U18" s="2686">
        <f t="shared" si="17"/>
        <v>0</v>
      </c>
      <c r="V18" s="2690">
        <f t="shared" si="18"/>
        <v>6.25</v>
      </c>
      <c r="W18" s="2694">
        <f t="shared" si="19"/>
        <v>5</v>
      </c>
      <c r="X18" s="2696" t="str">
        <f t="shared" si="20"/>
        <v/>
      </c>
      <c r="Y18" s="2697" t="str">
        <f t="shared" si="21"/>
        <v/>
      </c>
      <c r="Z18" s="2698" t="s">
        <v>1884</v>
      </c>
      <c r="AA18" s="2758" t="str">
        <f t="shared" si="22"/>
        <v/>
      </c>
      <c r="AB18" s="2683" t="str">
        <f t="shared" si="23"/>
        <v>G21</v>
      </c>
      <c r="AC18" s="2691" t="str">
        <f t="shared" si="24"/>
        <v>B</v>
      </c>
      <c r="AD18" s="2686">
        <f t="shared" ca="1" si="25"/>
        <v>7</v>
      </c>
      <c r="AE18" s="2690">
        <f t="shared" ca="1" si="26"/>
        <v>10</v>
      </c>
      <c r="AF18" s="2691">
        <f t="shared" ca="1" si="27"/>
        <v>5</v>
      </c>
      <c r="AG18" s="2686">
        <f t="shared" ca="1" si="28"/>
        <v>8</v>
      </c>
      <c r="AH18" s="2690">
        <f t="shared" ca="1" si="29"/>
        <v>0</v>
      </c>
      <c r="AI18" s="2686">
        <f t="shared" ca="1" si="30"/>
        <v>3</v>
      </c>
      <c r="AJ18" s="2690">
        <f t="shared" ca="1" si="31"/>
        <v>10</v>
      </c>
      <c r="AK18" s="2732" t="str">
        <f t="shared" si="32"/>
        <v/>
      </c>
      <c r="AL18" s="2733" t="str">
        <f t="shared" si="33"/>
        <v/>
      </c>
      <c r="AM18" s="2734">
        <f t="shared" si="32"/>
        <v>5</v>
      </c>
      <c r="AN18" s="2691">
        <f t="shared" si="32"/>
        <v>13</v>
      </c>
      <c r="AO18" s="2694">
        <f t="shared" si="32"/>
        <v>4</v>
      </c>
      <c r="AP18" s="2693">
        <f t="shared" si="34"/>
        <v>1.75</v>
      </c>
      <c r="AQ18" s="2736" t="str">
        <f t="shared" si="34"/>
        <v/>
      </c>
      <c r="AR18" s="2689" t="str">
        <f t="shared" si="35"/>
        <v>P</v>
      </c>
      <c r="AS18" s="2690" t="str">
        <f t="shared" si="36"/>
        <v>#6</v>
      </c>
      <c r="AT18" s="2737" t="str">
        <f t="shared" si="37"/>
        <v/>
      </c>
      <c r="AU18" s="2738" t="str">
        <f t="shared" si="38"/>
        <v>B</v>
      </c>
      <c r="AV18" s="2695">
        <f t="shared" si="39"/>
        <v>1</v>
      </c>
      <c r="AW18" s="2690">
        <f t="shared" si="40"/>
        <v>0</v>
      </c>
      <c r="AX18" s="2737" t="str">
        <f t="shared" si="41"/>
        <v/>
      </c>
      <c r="AY18" s="2738" t="str">
        <f t="shared" si="42"/>
        <v>B</v>
      </c>
      <c r="AZ18" s="2695" t="str">
        <f t="shared" si="43"/>
        <v/>
      </c>
      <c r="BA18" s="2690" t="str">
        <f t="shared" si="44"/>
        <v/>
      </c>
      <c r="BB18" s="2737" t="str">
        <f t="shared" si="45"/>
        <v/>
      </c>
      <c r="BC18" s="2738" t="str">
        <f t="shared" si="46"/>
        <v/>
      </c>
      <c r="BD18" s="2695" t="str">
        <f t="shared" si="47"/>
        <v/>
      </c>
      <c r="BE18" s="2690" t="str">
        <f t="shared" si="48"/>
        <v/>
      </c>
      <c r="BF18" s="2737" t="str">
        <f t="shared" si="49"/>
        <v/>
      </c>
      <c r="BG18" s="2738" t="str">
        <f t="shared" si="50"/>
        <v/>
      </c>
      <c r="BH18" s="1417"/>
      <c r="BJ18" s="995" t="str">
        <f t="shared" si="93"/>
        <v>G21</v>
      </c>
      <c r="BK18" s="993" t="b">
        <f t="shared" si="51"/>
        <v>0</v>
      </c>
      <c r="BL18" s="1784" t="b">
        <v>0</v>
      </c>
      <c r="BM18" s="989">
        <f t="shared" si="52"/>
        <v>60</v>
      </c>
      <c r="BN18" s="989" t="str">
        <f t="shared" si="53"/>
        <v>G</v>
      </c>
      <c r="BO18" s="989">
        <f t="shared" si="54"/>
        <v>7</v>
      </c>
      <c r="BP18" s="989" t="str">
        <f t="shared" si="55"/>
        <v>11/5</v>
      </c>
      <c r="BQ18" s="989">
        <f t="shared" si="56"/>
        <v>2.4</v>
      </c>
      <c r="BR18" s="989" t="b">
        <f t="shared" si="57"/>
        <v>1</v>
      </c>
      <c r="BS18" s="1303">
        <f t="shared" si="58"/>
        <v>7.75</v>
      </c>
      <c r="BT18" s="990" t="str">
        <f t="shared" si="59"/>
        <v>Yes</v>
      </c>
      <c r="BU18" s="1303">
        <f t="shared" si="60"/>
        <v>7.75</v>
      </c>
      <c r="BV18" s="990" t="str">
        <f t="shared" si="61"/>
        <v>Yes</v>
      </c>
      <c r="BW18" s="991">
        <f t="shared" ca="1" si="62"/>
        <v>19</v>
      </c>
      <c r="BX18" s="991" t="str">
        <f t="shared" ca="1" si="63"/>
        <v>G21</v>
      </c>
      <c r="BY18" s="991" t="b">
        <f t="shared" ca="1" si="64"/>
        <v>0</v>
      </c>
      <c r="BZ18" s="991" t="b">
        <f t="shared" si="86"/>
        <v>0</v>
      </c>
      <c r="CB18" s="672" t="s">
        <v>1417</v>
      </c>
      <c r="CC18" s="1685">
        <v>4</v>
      </c>
      <c r="CD18" s="699" t="s">
        <v>1714</v>
      </c>
      <c r="CE18" s="700">
        <v>52</v>
      </c>
      <c r="CF18" s="701">
        <v>0</v>
      </c>
      <c r="CG18" s="672">
        <v>6</v>
      </c>
      <c r="CH18" s="713"/>
      <c r="CI18" s="714"/>
      <c r="CJ18" s="713"/>
      <c r="CK18" s="714"/>
      <c r="CL18" s="715"/>
      <c r="CM18" s="743"/>
      <c r="CN18" s="738"/>
      <c r="CO18" s="1552"/>
      <c r="CP18" s="910"/>
      <c r="CQ18" s="672">
        <v>6</v>
      </c>
      <c r="CR18" s="713"/>
      <c r="CS18" s="714"/>
      <c r="CT18" s="713"/>
      <c r="CU18" s="714"/>
      <c r="CV18" s="715"/>
      <c r="CW18" s="743"/>
      <c r="CX18" s="738"/>
      <c r="CY18" s="1552"/>
      <c r="CZ18" s="910"/>
      <c r="DA18" s="717"/>
      <c r="DB18" s="702">
        <v>2</v>
      </c>
      <c r="DC18" s="703"/>
      <c r="DD18" s="725"/>
      <c r="DE18" s="726">
        <v>11.125</v>
      </c>
      <c r="DF18" s="141"/>
      <c r="DG18" s="141"/>
      <c r="DH18" s="672" t="s">
        <v>1417</v>
      </c>
      <c r="DI18" s="673" t="s">
        <v>35</v>
      </c>
      <c r="DJ18" s="692">
        <v>8</v>
      </c>
      <c r="DK18" s="1332">
        <v>0</v>
      </c>
      <c r="DL18" s="674">
        <v>5</v>
      </c>
      <c r="DM18" s="693">
        <v>8</v>
      </c>
      <c r="DN18" s="1335">
        <v>0</v>
      </c>
      <c r="DO18" s="675"/>
      <c r="DP18" s="676"/>
      <c r="DQ18" s="1420">
        <v>5</v>
      </c>
      <c r="DR18" s="677">
        <v>13</v>
      </c>
      <c r="DS18" s="1420">
        <v>4</v>
      </c>
      <c r="DT18" s="1422">
        <v>2</v>
      </c>
      <c r="DU18" s="1423"/>
      <c r="DV18" s="678" t="s">
        <v>1018</v>
      </c>
      <c r="DW18" s="1337" t="s">
        <v>1706</v>
      </c>
      <c r="DX18" s="679"/>
      <c r="DY18" s="674" t="s">
        <v>35</v>
      </c>
      <c r="DZ18" s="2661">
        <v>1</v>
      </c>
      <c r="EA18" s="2664">
        <v>0.25</v>
      </c>
      <c r="EB18" s="679"/>
      <c r="EC18" s="2665" t="s">
        <v>35</v>
      </c>
      <c r="ED18" s="678"/>
      <c r="EE18" s="1337"/>
      <c r="EF18" s="679"/>
      <c r="EG18" s="674"/>
      <c r="EH18" s="678"/>
      <c r="EI18" s="1337"/>
      <c r="EJ18" s="679"/>
      <c r="EK18" s="680"/>
      <c r="EL18" s="241"/>
      <c r="EM18" s="1632" t="str">
        <f t="shared" si="65"/>
        <v>G21</v>
      </c>
      <c r="EN18" s="1429" t="str">
        <f t="shared" si="66"/>
        <v/>
      </c>
      <c r="EO18" s="1430" t="str">
        <f t="shared" si="67"/>
        <v/>
      </c>
      <c r="EP18" s="1431" t="str">
        <f t="shared" si="68"/>
        <v/>
      </c>
      <c r="EQ18" s="1435" t="str">
        <f t="shared" si="69"/>
        <v/>
      </c>
      <c r="ER18" s="1441" t="str">
        <f t="shared" si="70"/>
        <v/>
      </c>
      <c r="ES18" s="1442" t="str">
        <f t="shared" si="71"/>
        <v/>
      </c>
      <c r="ET18" s="1443" t="str">
        <f t="shared" si="72"/>
        <v/>
      </c>
      <c r="EU18" s="1444" t="str">
        <f t="shared" si="87"/>
        <v/>
      </c>
      <c r="EX18" s="503" t="str">
        <f t="shared" ca="1" si="88"/>
        <v>G21B</v>
      </c>
      <c r="EY18" s="940" t="b">
        <f t="shared" ca="1" si="73"/>
        <v>1</v>
      </c>
      <c r="EZ18" s="940">
        <f t="shared" ca="1" si="89"/>
        <v>5</v>
      </c>
      <c r="FA18" s="958" t="b">
        <f t="shared" ca="1" si="94"/>
        <v>1</v>
      </c>
      <c r="FB18" s="134">
        <f t="shared" ca="1" si="90"/>
        <v>620</v>
      </c>
      <c r="FC18" s="134">
        <f t="shared" ca="1" si="74"/>
        <v>94</v>
      </c>
      <c r="FD18" s="134">
        <f t="shared" ca="1" si="75"/>
        <v>480</v>
      </c>
      <c r="FE18" s="134">
        <f t="shared" ca="1" si="76"/>
        <v>46</v>
      </c>
      <c r="FF18" s="134">
        <f t="shared" ca="1" si="91"/>
        <v>620</v>
      </c>
      <c r="FN18" s="754" t="b">
        <v>0</v>
      </c>
      <c r="FO18" s="754" t="b">
        <f t="shared" si="77"/>
        <v>1</v>
      </c>
      <c r="FP18" s="754" t="b">
        <v>0</v>
      </c>
      <c r="FQ18" s="754" t="b">
        <f t="shared" si="92"/>
        <v>1</v>
      </c>
      <c r="FW18" s="2"/>
      <c r="FX18" s="2"/>
      <c r="FZ18" s="2"/>
      <c r="GA18" s="581">
        <f t="shared" si="78"/>
        <v>52</v>
      </c>
      <c r="GB18" s="623">
        <f t="shared" si="79"/>
        <v>0</v>
      </c>
      <c r="GC18" s="625">
        <f t="shared" si="80"/>
        <v>-0.25</v>
      </c>
      <c r="GD18" s="626">
        <f t="shared" si="81"/>
        <v>-0.25</v>
      </c>
      <c r="GE18" s="624">
        <f t="shared" si="82"/>
        <v>0</v>
      </c>
      <c r="GF18" s="582" t="str">
        <f t="shared" si="83"/>
        <v>G21</v>
      </c>
      <c r="GG18" s="692">
        <v>0</v>
      </c>
      <c r="GH18" s="1136">
        <v>0</v>
      </c>
      <c r="GI18" s="692"/>
      <c r="GJ18" s="1136"/>
      <c r="GK18" s="1641">
        <f t="shared" si="84"/>
        <v>623.5</v>
      </c>
      <c r="GL18" s="1641">
        <f t="shared" si="85"/>
        <v>623.5</v>
      </c>
      <c r="GM18" s="1642">
        <f>IF(ABS(GK18-GL18)&gt;='Job Info.'!$L$22,ABS(GK18-GL18),0)</f>
        <v>0</v>
      </c>
      <c r="HA18" s="1242" t="s">
        <v>1417</v>
      </c>
      <c r="HB18" s="1243">
        <v>4</v>
      </c>
      <c r="HC18" s="1243" t="s">
        <v>1714</v>
      </c>
      <c r="HD18" s="1244">
        <v>52</v>
      </c>
      <c r="HE18" s="1245">
        <v>0</v>
      </c>
      <c r="HF18" s="1243">
        <v>6</v>
      </c>
      <c r="HG18" s="1243"/>
      <c r="HH18" s="1243"/>
      <c r="HI18" s="1243"/>
      <c r="HJ18" s="1243"/>
      <c r="HK18" s="1243"/>
      <c r="HL18" s="1243"/>
      <c r="HM18" s="1243"/>
      <c r="HN18" s="1243"/>
      <c r="HO18" s="1243"/>
      <c r="HP18" s="1243">
        <v>6</v>
      </c>
      <c r="HQ18" s="1243"/>
      <c r="HR18" s="1243"/>
      <c r="HS18" s="1243"/>
      <c r="HT18" s="1243"/>
      <c r="HU18" s="1243"/>
      <c r="HV18" s="1243"/>
      <c r="HW18" s="1243"/>
      <c r="HX18" s="1243"/>
      <c r="HY18" s="1247"/>
      <c r="HZ18" s="1247"/>
      <c r="IA18" s="1247">
        <v>2</v>
      </c>
      <c r="IB18" s="1247"/>
      <c r="IC18" s="1247"/>
      <c r="ID18" s="1262">
        <v>11.125</v>
      </c>
      <c r="IE18" s="1242" t="s">
        <v>1417</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95"/>
        <v>1</v>
      </c>
    </row>
    <row r="19" spans="1:272" ht="12.6" customHeight="1" x14ac:dyDescent="0.25">
      <c r="A19" s="2683" t="str">
        <f t="shared" si="0"/>
        <v>G22</v>
      </c>
      <c r="B19" s="2684">
        <f t="shared" si="0"/>
        <v>1</v>
      </c>
      <c r="C19" s="2685" t="s">
        <v>1714</v>
      </c>
      <c r="D19" s="2686">
        <f t="shared" si="1"/>
        <v>51</v>
      </c>
      <c r="E19" s="2687">
        <f t="shared" si="2"/>
        <v>3.375</v>
      </c>
      <c r="F19" s="2688">
        <f t="shared" si="3"/>
        <v>11.125</v>
      </c>
      <c r="G19" s="2689">
        <f t="shared" si="4"/>
        <v>0</v>
      </c>
      <c r="H19" s="2690">
        <f t="shared" si="5"/>
        <v>1.75</v>
      </c>
      <c r="I19" s="2691" t="str">
        <f t="shared" si="6"/>
        <v>R</v>
      </c>
      <c r="J19" s="2686" t="str">
        <f t="shared" si="7"/>
        <v/>
      </c>
      <c r="K19" s="2690" t="str">
        <f t="shared" si="8"/>
        <v/>
      </c>
      <c r="L19" s="2692" t="str">
        <f t="shared" si="9"/>
        <v/>
      </c>
      <c r="M19" s="2693">
        <f t="shared" si="10"/>
        <v>7.5</v>
      </c>
      <c r="N19" s="2694">
        <f t="shared" si="10"/>
        <v>7.5</v>
      </c>
      <c r="O19" s="2689">
        <f t="shared" si="11"/>
        <v>0</v>
      </c>
      <c r="P19" s="2690">
        <f t="shared" si="12"/>
        <v>6.75</v>
      </c>
      <c r="Q19" s="2686">
        <f t="shared" si="13"/>
        <v>0</v>
      </c>
      <c r="R19" s="2687">
        <f t="shared" si="14"/>
        <v>1</v>
      </c>
      <c r="S19" s="2695">
        <f t="shared" si="15"/>
        <v>0</v>
      </c>
      <c r="T19" s="2690">
        <f t="shared" si="16"/>
        <v>6.25</v>
      </c>
      <c r="U19" s="2686">
        <f t="shared" si="17"/>
        <v>0</v>
      </c>
      <c r="V19" s="2690">
        <f t="shared" si="18"/>
        <v>1.5</v>
      </c>
      <c r="W19" s="2694">
        <f t="shared" si="19"/>
        <v>5</v>
      </c>
      <c r="X19" s="2696" t="str">
        <f t="shared" si="20"/>
        <v/>
      </c>
      <c r="Y19" s="2697" t="str">
        <f t="shared" si="21"/>
        <v/>
      </c>
      <c r="Z19" s="2698" t="s">
        <v>1885</v>
      </c>
      <c r="AA19" s="2758" t="str">
        <f t="shared" si="22"/>
        <v/>
      </c>
      <c r="AB19" s="2683" t="str">
        <f t="shared" si="23"/>
        <v>G22</v>
      </c>
      <c r="AC19" s="2691" t="str">
        <f t="shared" si="24"/>
        <v>B</v>
      </c>
      <c r="AD19" s="2686">
        <f t="shared" ca="1" si="25"/>
        <v>7</v>
      </c>
      <c r="AE19" s="2690">
        <f t="shared" ca="1" si="26"/>
        <v>10</v>
      </c>
      <c r="AF19" s="2691">
        <f t="shared" ca="1" si="27"/>
        <v>5</v>
      </c>
      <c r="AG19" s="2686">
        <f t="shared" ca="1" si="28"/>
        <v>8</v>
      </c>
      <c r="AH19" s="2690">
        <f t="shared" ca="1" si="29"/>
        <v>0</v>
      </c>
      <c r="AI19" s="2686">
        <f t="shared" ca="1" si="30"/>
        <v>3</v>
      </c>
      <c r="AJ19" s="2690">
        <f t="shared" ca="1" si="31"/>
        <v>3.625</v>
      </c>
      <c r="AK19" s="2732" t="str">
        <f t="shared" si="32"/>
        <v/>
      </c>
      <c r="AL19" s="2733" t="str">
        <f t="shared" si="33"/>
        <v/>
      </c>
      <c r="AM19" s="2734">
        <f t="shared" si="32"/>
        <v>5</v>
      </c>
      <c r="AN19" s="2691">
        <f t="shared" si="32"/>
        <v>13</v>
      </c>
      <c r="AO19" s="2694">
        <f t="shared" si="32"/>
        <v>4</v>
      </c>
      <c r="AP19" s="2693">
        <f t="shared" si="34"/>
        <v>1.75</v>
      </c>
      <c r="AQ19" s="2736" t="str">
        <f t="shared" si="34"/>
        <v/>
      </c>
      <c r="AR19" s="2689">
        <f t="shared" si="35"/>
        <v>1</v>
      </c>
      <c r="AS19" s="2690">
        <f t="shared" si="36"/>
        <v>0</v>
      </c>
      <c r="AT19" s="2737" t="str">
        <f t="shared" si="37"/>
        <v/>
      </c>
      <c r="AU19" s="2738" t="str">
        <f t="shared" si="38"/>
        <v>B</v>
      </c>
      <c r="AV19" s="2695" t="str">
        <f t="shared" si="39"/>
        <v/>
      </c>
      <c r="AW19" s="2690" t="str">
        <f t="shared" si="40"/>
        <v/>
      </c>
      <c r="AX19" s="2737" t="str">
        <f t="shared" si="41"/>
        <v/>
      </c>
      <c r="AY19" s="2738" t="str">
        <f t="shared" si="42"/>
        <v/>
      </c>
      <c r="AZ19" s="2695" t="str">
        <f t="shared" si="43"/>
        <v/>
      </c>
      <c r="BA19" s="2690" t="str">
        <f t="shared" si="44"/>
        <v/>
      </c>
      <c r="BB19" s="2737" t="str">
        <f t="shared" si="45"/>
        <v/>
      </c>
      <c r="BC19" s="2738" t="str">
        <f t="shared" si="46"/>
        <v/>
      </c>
      <c r="BD19" s="2695" t="str">
        <f t="shared" si="47"/>
        <v/>
      </c>
      <c r="BE19" s="2690" t="str">
        <f t="shared" si="48"/>
        <v/>
      </c>
      <c r="BF19" s="2737" t="str">
        <f t="shared" si="49"/>
        <v/>
      </c>
      <c r="BG19" s="2738" t="str">
        <f t="shared" si="50"/>
        <v/>
      </c>
      <c r="BH19" s="1417"/>
      <c r="BJ19" s="995" t="str">
        <f t="shared" si="93"/>
        <v>G22</v>
      </c>
      <c r="BK19" s="993" t="b">
        <f t="shared" si="51"/>
        <v>0</v>
      </c>
      <c r="BL19" s="1784" t="b">
        <v>0</v>
      </c>
      <c r="BM19" s="989">
        <f t="shared" si="52"/>
        <v>60</v>
      </c>
      <c r="BN19" s="989" t="str">
        <f t="shared" si="53"/>
        <v>G</v>
      </c>
      <c r="BO19" s="989">
        <f t="shared" si="54"/>
        <v>7</v>
      </c>
      <c r="BP19" s="989" t="str">
        <f t="shared" si="55"/>
        <v>11/5</v>
      </c>
      <c r="BQ19" s="989">
        <f t="shared" si="56"/>
        <v>2.4</v>
      </c>
      <c r="BR19" s="989" t="b">
        <f t="shared" si="57"/>
        <v>1</v>
      </c>
      <c r="BS19" s="1303">
        <f t="shared" si="58"/>
        <v>7.75</v>
      </c>
      <c r="BT19" s="990" t="str">
        <f t="shared" si="59"/>
        <v>Yes</v>
      </c>
      <c r="BU19" s="1303">
        <f t="shared" si="60"/>
        <v>6</v>
      </c>
      <c r="BV19" s="990" t="str">
        <f t="shared" si="61"/>
        <v>Yes</v>
      </c>
      <c r="BW19" s="991">
        <f t="shared" ca="1" si="62"/>
        <v>16</v>
      </c>
      <c r="BX19" s="991" t="str">
        <f t="shared" ca="1" si="63"/>
        <v>G22</v>
      </c>
      <c r="BY19" s="991" t="b">
        <f t="shared" ca="1" si="64"/>
        <v>0</v>
      </c>
      <c r="BZ19" s="991" t="b">
        <f t="shared" si="86"/>
        <v>0</v>
      </c>
      <c r="CB19" s="672" t="s">
        <v>1418</v>
      </c>
      <c r="CC19" s="1685">
        <v>1</v>
      </c>
      <c r="CD19" s="699" t="s">
        <v>1714</v>
      </c>
      <c r="CE19" s="700">
        <v>52</v>
      </c>
      <c r="CF19" s="701">
        <v>0</v>
      </c>
      <c r="CG19" s="672">
        <v>6</v>
      </c>
      <c r="CH19" s="713"/>
      <c r="CI19" s="714"/>
      <c r="CJ19" s="713"/>
      <c r="CK19" s="714"/>
      <c r="CL19" s="715"/>
      <c r="CM19" s="743"/>
      <c r="CN19" s="738"/>
      <c r="CO19" s="1552"/>
      <c r="CP19" s="910"/>
      <c r="CQ19" s="672">
        <v>11</v>
      </c>
      <c r="CR19" s="713"/>
      <c r="CS19" s="714"/>
      <c r="CT19" s="713"/>
      <c r="CU19" s="714"/>
      <c r="CV19" s="715"/>
      <c r="CW19" s="743"/>
      <c r="CX19" s="738"/>
      <c r="CY19" s="1552"/>
      <c r="CZ19" s="910"/>
      <c r="DA19" s="717"/>
      <c r="DB19" s="702" t="s">
        <v>1720</v>
      </c>
      <c r="DC19" s="703" t="s">
        <v>34</v>
      </c>
      <c r="DD19" s="725"/>
      <c r="DE19" s="726">
        <v>11.125</v>
      </c>
      <c r="DF19" s="141"/>
      <c r="DG19" s="141"/>
      <c r="DH19" s="672" t="s">
        <v>1418</v>
      </c>
      <c r="DI19" s="673" t="s">
        <v>35</v>
      </c>
      <c r="DJ19" s="692">
        <v>8</v>
      </c>
      <c r="DK19" s="1332">
        <v>0</v>
      </c>
      <c r="DL19" s="674">
        <v>5</v>
      </c>
      <c r="DM19" s="693">
        <v>8</v>
      </c>
      <c r="DN19" s="1335">
        <v>0</v>
      </c>
      <c r="DO19" s="675"/>
      <c r="DP19" s="676"/>
      <c r="DQ19" s="1420">
        <v>5</v>
      </c>
      <c r="DR19" s="677">
        <v>13</v>
      </c>
      <c r="DS19" s="1420">
        <v>4</v>
      </c>
      <c r="DT19" s="1422">
        <v>2</v>
      </c>
      <c r="DU19" s="1423"/>
      <c r="DV19" s="2661">
        <v>1</v>
      </c>
      <c r="DW19" s="2664">
        <v>0.25</v>
      </c>
      <c r="DX19" s="679"/>
      <c r="DY19" s="2665" t="s">
        <v>35</v>
      </c>
      <c r="DZ19" s="678"/>
      <c r="EA19" s="1337"/>
      <c r="EB19" s="679"/>
      <c r="EC19" s="674"/>
      <c r="ED19" s="678"/>
      <c r="EE19" s="1337"/>
      <c r="EF19" s="679"/>
      <c r="EG19" s="674"/>
      <c r="EH19" s="678"/>
      <c r="EI19" s="1337"/>
      <c r="EJ19" s="679"/>
      <c r="EK19" s="680"/>
      <c r="EL19" s="241"/>
      <c r="EM19" s="1632" t="str">
        <f t="shared" si="65"/>
        <v>G22</v>
      </c>
      <c r="EN19" s="1429" t="str">
        <f t="shared" si="66"/>
        <v/>
      </c>
      <c r="EO19" s="1430" t="str">
        <f t="shared" si="67"/>
        <v/>
      </c>
      <c r="EP19" s="1431" t="str">
        <f t="shared" si="68"/>
        <v/>
      </c>
      <c r="EQ19" s="1435" t="str">
        <f t="shared" si="69"/>
        <v/>
      </c>
      <c r="ER19" s="1441" t="str">
        <f t="shared" si="70"/>
        <v/>
      </c>
      <c r="ES19" s="1442" t="str">
        <f t="shared" si="71"/>
        <v/>
      </c>
      <c r="ET19" s="1443" t="str">
        <f t="shared" si="72"/>
        <v/>
      </c>
      <c r="EU19" s="1444" t="str">
        <f t="shared" si="87"/>
        <v/>
      </c>
      <c r="EX19" s="503" t="str">
        <f t="shared" ca="1" si="88"/>
        <v>G22B</v>
      </c>
      <c r="EY19" s="940" t="b">
        <f t="shared" ca="1" si="73"/>
        <v>1</v>
      </c>
      <c r="EZ19" s="940">
        <f t="shared" ca="1" si="89"/>
        <v>5</v>
      </c>
      <c r="FA19" s="958" t="b">
        <f t="shared" ca="1" si="94"/>
        <v>1</v>
      </c>
      <c r="FB19" s="134">
        <f t="shared" ca="1" si="90"/>
        <v>613.625</v>
      </c>
      <c r="FC19" s="134">
        <f t="shared" ca="1" si="74"/>
        <v>94</v>
      </c>
      <c r="FD19" s="134">
        <f t="shared" ca="1" si="75"/>
        <v>480</v>
      </c>
      <c r="FE19" s="134">
        <f t="shared" ca="1" si="76"/>
        <v>39.625</v>
      </c>
      <c r="FF19" s="134">
        <f t="shared" ca="1" si="91"/>
        <v>613.625</v>
      </c>
      <c r="FN19" s="754" t="b">
        <v>0</v>
      </c>
      <c r="FO19" s="754" t="b">
        <f t="shared" si="77"/>
        <v>1</v>
      </c>
      <c r="FP19" s="754" t="b">
        <v>0</v>
      </c>
      <c r="FQ19" s="754" t="b">
        <f t="shared" si="92"/>
        <v>1</v>
      </c>
      <c r="FW19" s="2"/>
      <c r="FX19" s="2"/>
      <c r="FZ19" s="2"/>
      <c r="GA19" s="581">
        <f t="shared" si="78"/>
        <v>52</v>
      </c>
      <c r="GB19" s="623">
        <f t="shared" si="79"/>
        <v>0</v>
      </c>
      <c r="GC19" s="625">
        <f t="shared" si="80"/>
        <v>-0.25</v>
      </c>
      <c r="GD19" s="626">
        <f t="shared" si="81"/>
        <v>-8.375</v>
      </c>
      <c r="GE19" s="624">
        <f t="shared" si="82"/>
        <v>0</v>
      </c>
      <c r="GF19" s="582" t="str">
        <f t="shared" si="83"/>
        <v>G22</v>
      </c>
      <c r="GG19" s="692">
        <v>0</v>
      </c>
      <c r="GH19" s="1136">
        <v>0</v>
      </c>
      <c r="GI19" s="692"/>
      <c r="GJ19" s="1136"/>
      <c r="GK19" s="1641">
        <f t="shared" si="84"/>
        <v>615.375</v>
      </c>
      <c r="GL19" s="1641">
        <f t="shared" si="85"/>
        <v>615.375</v>
      </c>
      <c r="GM19" s="1642">
        <f>IF(ABS(GK19-GL19)&gt;='Job Info.'!$L$22,ABS(GK19-GL19),0)</f>
        <v>0</v>
      </c>
      <c r="HA19" s="1242" t="s">
        <v>1418</v>
      </c>
      <c r="HB19" s="1243">
        <v>1</v>
      </c>
      <c r="HC19" s="1243" t="s">
        <v>1714</v>
      </c>
      <c r="HD19" s="1244">
        <v>52</v>
      </c>
      <c r="HE19" s="1245">
        <v>0</v>
      </c>
      <c r="HF19" s="1243">
        <v>6</v>
      </c>
      <c r="HG19" s="1243"/>
      <c r="HH19" s="1243"/>
      <c r="HI19" s="1243"/>
      <c r="HJ19" s="1243"/>
      <c r="HK19" s="1243"/>
      <c r="HL19" s="1243"/>
      <c r="HM19" s="1243"/>
      <c r="HN19" s="1243"/>
      <c r="HO19" s="1243"/>
      <c r="HP19" s="1243">
        <v>11</v>
      </c>
      <c r="HQ19" s="1243"/>
      <c r="HR19" s="1243"/>
      <c r="HS19" s="1243"/>
      <c r="HT19" s="1243"/>
      <c r="HU19" s="1243"/>
      <c r="HV19" s="1243"/>
      <c r="HW19" s="1243"/>
      <c r="HX19" s="1243"/>
      <c r="HY19" s="1247"/>
      <c r="HZ19" s="1247"/>
      <c r="IA19" s="1247" t="s">
        <v>1720</v>
      </c>
      <c r="IB19" s="1247" t="s">
        <v>34</v>
      </c>
      <c r="IC19" s="1247"/>
      <c r="ID19" s="1262">
        <v>11.125</v>
      </c>
      <c r="IE19" s="1242" t="s">
        <v>1418</v>
      </c>
      <c r="IF19" s="1243" t="s">
        <v>35</v>
      </c>
      <c r="IG19" s="1244">
        <v>8</v>
      </c>
      <c r="IH19" s="1245">
        <v>0</v>
      </c>
      <c r="II19" s="1243">
        <v>5</v>
      </c>
      <c r="IJ19" s="1244">
        <v>8</v>
      </c>
      <c r="IK19" s="1245">
        <v>0</v>
      </c>
      <c r="IL19" s="1243"/>
      <c r="IM19" s="1243"/>
      <c r="IN19" s="1243">
        <v>5</v>
      </c>
      <c r="IO19" s="1243">
        <v>13</v>
      </c>
      <c r="IP19" s="1243">
        <v>4</v>
      </c>
      <c r="IQ19" s="1243">
        <v>2</v>
      </c>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5"/>
        <v>1</v>
      </c>
    </row>
    <row r="20" spans="1:272" ht="12.6" customHeight="1" x14ac:dyDescent="0.25">
      <c r="A20" s="2683" t="str">
        <f t="shared" si="0"/>
        <v>G23</v>
      </c>
      <c r="B20" s="2684">
        <f t="shared" si="0"/>
        <v>1</v>
      </c>
      <c r="C20" s="2685" t="s">
        <v>1714</v>
      </c>
      <c r="D20" s="2686">
        <f t="shared" si="1"/>
        <v>51</v>
      </c>
      <c r="E20" s="2687">
        <f t="shared" si="2"/>
        <v>3.375</v>
      </c>
      <c r="F20" s="2688">
        <f t="shared" si="3"/>
        <v>11.125</v>
      </c>
      <c r="G20" s="2689">
        <f t="shared" si="4"/>
        <v>0</v>
      </c>
      <c r="H20" s="2690">
        <f t="shared" si="5"/>
        <v>1.75</v>
      </c>
      <c r="I20" s="2691" t="str">
        <f t="shared" si="6"/>
        <v>R</v>
      </c>
      <c r="J20" s="2686" t="str">
        <f t="shared" si="7"/>
        <v/>
      </c>
      <c r="K20" s="2690" t="str">
        <f t="shared" si="8"/>
        <v/>
      </c>
      <c r="L20" s="2692" t="str">
        <f t="shared" si="9"/>
        <v/>
      </c>
      <c r="M20" s="2693">
        <f t="shared" si="10"/>
        <v>7.5</v>
      </c>
      <c r="N20" s="2694">
        <f t="shared" si="10"/>
        <v>7.5</v>
      </c>
      <c r="O20" s="2689">
        <f t="shared" si="11"/>
        <v>0</v>
      </c>
      <c r="P20" s="2690">
        <f t="shared" si="12"/>
        <v>6.75</v>
      </c>
      <c r="Q20" s="2686">
        <f t="shared" si="13"/>
        <v>0</v>
      </c>
      <c r="R20" s="2687">
        <f t="shared" si="14"/>
        <v>1</v>
      </c>
      <c r="S20" s="2695">
        <f t="shared" si="15"/>
        <v>0</v>
      </c>
      <c r="T20" s="2690">
        <f t="shared" si="16"/>
        <v>6.25</v>
      </c>
      <c r="U20" s="2686">
        <f t="shared" si="17"/>
        <v>0</v>
      </c>
      <c r="V20" s="2690">
        <f t="shared" si="18"/>
        <v>1.5</v>
      </c>
      <c r="W20" s="2694">
        <f t="shared" si="19"/>
        <v>5</v>
      </c>
      <c r="X20" s="2696" t="str">
        <f t="shared" si="20"/>
        <v/>
      </c>
      <c r="Y20" s="2697" t="str">
        <f t="shared" si="21"/>
        <v/>
      </c>
      <c r="Z20" s="2698" t="s">
        <v>1886</v>
      </c>
      <c r="AA20" s="2758" t="str">
        <f t="shared" si="22"/>
        <v/>
      </c>
      <c r="AB20" s="2683" t="str">
        <f t="shared" si="23"/>
        <v>G23</v>
      </c>
      <c r="AC20" s="2691" t="str">
        <f t="shared" si="24"/>
        <v>B</v>
      </c>
      <c r="AD20" s="2686">
        <f t="shared" ca="1" si="25"/>
        <v>7</v>
      </c>
      <c r="AE20" s="2690">
        <f t="shared" ca="1" si="26"/>
        <v>10</v>
      </c>
      <c r="AF20" s="2691">
        <f t="shared" ca="1" si="27"/>
        <v>5</v>
      </c>
      <c r="AG20" s="2686">
        <f t="shared" ca="1" si="28"/>
        <v>8</v>
      </c>
      <c r="AH20" s="2690">
        <f t="shared" ca="1" si="29"/>
        <v>0</v>
      </c>
      <c r="AI20" s="2686">
        <f t="shared" ca="1" si="30"/>
        <v>3</v>
      </c>
      <c r="AJ20" s="2690">
        <f t="shared" ca="1" si="31"/>
        <v>3.625</v>
      </c>
      <c r="AK20" s="2732" t="str">
        <f t="shared" si="32"/>
        <v/>
      </c>
      <c r="AL20" s="2733" t="str">
        <f t="shared" si="33"/>
        <v/>
      </c>
      <c r="AM20" s="2734">
        <f t="shared" si="32"/>
        <v>5</v>
      </c>
      <c r="AN20" s="2691">
        <f t="shared" si="32"/>
        <v>13</v>
      </c>
      <c r="AO20" s="2694">
        <f t="shared" si="32"/>
        <v>4</v>
      </c>
      <c r="AP20" s="2693">
        <f t="shared" si="34"/>
        <v>1.75</v>
      </c>
      <c r="AQ20" s="2736" t="str">
        <f t="shared" si="34"/>
        <v/>
      </c>
      <c r="AR20" s="2689">
        <f t="shared" si="35"/>
        <v>1</v>
      </c>
      <c r="AS20" s="2690">
        <f t="shared" si="36"/>
        <v>0</v>
      </c>
      <c r="AT20" s="2737" t="str">
        <f t="shared" si="37"/>
        <v/>
      </c>
      <c r="AU20" s="2738" t="str">
        <f t="shared" si="38"/>
        <v>B</v>
      </c>
      <c r="AV20" s="2695" t="str">
        <f t="shared" si="39"/>
        <v/>
      </c>
      <c r="AW20" s="2690" t="str">
        <f t="shared" si="40"/>
        <v/>
      </c>
      <c r="AX20" s="2737" t="str">
        <f t="shared" si="41"/>
        <v/>
      </c>
      <c r="AY20" s="2738" t="str">
        <f t="shared" si="42"/>
        <v/>
      </c>
      <c r="AZ20" s="2695" t="str">
        <f t="shared" si="43"/>
        <v/>
      </c>
      <c r="BA20" s="2690" t="str">
        <f t="shared" si="44"/>
        <v/>
      </c>
      <c r="BB20" s="2737" t="str">
        <f t="shared" si="45"/>
        <v/>
      </c>
      <c r="BC20" s="2738" t="str">
        <f t="shared" si="46"/>
        <v/>
      </c>
      <c r="BD20" s="2695" t="str">
        <f t="shared" si="47"/>
        <v/>
      </c>
      <c r="BE20" s="2690" t="str">
        <f t="shared" si="48"/>
        <v/>
      </c>
      <c r="BF20" s="2737" t="str">
        <f t="shared" si="49"/>
        <v/>
      </c>
      <c r="BG20" s="2738" t="str">
        <f t="shared" si="50"/>
        <v/>
      </c>
      <c r="BH20" s="1417"/>
      <c r="BJ20" s="995" t="str">
        <f t="shared" si="93"/>
        <v>G23</v>
      </c>
      <c r="BK20" s="993" t="b">
        <f t="shared" si="51"/>
        <v>0</v>
      </c>
      <c r="BL20" s="1784" t="b">
        <v>0</v>
      </c>
      <c r="BM20" s="989">
        <f t="shared" si="52"/>
        <v>60</v>
      </c>
      <c r="BN20" s="989" t="str">
        <f t="shared" si="53"/>
        <v>G</v>
      </c>
      <c r="BO20" s="989">
        <f t="shared" si="54"/>
        <v>7</v>
      </c>
      <c r="BP20" s="989" t="str">
        <f t="shared" si="55"/>
        <v>11/5</v>
      </c>
      <c r="BQ20" s="989">
        <f t="shared" si="56"/>
        <v>2.4</v>
      </c>
      <c r="BR20" s="989" t="b">
        <f t="shared" si="57"/>
        <v>1</v>
      </c>
      <c r="BS20" s="1303">
        <f t="shared" si="58"/>
        <v>7.75</v>
      </c>
      <c r="BT20" s="990" t="str">
        <f t="shared" si="59"/>
        <v>Yes</v>
      </c>
      <c r="BU20" s="1303">
        <f t="shared" si="60"/>
        <v>6</v>
      </c>
      <c r="BV20" s="990" t="str">
        <f t="shared" si="61"/>
        <v>Yes</v>
      </c>
      <c r="BW20" s="991">
        <f t="shared" ca="1" si="62"/>
        <v>16</v>
      </c>
      <c r="BX20" s="991" t="str">
        <f t="shared" ca="1" si="63"/>
        <v>G23</v>
      </c>
      <c r="BY20" s="991" t="b">
        <f t="shared" ca="1" si="64"/>
        <v>0</v>
      </c>
      <c r="BZ20" s="991" t="b">
        <f t="shared" si="86"/>
        <v>0</v>
      </c>
      <c r="CB20" s="672" t="s">
        <v>1419</v>
      </c>
      <c r="CC20" s="1685">
        <v>1</v>
      </c>
      <c r="CD20" s="699" t="s">
        <v>1714</v>
      </c>
      <c r="CE20" s="700">
        <v>52</v>
      </c>
      <c r="CF20" s="701">
        <v>0</v>
      </c>
      <c r="CG20" s="672">
        <v>6</v>
      </c>
      <c r="CH20" s="713"/>
      <c r="CI20" s="714"/>
      <c r="CJ20" s="713"/>
      <c r="CK20" s="714"/>
      <c r="CL20" s="715"/>
      <c r="CM20" s="743"/>
      <c r="CN20" s="738"/>
      <c r="CO20" s="1552"/>
      <c r="CP20" s="910"/>
      <c r="CQ20" s="672">
        <v>11</v>
      </c>
      <c r="CR20" s="713"/>
      <c r="CS20" s="714"/>
      <c r="CT20" s="713"/>
      <c r="CU20" s="714"/>
      <c r="CV20" s="715"/>
      <c r="CW20" s="743"/>
      <c r="CX20" s="738"/>
      <c r="CY20" s="1552"/>
      <c r="CZ20" s="910"/>
      <c r="DA20" s="717"/>
      <c r="DB20" s="702" t="s">
        <v>1721</v>
      </c>
      <c r="DC20" s="703"/>
      <c r="DD20" s="725"/>
      <c r="DE20" s="726">
        <v>11.125</v>
      </c>
      <c r="DF20" s="141"/>
      <c r="DG20" s="141"/>
      <c r="DH20" s="672" t="s">
        <v>1419</v>
      </c>
      <c r="DI20" s="673" t="s">
        <v>35</v>
      </c>
      <c r="DJ20" s="692">
        <v>8</v>
      </c>
      <c r="DK20" s="1332">
        <v>0</v>
      </c>
      <c r="DL20" s="674">
        <v>5</v>
      </c>
      <c r="DM20" s="693">
        <v>8</v>
      </c>
      <c r="DN20" s="1335">
        <v>0</v>
      </c>
      <c r="DO20" s="675"/>
      <c r="DP20" s="676"/>
      <c r="DQ20" s="1420">
        <v>5</v>
      </c>
      <c r="DR20" s="677">
        <v>13</v>
      </c>
      <c r="DS20" s="1420">
        <v>4</v>
      </c>
      <c r="DT20" s="1422">
        <v>2</v>
      </c>
      <c r="DU20" s="1423"/>
      <c r="DV20" s="2661">
        <v>1</v>
      </c>
      <c r="DW20" s="2664">
        <v>0.25</v>
      </c>
      <c r="DX20" s="679"/>
      <c r="DY20" s="2665" t="s">
        <v>35</v>
      </c>
      <c r="DZ20" s="678"/>
      <c r="EA20" s="1337"/>
      <c r="EB20" s="679"/>
      <c r="EC20" s="674"/>
      <c r="ED20" s="678"/>
      <c r="EE20" s="1337"/>
      <c r="EF20" s="679"/>
      <c r="EG20" s="674"/>
      <c r="EH20" s="678"/>
      <c r="EI20" s="1337"/>
      <c r="EJ20" s="679"/>
      <c r="EK20" s="680"/>
      <c r="EL20" s="241"/>
      <c r="EM20" s="1632" t="str">
        <f t="shared" si="65"/>
        <v>G23</v>
      </c>
      <c r="EN20" s="1429" t="str">
        <f t="shared" si="66"/>
        <v/>
      </c>
      <c r="EO20" s="1430" t="str">
        <f t="shared" si="67"/>
        <v/>
      </c>
      <c r="EP20" s="1431" t="str">
        <f t="shared" si="68"/>
        <v/>
      </c>
      <c r="EQ20" s="1435" t="str">
        <f t="shared" si="69"/>
        <v/>
      </c>
      <c r="ER20" s="1441" t="str">
        <f t="shared" si="70"/>
        <v/>
      </c>
      <c r="ES20" s="1442" t="str">
        <f t="shared" si="71"/>
        <v/>
      </c>
      <c r="ET20" s="1443" t="str">
        <f t="shared" si="72"/>
        <v/>
      </c>
      <c r="EU20" s="1444" t="str">
        <f t="shared" si="87"/>
        <v/>
      </c>
      <c r="EX20" s="503" t="str">
        <f t="shared" ca="1" si="88"/>
        <v>G23B</v>
      </c>
      <c r="EY20" s="940" t="b">
        <f t="shared" ca="1" si="73"/>
        <v>1</v>
      </c>
      <c r="EZ20" s="940">
        <f t="shared" ca="1" si="89"/>
        <v>5</v>
      </c>
      <c r="FA20" s="958" t="b">
        <f t="shared" ca="1" si="94"/>
        <v>1</v>
      </c>
      <c r="FB20" s="134">
        <f t="shared" ca="1" si="90"/>
        <v>613.625</v>
      </c>
      <c r="FC20" s="134">
        <f t="shared" ca="1" si="74"/>
        <v>94</v>
      </c>
      <c r="FD20" s="134">
        <f t="shared" ca="1" si="75"/>
        <v>480</v>
      </c>
      <c r="FE20" s="134">
        <f t="shared" ca="1" si="76"/>
        <v>39.625</v>
      </c>
      <c r="FF20" s="134">
        <f t="shared" ca="1" si="91"/>
        <v>613.625</v>
      </c>
      <c r="FN20" s="754" t="b">
        <v>0</v>
      </c>
      <c r="FO20" s="754" t="b">
        <f t="shared" si="77"/>
        <v>1</v>
      </c>
      <c r="FP20" s="754" t="b">
        <v>0</v>
      </c>
      <c r="FQ20" s="754" t="b">
        <f t="shared" si="92"/>
        <v>1</v>
      </c>
      <c r="FW20" s="2"/>
      <c r="FX20" s="2"/>
      <c r="FZ20" s="2"/>
      <c r="GA20" s="581">
        <f t="shared" si="78"/>
        <v>52</v>
      </c>
      <c r="GB20" s="623">
        <f t="shared" si="79"/>
        <v>0</v>
      </c>
      <c r="GC20" s="625">
        <f t="shared" si="80"/>
        <v>-0.25</v>
      </c>
      <c r="GD20" s="626">
        <f t="shared" si="81"/>
        <v>-8.375</v>
      </c>
      <c r="GE20" s="624">
        <f t="shared" si="82"/>
        <v>0</v>
      </c>
      <c r="GF20" s="582" t="str">
        <f t="shared" si="83"/>
        <v>G23</v>
      </c>
      <c r="GG20" s="692">
        <v>0</v>
      </c>
      <c r="GH20" s="1136">
        <v>0</v>
      </c>
      <c r="GI20" s="692"/>
      <c r="GJ20" s="1136"/>
      <c r="GK20" s="1641">
        <f t="shared" si="84"/>
        <v>615.375</v>
      </c>
      <c r="GL20" s="1641">
        <f t="shared" si="85"/>
        <v>615.375</v>
      </c>
      <c r="GM20" s="1642">
        <f>IF(ABS(GK20-GL20)&gt;='Job Info.'!$L$22,ABS(GK20-GL20),0)</f>
        <v>0</v>
      </c>
      <c r="HA20" s="1242" t="s">
        <v>1419</v>
      </c>
      <c r="HB20" s="1243">
        <v>1</v>
      </c>
      <c r="HC20" s="1243" t="s">
        <v>1714</v>
      </c>
      <c r="HD20" s="1244">
        <v>52</v>
      </c>
      <c r="HE20" s="1245">
        <v>0</v>
      </c>
      <c r="HF20" s="1243">
        <v>6</v>
      </c>
      <c r="HG20" s="1243"/>
      <c r="HH20" s="1243"/>
      <c r="HI20" s="1243"/>
      <c r="HJ20" s="1243"/>
      <c r="HK20" s="1243"/>
      <c r="HL20" s="1243"/>
      <c r="HM20" s="1243"/>
      <c r="HN20" s="1243"/>
      <c r="HO20" s="1243"/>
      <c r="HP20" s="1243">
        <v>11</v>
      </c>
      <c r="HQ20" s="1243"/>
      <c r="HR20" s="1243"/>
      <c r="HS20" s="1243"/>
      <c r="HT20" s="1243"/>
      <c r="HU20" s="1243"/>
      <c r="HV20" s="1243"/>
      <c r="HW20" s="1243"/>
      <c r="HX20" s="1243"/>
      <c r="HY20" s="1247"/>
      <c r="HZ20" s="1247"/>
      <c r="IA20" s="1247" t="s">
        <v>1721</v>
      </c>
      <c r="IB20" s="1247"/>
      <c r="IC20" s="1247"/>
      <c r="ID20" s="1262">
        <v>11.125</v>
      </c>
      <c r="IE20" s="1242" t="s">
        <v>1419</v>
      </c>
      <c r="IF20" s="1243" t="s">
        <v>35</v>
      </c>
      <c r="IG20" s="1244">
        <v>8</v>
      </c>
      <c r="IH20" s="1245">
        <v>0</v>
      </c>
      <c r="II20" s="1243">
        <v>5</v>
      </c>
      <c r="IJ20" s="1244">
        <v>8</v>
      </c>
      <c r="IK20" s="1245">
        <v>0</v>
      </c>
      <c r="IL20" s="1243"/>
      <c r="IM20" s="1243"/>
      <c r="IN20" s="1243">
        <v>5</v>
      </c>
      <c r="IO20" s="1243">
        <v>13</v>
      </c>
      <c r="IP20" s="1243">
        <v>4</v>
      </c>
      <c r="IQ20" s="1243">
        <v>2</v>
      </c>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5"/>
        <v>1</v>
      </c>
    </row>
    <row r="21" spans="1:272" ht="12.6" customHeight="1" x14ac:dyDescent="0.25">
      <c r="A21" s="2683" t="str">
        <f t="shared" si="0"/>
        <v>G24</v>
      </c>
      <c r="B21" s="2684">
        <f t="shared" si="0"/>
        <v>1</v>
      </c>
      <c r="C21" s="2685" t="s">
        <v>1714</v>
      </c>
      <c r="D21" s="2686">
        <f t="shared" si="1"/>
        <v>51</v>
      </c>
      <c r="E21" s="2687">
        <f t="shared" si="2"/>
        <v>11.5</v>
      </c>
      <c r="F21" s="2688">
        <f t="shared" si="3"/>
        <v>11.125</v>
      </c>
      <c r="G21" s="2689">
        <f t="shared" si="4"/>
        <v>0</v>
      </c>
      <c r="H21" s="2690">
        <f t="shared" si="5"/>
        <v>1.75</v>
      </c>
      <c r="I21" s="2691" t="str">
        <f t="shared" si="6"/>
        <v>R</v>
      </c>
      <c r="J21" s="2686">
        <f t="shared" si="7"/>
        <v>0</v>
      </c>
      <c r="K21" s="2690">
        <f t="shared" si="8"/>
        <v>1.75</v>
      </c>
      <c r="L21" s="2692" t="str">
        <f t="shared" si="9"/>
        <v>R</v>
      </c>
      <c r="M21" s="2693">
        <f t="shared" si="10"/>
        <v>7.5</v>
      </c>
      <c r="N21" s="2694">
        <f t="shared" si="10"/>
        <v>7.5</v>
      </c>
      <c r="O21" s="2689">
        <f t="shared" si="11"/>
        <v>0</v>
      </c>
      <c r="P21" s="2690">
        <f t="shared" si="12"/>
        <v>6.75</v>
      </c>
      <c r="Q21" s="2686">
        <f t="shared" si="13"/>
        <v>0</v>
      </c>
      <c r="R21" s="2687">
        <f t="shared" si="14"/>
        <v>6.75</v>
      </c>
      <c r="S21" s="2695">
        <f t="shared" si="15"/>
        <v>0</v>
      </c>
      <c r="T21" s="2690">
        <f t="shared" si="16"/>
        <v>6.25</v>
      </c>
      <c r="U21" s="2686">
        <f t="shared" si="17"/>
        <v>0</v>
      </c>
      <c r="V21" s="2690">
        <f t="shared" si="18"/>
        <v>6.25</v>
      </c>
      <c r="W21" s="2694">
        <f t="shared" si="19"/>
        <v>5</v>
      </c>
      <c r="X21" s="2696" t="str">
        <f t="shared" si="20"/>
        <v/>
      </c>
      <c r="Y21" s="2697" t="str">
        <f t="shared" si="21"/>
        <v/>
      </c>
      <c r="Z21" s="2698" t="s">
        <v>1887</v>
      </c>
      <c r="AA21" s="2758" t="str">
        <f t="shared" si="22"/>
        <v/>
      </c>
      <c r="AB21" s="2683" t="str">
        <f t="shared" si="23"/>
        <v>G24</v>
      </c>
      <c r="AC21" s="2691" t="str">
        <f t="shared" si="24"/>
        <v>B</v>
      </c>
      <c r="AD21" s="2686">
        <f t="shared" ca="1" si="25"/>
        <v>3</v>
      </c>
      <c r="AE21" s="2690">
        <f t="shared" ca="1" si="26"/>
        <v>10</v>
      </c>
      <c r="AF21" s="2691">
        <f t="shared" ca="1" si="27"/>
        <v>5</v>
      </c>
      <c r="AG21" s="2686">
        <f t="shared" ca="1" si="28"/>
        <v>8</v>
      </c>
      <c r="AH21" s="2690">
        <f t="shared" ca="1" si="29"/>
        <v>0</v>
      </c>
      <c r="AI21" s="2686">
        <f t="shared" ca="1" si="30"/>
        <v>7</v>
      </c>
      <c r="AJ21" s="2690">
        <f t="shared" ca="1" si="31"/>
        <v>10</v>
      </c>
      <c r="AK21" s="2732" t="str">
        <f t="shared" si="32"/>
        <v/>
      </c>
      <c r="AL21" s="2733" t="str">
        <f t="shared" si="33"/>
        <v/>
      </c>
      <c r="AM21" s="2734">
        <f t="shared" si="32"/>
        <v>5</v>
      </c>
      <c r="AN21" s="2691">
        <f t="shared" si="32"/>
        <v>13</v>
      </c>
      <c r="AO21" s="2694">
        <f t="shared" si="32"/>
        <v>4</v>
      </c>
      <c r="AP21" s="2693" t="str">
        <f t="shared" si="34"/>
        <v/>
      </c>
      <c r="AQ21" s="2736">
        <f t="shared" si="34"/>
        <v>1.75</v>
      </c>
      <c r="AR21" s="2689" t="str">
        <f t="shared" si="35"/>
        <v>P</v>
      </c>
      <c r="AS21" s="2690" t="str">
        <f t="shared" si="36"/>
        <v>#1</v>
      </c>
      <c r="AT21" s="2737" t="str">
        <f t="shared" si="37"/>
        <v/>
      </c>
      <c r="AU21" s="2738" t="str">
        <f t="shared" si="38"/>
        <v>B</v>
      </c>
      <c r="AV21" s="2695">
        <f t="shared" si="39"/>
        <v>51</v>
      </c>
      <c r="AW21" s="2690">
        <f t="shared" si="40"/>
        <v>0</v>
      </c>
      <c r="AX21" s="2737" t="str">
        <f t="shared" si="41"/>
        <v/>
      </c>
      <c r="AY21" s="2738" t="str">
        <f t="shared" si="42"/>
        <v>B</v>
      </c>
      <c r="AZ21" s="2695" t="str">
        <f t="shared" si="43"/>
        <v/>
      </c>
      <c r="BA21" s="2690" t="str">
        <f t="shared" si="44"/>
        <v/>
      </c>
      <c r="BB21" s="2737" t="str">
        <f t="shared" si="45"/>
        <v/>
      </c>
      <c r="BC21" s="2738" t="str">
        <f t="shared" si="46"/>
        <v/>
      </c>
      <c r="BD21" s="2695" t="str">
        <f t="shared" si="47"/>
        <v/>
      </c>
      <c r="BE21" s="2690" t="str">
        <f t="shared" si="48"/>
        <v/>
      </c>
      <c r="BF21" s="2737" t="str">
        <f t="shared" si="49"/>
        <v/>
      </c>
      <c r="BG21" s="2738" t="str">
        <f t="shared" si="50"/>
        <v/>
      </c>
      <c r="BH21" s="1417"/>
      <c r="BJ21" s="995" t="str">
        <f t="shared" si="93"/>
        <v>G24</v>
      </c>
      <c r="BK21" s="993" t="b">
        <f t="shared" si="51"/>
        <v>0</v>
      </c>
      <c r="BL21" s="1784" t="b">
        <v>0</v>
      </c>
      <c r="BM21" s="989">
        <f t="shared" si="52"/>
        <v>60</v>
      </c>
      <c r="BN21" s="989" t="str">
        <f t="shared" si="53"/>
        <v>G</v>
      </c>
      <c r="BO21" s="989">
        <f t="shared" si="54"/>
        <v>7</v>
      </c>
      <c r="BP21" s="989" t="str">
        <f t="shared" si="55"/>
        <v>11/5</v>
      </c>
      <c r="BQ21" s="989">
        <f t="shared" si="56"/>
        <v>2.4</v>
      </c>
      <c r="BR21" s="989" t="b">
        <f t="shared" si="57"/>
        <v>1</v>
      </c>
      <c r="BS21" s="1303">
        <f t="shared" si="58"/>
        <v>7.75</v>
      </c>
      <c r="BT21" s="990" t="str">
        <f t="shared" si="59"/>
        <v>Yes</v>
      </c>
      <c r="BU21" s="1303">
        <f t="shared" si="60"/>
        <v>7.75</v>
      </c>
      <c r="BV21" s="990" t="str">
        <f t="shared" si="61"/>
        <v>Yes</v>
      </c>
      <c r="BW21" s="991">
        <f t="shared" ca="1" si="62"/>
        <v>19</v>
      </c>
      <c r="BX21" s="991" t="str">
        <f t="shared" ca="1" si="63"/>
        <v>G24</v>
      </c>
      <c r="BY21" s="991" t="b">
        <f t="shared" ca="1" si="64"/>
        <v>0</v>
      </c>
      <c r="BZ21" s="991" t="b">
        <f t="shared" si="86"/>
        <v>0</v>
      </c>
      <c r="CB21" s="672" t="s">
        <v>1420</v>
      </c>
      <c r="CC21" s="1685">
        <v>1</v>
      </c>
      <c r="CD21" s="699" t="s">
        <v>1714</v>
      </c>
      <c r="CE21" s="700">
        <v>52</v>
      </c>
      <c r="CF21" s="701">
        <v>0</v>
      </c>
      <c r="CG21" s="672">
        <v>6</v>
      </c>
      <c r="CH21" s="713"/>
      <c r="CI21" s="714"/>
      <c r="CJ21" s="713"/>
      <c r="CK21" s="714"/>
      <c r="CL21" s="715"/>
      <c r="CM21" s="743"/>
      <c r="CN21" s="738"/>
      <c r="CO21" s="1552"/>
      <c r="CP21" s="910"/>
      <c r="CQ21" s="672">
        <v>6</v>
      </c>
      <c r="CR21" s="713"/>
      <c r="CS21" s="714"/>
      <c r="CT21" s="713"/>
      <c r="CU21" s="714"/>
      <c r="CV21" s="715"/>
      <c r="CW21" s="743"/>
      <c r="CX21" s="738"/>
      <c r="CY21" s="1552"/>
      <c r="CZ21" s="910"/>
      <c r="DA21" s="717"/>
      <c r="DB21" s="702" t="s">
        <v>1719</v>
      </c>
      <c r="DC21" s="703"/>
      <c r="DD21" s="725"/>
      <c r="DE21" s="726">
        <v>11.125</v>
      </c>
      <c r="DF21" s="141"/>
      <c r="DG21" s="141"/>
      <c r="DH21" s="672" t="s">
        <v>1420</v>
      </c>
      <c r="DI21" s="673" t="s">
        <v>35</v>
      </c>
      <c r="DJ21" s="692">
        <v>4</v>
      </c>
      <c r="DK21" s="1332">
        <v>0</v>
      </c>
      <c r="DL21" s="674">
        <v>5</v>
      </c>
      <c r="DM21" s="693">
        <v>8</v>
      </c>
      <c r="DN21" s="1335">
        <v>0</v>
      </c>
      <c r="DO21" s="675"/>
      <c r="DP21" s="676"/>
      <c r="DQ21" s="1420">
        <v>5</v>
      </c>
      <c r="DR21" s="677">
        <v>13</v>
      </c>
      <c r="DS21" s="1420">
        <v>4</v>
      </c>
      <c r="DT21" s="1422"/>
      <c r="DU21" s="1423">
        <v>2</v>
      </c>
      <c r="DV21" s="678" t="s">
        <v>1018</v>
      </c>
      <c r="DW21" s="1337" t="s">
        <v>1705</v>
      </c>
      <c r="DX21" s="679"/>
      <c r="DY21" s="674" t="s">
        <v>35</v>
      </c>
      <c r="DZ21" s="2661">
        <v>51</v>
      </c>
      <c r="EA21" s="2664">
        <v>0.25</v>
      </c>
      <c r="EB21" s="679"/>
      <c r="EC21" s="2665" t="s">
        <v>35</v>
      </c>
      <c r="ED21" s="678"/>
      <c r="EE21" s="1337"/>
      <c r="EF21" s="679"/>
      <c r="EG21" s="674"/>
      <c r="EH21" s="678"/>
      <c r="EI21" s="1337"/>
      <c r="EJ21" s="679"/>
      <c r="EK21" s="680"/>
      <c r="EL21" s="241"/>
      <c r="EM21" s="1632" t="str">
        <f t="shared" si="65"/>
        <v>G24</v>
      </c>
      <c r="EN21" s="1429" t="str">
        <f t="shared" si="66"/>
        <v/>
      </c>
      <c r="EO21" s="1430" t="str">
        <f t="shared" si="67"/>
        <v/>
      </c>
      <c r="EP21" s="1431" t="str">
        <f t="shared" si="68"/>
        <v/>
      </c>
      <c r="EQ21" s="1435" t="str">
        <f t="shared" si="69"/>
        <v/>
      </c>
      <c r="ER21" s="1441" t="str">
        <f t="shared" si="70"/>
        <v/>
      </c>
      <c r="ES21" s="1442" t="str">
        <f t="shared" si="71"/>
        <v/>
      </c>
      <c r="ET21" s="1443" t="str">
        <f t="shared" si="72"/>
        <v/>
      </c>
      <c r="EU21" s="1444" t="str">
        <f t="shared" si="87"/>
        <v/>
      </c>
      <c r="EX21" s="503" t="str">
        <f t="shared" ca="1" si="88"/>
        <v>G24B</v>
      </c>
      <c r="EY21" s="940" t="b">
        <f t="shared" ca="1" si="73"/>
        <v>1</v>
      </c>
      <c r="EZ21" s="940">
        <f t="shared" ca="1" si="89"/>
        <v>5</v>
      </c>
      <c r="FA21" s="958" t="b">
        <f t="shared" ca="1" si="94"/>
        <v>1</v>
      </c>
      <c r="FB21" s="134">
        <f t="shared" ca="1" si="90"/>
        <v>620</v>
      </c>
      <c r="FC21" s="134">
        <f t="shared" ca="1" si="74"/>
        <v>46</v>
      </c>
      <c r="FD21" s="134">
        <f t="shared" ca="1" si="75"/>
        <v>480</v>
      </c>
      <c r="FE21" s="134">
        <f t="shared" ca="1" si="76"/>
        <v>94</v>
      </c>
      <c r="FF21" s="134">
        <f t="shared" ca="1" si="91"/>
        <v>620</v>
      </c>
      <c r="FN21" s="754" t="b">
        <v>0</v>
      </c>
      <c r="FO21" s="754" t="b">
        <f t="shared" si="77"/>
        <v>1</v>
      </c>
      <c r="FP21" s="754" t="b">
        <v>0</v>
      </c>
      <c r="FQ21" s="754" t="b">
        <f t="shared" si="92"/>
        <v>1</v>
      </c>
      <c r="FW21" s="23"/>
      <c r="FX21" s="23"/>
      <c r="FZ21" s="23"/>
      <c r="GA21" s="581">
        <f t="shared" si="78"/>
        <v>52</v>
      </c>
      <c r="GB21" s="623">
        <f t="shared" si="79"/>
        <v>0</v>
      </c>
      <c r="GC21" s="625">
        <f t="shared" si="80"/>
        <v>-0.25</v>
      </c>
      <c r="GD21" s="626">
        <f t="shared" si="81"/>
        <v>-0.25</v>
      </c>
      <c r="GE21" s="624">
        <f t="shared" si="82"/>
        <v>0</v>
      </c>
      <c r="GF21" s="582" t="str">
        <f t="shared" si="83"/>
        <v>G24</v>
      </c>
      <c r="GG21" s="692">
        <v>0</v>
      </c>
      <c r="GH21" s="1136">
        <v>0</v>
      </c>
      <c r="GI21" s="692"/>
      <c r="GJ21" s="1136"/>
      <c r="GK21" s="1641">
        <f t="shared" si="84"/>
        <v>623.5</v>
      </c>
      <c r="GL21" s="1641">
        <f t="shared" si="85"/>
        <v>623.5</v>
      </c>
      <c r="GM21" s="1642">
        <f>IF(ABS(GK21-GL21)&gt;='Job Info.'!$L$22,ABS(GK21-GL21),0)</f>
        <v>0</v>
      </c>
      <c r="HA21" s="1242" t="s">
        <v>1420</v>
      </c>
      <c r="HB21" s="1243">
        <v>1</v>
      </c>
      <c r="HC21" s="1243" t="s">
        <v>1714</v>
      </c>
      <c r="HD21" s="1244">
        <v>52</v>
      </c>
      <c r="HE21" s="1245">
        <v>0</v>
      </c>
      <c r="HF21" s="1243">
        <v>6</v>
      </c>
      <c r="HG21" s="1243"/>
      <c r="HH21" s="1243"/>
      <c r="HI21" s="1243"/>
      <c r="HJ21" s="1243"/>
      <c r="HK21" s="1243"/>
      <c r="HL21" s="1243"/>
      <c r="HM21" s="1243"/>
      <c r="HN21" s="1243"/>
      <c r="HO21" s="1243"/>
      <c r="HP21" s="1243">
        <v>6</v>
      </c>
      <c r="HQ21" s="1243"/>
      <c r="HR21" s="1243"/>
      <c r="HS21" s="1243"/>
      <c r="HT21" s="1243"/>
      <c r="HU21" s="1243"/>
      <c r="HV21" s="1243"/>
      <c r="HW21" s="1243"/>
      <c r="HX21" s="1243"/>
      <c r="HY21" s="1247"/>
      <c r="HZ21" s="1247"/>
      <c r="IA21" s="1247" t="s">
        <v>1719</v>
      </c>
      <c r="IB21" s="1247"/>
      <c r="IC21" s="1247"/>
      <c r="ID21" s="1262">
        <v>11.125</v>
      </c>
      <c r="IE21" s="1242" t="s">
        <v>1420</v>
      </c>
      <c r="IF21" s="1243" t="s">
        <v>35</v>
      </c>
      <c r="IG21" s="1244">
        <v>4</v>
      </c>
      <c r="IH21" s="1245">
        <v>0</v>
      </c>
      <c r="II21" s="1243">
        <v>5</v>
      </c>
      <c r="IJ21" s="1244">
        <v>8</v>
      </c>
      <c r="IK21" s="1245">
        <v>0</v>
      </c>
      <c r="IL21" s="1243"/>
      <c r="IM21" s="1243"/>
      <c r="IN21" s="1243">
        <v>5</v>
      </c>
      <c r="IO21" s="1243">
        <v>13</v>
      </c>
      <c r="IP21" s="1243">
        <v>4</v>
      </c>
      <c r="IQ21" s="1243"/>
      <c r="IR21" s="1243">
        <v>2</v>
      </c>
      <c r="IS21" s="1244" t="s">
        <v>1018</v>
      </c>
      <c r="IT21" s="1245" t="s">
        <v>1705</v>
      </c>
      <c r="IU21" s="1243"/>
      <c r="IV21" s="1243" t="s">
        <v>35</v>
      </c>
      <c r="IW21" s="1244"/>
      <c r="IX21" s="1245"/>
      <c r="IY21" s="1243"/>
      <c r="IZ21" s="1243"/>
      <c r="JA21" s="1244"/>
      <c r="JB21" s="1245"/>
      <c r="JC21" s="1243"/>
      <c r="JD21" s="1243"/>
      <c r="JE21" s="1244"/>
      <c r="JF21" s="1245"/>
      <c r="JG21" s="1243"/>
      <c r="JH21" s="1243"/>
      <c r="JI21" s="1243"/>
      <c r="JJ21" s="1246"/>
      <c r="JK21" s="1243">
        <v>1</v>
      </c>
      <c r="JL21" s="1172">
        <f t="shared" ca="1" si="95"/>
        <v>1</v>
      </c>
    </row>
    <row r="22" spans="1:272" ht="12.6" customHeight="1" x14ac:dyDescent="0.25">
      <c r="A22" s="2683" t="str">
        <f t="shared" si="0"/>
        <v>G25</v>
      </c>
      <c r="B22" s="2684">
        <f t="shared" si="0"/>
        <v>2</v>
      </c>
      <c r="C22" s="2685" t="s">
        <v>1714</v>
      </c>
      <c r="D22" s="2686">
        <f t="shared" si="1"/>
        <v>51</v>
      </c>
      <c r="E22" s="2687">
        <f t="shared" si="2"/>
        <v>11.5</v>
      </c>
      <c r="F22" s="2688">
        <f t="shared" si="3"/>
        <v>11.125</v>
      </c>
      <c r="G22" s="2689">
        <f t="shared" si="4"/>
        <v>0</v>
      </c>
      <c r="H22" s="2690">
        <f t="shared" si="5"/>
        <v>1.75</v>
      </c>
      <c r="I22" s="2691" t="str">
        <f t="shared" si="6"/>
        <v>R</v>
      </c>
      <c r="J22" s="2686">
        <f t="shared" si="7"/>
        <v>0</v>
      </c>
      <c r="K22" s="2690">
        <f t="shared" si="8"/>
        <v>1.75</v>
      </c>
      <c r="L22" s="2692" t="str">
        <f t="shared" si="9"/>
        <v>R</v>
      </c>
      <c r="M22" s="2693">
        <f t="shared" si="10"/>
        <v>7.5</v>
      </c>
      <c r="N22" s="2694">
        <f t="shared" si="10"/>
        <v>7.5</v>
      </c>
      <c r="O22" s="2689">
        <f t="shared" si="11"/>
        <v>0</v>
      </c>
      <c r="P22" s="2690">
        <f t="shared" si="12"/>
        <v>6.75</v>
      </c>
      <c r="Q22" s="2686">
        <f t="shared" si="13"/>
        <v>0</v>
      </c>
      <c r="R22" s="2687">
        <f t="shared" si="14"/>
        <v>6.75</v>
      </c>
      <c r="S22" s="2695">
        <f t="shared" si="15"/>
        <v>0</v>
      </c>
      <c r="T22" s="2690">
        <f t="shared" si="16"/>
        <v>6.25</v>
      </c>
      <c r="U22" s="2686">
        <f t="shared" si="17"/>
        <v>0</v>
      </c>
      <c r="V22" s="2690">
        <f t="shared" si="18"/>
        <v>6.25</v>
      </c>
      <c r="W22" s="2694">
        <f t="shared" si="19"/>
        <v>5</v>
      </c>
      <c r="X22" s="2696" t="str">
        <f t="shared" si="20"/>
        <v/>
      </c>
      <c r="Y22" s="2697" t="str">
        <f t="shared" si="21"/>
        <v/>
      </c>
      <c r="Z22" s="2698" t="s">
        <v>1888</v>
      </c>
      <c r="AA22" s="2758" t="str">
        <f t="shared" si="22"/>
        <v/>
      </c>
      <c r="AB22" s="2683" t="str">
        <f t="shared" si="23"/>
        <v>G25</v>
      </c>
      <c r="AC22" s="2691" t="str">
        <f t="shared" si="24"/>
        <v>B</v>
      </c>
      <c r="AD22" s="2686">
        <f t="shared" ca="1" si="25"/>
        <v>7</v>
      </c>
      <c r="AE22" s="2690">
        <f t="shared" ca="1" si="26"/>
        <v>10</v>
      </c>
      <c r="AF22" s="2691">
        <f t="shared" ca="1" si="27"/>
        <v>5</v>
      </c>
      <c r="AG22" s="2686">
        <f t="shared" ca="1" si="28"/>
        <v>8</v>
      </c>
      <c r="AH22" s="2690">
        <f t="shared" ca="1" si="29"/>
        <v>0</v>
      </c>
      <c r="AI22" s="2686">
        <f t="shared" ca="1" si="30"/>
        <v>3</v>
      </c>
      <c r="AJ22" s="2690">
        <f t="shared" ca="1" si="31"/>
        <v>10</v>
      </c>
      <c r="AK22" s="2732" t="str">
        <f t="shared" si="32"/>
        <v/>
      </c>
      <c r="AL22" s="2733" t="str">
        <f t="shared" si="33"/>
        <v/>
      </c>
      <c r="AM22" s="2734">
        <f t="shared" si="32"/>
        <v>5</v>
      </c>
      <c r="AN22" s="2691">
        <f t="shared" si="32"/>
        <v>13</v>
      </c>
      <c r="AO22" s="2694">
        <f t="shared" si="32"/>
        <v>4</v>
      </c>
      <c r="AP22" s="2693">
        <f t="shared" si="34"/>
        <v>1.75</v>
      </c>
      <c r="AQ22" s="2736" t="str">
        <f t="shared" si="34"/>
        <v/>
      </c>
      <c r="AR22" s="2689" t="str">
        <f t="shared" si="35"/>
        <v>P</v>
      </c>
      <c r="AS22" s="2690" t="str">
        <f t="shared" si="36"/>
        <v>#6</v>
      </c>
      <c r="AT22" s="2737" t="str">
        <f t="shared" si="37"/>
        <v/>
      </c>
      <c r="AU22" s="2738" t="str">
        <f t="shared" si="38"/>
        <v>B</v>
      </c>
      <c r="AV22" s="2695">
        <f t="shared" si="39"/>
        <v>1</v>
      </c>
      <c r="AW22" s="2690">
        <f t="shared" si="40"/>
        <v>0</v>
      </c>
      <c r="AX22" s="2737" t="str">
        <f t="shared" si="41"/>
        <v/>
      </c>
      <c r="AY22" s="2738" t="str">
        <f t="shared" si="42"/>
        <v>B</v>
      </c>
      <c r="AZ22" s="2695" t="str">
        <f t="shared" si="43"/>
        <v/>
      </c>
      <c r="BA22" s="2690" t="str">
        <f t="shared" si="44"/>
        <v/>
      </c>
      <c r="BB22" s="2737" t="str">
        <f t="shared" si="45"/>
        <v/>
      </c>
      <c r="BC22" s="2738" t="str">
        <f t="shared" si="46"/>
        <v/>
      </c>
      <c r="BD22" s="2695" t="str">
        <f t="shared" si="47"/>
        <v/>
      </c>
      <c r="BE22" s="2690" t="str">
        <f t="shared" si="48"/>
        <v/>
      </c>
      <c r="BF22" s="2737" t="str">
        <f t="shared" si="49"/>
        <v/>
      </c>
      <c r="BG22" s="2738" t="str">
        <f t="shared" si="50"/>
        <v/>
      </c>
      <c r="BH22" s="1417"/>
      <c r="BJ22" s="995" t="str">
        <f t="shared" si="93"/>
        <v>G25</v>
      </c>
      <c r="BK22" s="993" t="b">
        <f t="shared" si="51"/>
        <v>0</v>
      </c>
      <c r="BL22" s="1784" t="b">
        <v>0</v>
      </c>
      <c r="BM22" s="989">
        <f t="shared" si="52"/>
        <v>60</v>
      </c>
      <c r="BN22" s="989" t="str">
        <f t="shared" si="53"/>
        <v>G</v>
      </c>
      <c r="BO22" s="989">
        <f t="shared" si="54"/>
        <v>7</v>
      </c>
      <c r="BP22" s="989" t="str">
        <f t="shared" si="55"/>
        <v>11/5</v>
      </c>
      <c r="BQ22" s="989">
        <f t="shared" si="56"/>
        <v>2.4</v>
      </c>
      <c r="BR22" s="989" t="b">
        <f t="shared" si="57"/>
        <v>1</v>
      </c>
      <c r="BS22" s="1303">
        <f t="shared" si="58"/>
        <v>7.75</v>
      </c>
      <c r="BT22" s="990" t="str">
        <f t="shared" si="59"/>
        <v>Yes</v>
      </c>
      <c r="BU22" s="1303">
        <f t="shared" si="60"/>
        <v>7.75</v>
      </c>
      <c r="BV22" s="990" t="str">
        <f t="shared" si="61"/>
        <v>Yes</v>
      </c>
      <c r="BW22" s="991">
        <f t="shared" ca="1" si="62"/>
        <v>19</v>
      </c>
      <c r="BX22" s="991" t="str">
        <f t="shared" ca="1" si="63"/>
        <v>G25</v>
      </c>
      <c r="BY22" s="991" t="b">
        <f t="shared" ca="1" si="64"/>
        <v>0</v>
      </c>
      <c r="BZ22" s="991" t="b">
        <f t="shared" si="86"/>
        <v>0</v>
      </c>
      <c r="CB22" s="672" t="s">
        <v>1421</v>
      </c>
      <c r="CC22" s="1685">
        <v>2</v>
      </c>
      <c r="CD22" s="699" t="s">
        <v>1714</v>
      </c>
      <c r="CE22" s="700">
        <v>52</v>
      </c>
      <c r="CF22" s="701">
        <v>0</v>
      </c>
      <c r="CG22" s="672">
        <v>6</v>
      </c>
      <c r="CH22" s="713"/>
      <c r="CI22" s="714"/>
      <c r="CJ22" s="713"/>
      <c r="CK22" s="714"/>
      <c r="CL22" s="715"/>
      <c r="CM22" s="743"/>
      <c r="CN22" s="738"/>
      <c r="CO22" s="1552"/>
      <c r="CP22" s="910"/>
      <c r="CQ22" s="672">
        <v>6</v>
      </c>
      <c r="CR22" s="713"/>
      <c r="CS22" s="714"/>
      <c r="CT22" s="713"/>
      <c r="CU22" s="714"/>
      <c r="CV22" s="715"/>
      <c r="CW22" s="743"/>
      <c r="CX22" s="738"/>
      <c r="CY22" s="1552"/>
      <c r="CZ22" s="910"/>
      <c r="DA22" s="717"/>
      <c r="DB22" s="702" t="s">
        <v>1718</v>
      </c>
      <c r="DC22" s="703"/>
      <c r="DD22" s="725"/>
      <c r="DE22" s="726">
        <v>11.125</v>
      </c>
      <c r="DF22" s="141"/>
      <c r="DG22" s="141"/>
      <c r="DH22" s="672" t="s">
        <v>1421</v>
      </c>
      <c r="DI22" s="673" t="s">
        <v>35</v>
      </c>
      <c r="DJ22" s="692">
        <v>8</v>
      </c>
      <c r="DK22" s="1332">
        <v>0</v>
      </c>
      <c r="DL22" s="674">
        <v>5</v>
      </c>
      <c r="DM22" s="693">
        <v>8</v>
      </c>
      <c r="DN22" s="1335">
        <v>0</v>
      </c>
      <c r="DO22" s="675"/>
      <c r="DP22" s="676"/>
      <c r="DQ22" s="1420">
        <v>5</v>
      </c>
      <c r="DR22" s="677">
        <v>13</v>
      </c>
      <c r="DS22" s="1420">
        <v>4</v>
      </c>
      <c r="DT22" s="1422">
        <v>2</v>
      </c>
      <c r="DU22" s="1423"/>
      <c r="DV22" s="678" t="s">
        <v>1018</v>
      </c>
      <c r="DW22" s="1337" t="s">
        <v>1706</v>
      </c>
      <c r="DX22" s="679"/>
      <c r="DY22" s="674" t="s">
        <v>35</v>
      </c>
      <c r="DZ22" s="2661">
        <v>1</v>
      </c>
      <c r="EA22" s="2664">
        <v>0.25</v>
      </c>
      <c r="EB22" s="679"/>
      <c r="EC22" s="2665" t="s">
        <v>35</v>
      </c>
      <c r="ED22" s="678"/>
      <c r="EE22" s="1337"/>
      <c r="EF22" s="679"/>
      <c r="EG22" s="674"/>
      <c r="EH22" s="678"/>
      <c r="EI22" s="1337"/>
      <c r="EJ22" s="679"/>
      <c r="EK22" s="680"/>
      <c r="EL22" s="241"/>
      <c r="EM22" s="1632" t="str">
        <f t="shared" si="65"/>
        <v>G25</v>
      </c>
      <c r="EN22" s="1429" t="str">
        <f t="shared" si="66"/>
        <v/>
      </c>
      <c r="EO22" s="1430" t="str">
        <f t="shared" si="67"/>
        <v/>
      </c>
      <c r="EP22" s="1431" t="str">
        <f t="shared" si="68"/>
        <v/>
      </c>
      <c r="EQ22" s="1435" t="str">
        <f t="shared" si="69"/>
        <v/>
      </c>
      <c r="ER22" s="1441" t="str">
        <f t="shared" si="70"/>
        <v/>
      </c>
      <c r="ES22" s="1442" t="str">
        <f t="shared" si="71"/>
        <v/>
      </c>
      <c r="ET22" s="1443" t="str">
        <f t="shared" si="72"/>
        <v/>
      </c>
      <c r="EU22" s="1444" t="str">
        <f t="shared" si="87"/>
        <v/>
      </c>
      <c r="EX22" s="503" t="str">
        <f t="shared" ca="1" si="88"/>
        <v>G25B</v>
      </c>
      <c r="EY22" s="940" t="b">
        <f t="shared" ca="1" si="73"/>
        <v>1</v>
      </c>
      <c r="EZ22" s="940">
        <f t="shared" ca="1" si="89"/>
        <v>5</v>
      </c>
      <c r="FA22" s="958" t="b">
        <f t="shared" ca="1" si="94"/>
        <v>1</v>
      </c>
      <c r="FB22" s="134">
        <f t="shared" ca="1" si="90"/>
        <v>620</v>
      </c>
      <c r="FC22" s="134">
        <f t="shared" ca="1" si="74"/>
        <v>94</v>
      </c>
      <c r="FD22" s="134">
        <f t="shared" ca="1" si="75"/>
        <v>480</v>
      </c>
      <c r="FE22" s="134">
        <f t="shared" ca="1" si="76"/>
        <v>46</v>
      </c>
      <c r="FF22" s="134">
        <f t="shared" ca="1" si="91"/>
        <v>620</v>
      </c>
      <c r="FN22" s="754" t="b">
        <v>0</v>
      </c>
      <c r="FO22" s="754" t="b">
        <f t="shared" si="77"/>
        <v>1</v>
      </c>
      <c r="FP22" s="754" t="b">
        <v>0</v>
      </c>
      <c r="FQ22" s="754" t="b">
        <f t="shared" si="92"/>
        <v>1</v>
      </c>
      <c r="FW22" s="23"/>
      <c r="FX22" s="23"/>
      <c r="FZ22" s="23"/>
      <c r="GA22" s="581">
        <f t="shared" si="78"/>
        <v>52</v>
      </c>
      <c r="GB22" s="623">
        <f t="shared" si="79"/>
        <v>0</v>
      </c>
      <c r="GC22" s="625">
        <f t="shared" si="80"/>
        <v>-0.25</v>
      </c>
      <c r="GD22" s="626">
        <f t="shared" si="81"/>
        <v>-0.25</v>
      </c>
      <c r="GE22" s="624">
        <f t="shared" si="82"/>
        <v>0</v>
      </c>
      <c r="GF22" s="582" t="str">
        <f t="shared" si="83"/>
        <v>G25</v>
      </c>
      <c r="GG22" s="692">
        <v>0</v>
      </c>
      <c r="GH22" s="1136">
        <v>0</v>
      </c>
      <c r="GI22" s="692"/>
      <c r="GJ22" s="1136"/>
      <c r="GK22" s="1641">
        <f t="shared" si="84"/>
        <v>623.5</v>
      </c>
      <c r="GL22" s="1641">
        <f t="shared" si="85"/>
        <v>623.5</v>
      </c>
      <c r="GM22" s="1642">
        <f>IF(ABS(GK22-GL22)&gt;='Job Info.'!$L$22,ABS(GK22-GL22),0)</f>
        <v>0</v>
      </c>
      <c r="HA22" s="1242" t="s">
        <v>1421</v>
      </c>
      <c r="HB22" s="1243">
        <v>2</v>
      </c>
      <c r="HC22" s="1243" t="s">
        <v>1714</v>
      </c>
      <c r="HD22" s="1244">
        <v>52</v>
      </c>
      <c r="HE22" s="1245">
        <v>0</v>
      </c>
      <c r="HF22" s="1243">
        <v>6</v>
      </c>
      <c r="HG22" s="1243"/>
      <c r="HH22" s="1243"/>
      <c r="HI22" s="1243"/>
      <c r="HJ22" s="1243"/>
      <c r="HK22" s="1243"/>
      <c r="HL22" s="1243"/>
      <c r="HM22" s="1243"/>
      <c r="HN22" s="1243"/>
      <c r="HO22" s="1243"/>
      <c r="HP22" s="1243">
        <v>6</v>
      </c>
      <c r="HQ22" s="1243"/>
      <c r="HR22" s="1243"/>
      <c r="HS22" s="1243"/>
      <c r="HT22" s="1243"/>
      <c r="HU22" s="1243"/>
      <c r="HV22" s="1243"/>
      <c r="HW22" s="1243"/>
      <c r="HX22" s="1243"/>
      <c r="HY22" s="1247"/>
      <c r="HZ22" s="1247"/>
      <c r="IA22" s="1247" t="s">
        <v>1718</v>
      </c>
      <c r="IB22" s="1247"/>
      <c r="IC22" s="1247"/>
      <c r="ID22" s="1262">
        <v>11.125</v>
      </c>
      <c r="IE22" s="1242" t="s">
        <v>1421</v>
      </c>
      <c r="IF22" s="1243" t="s">
        <v>35</v>
      </c>
      <c r="IG22" s="1244">
        <v>8</v>
      </c>
      <c r="IH22" s="1245">
        <v>0</v>
      </c>
      <c r="II22" s="1243">
        <v>5</v>
      </c>
      <c r="IJ22" s="1244">
        <v>8</v>
      </c>
      <c r="IK22" s="1245">
        <v>0</v>
      </c>
      <c r="IL22" s="1243"/>
      <c r="IM22" s="1243"/>
      <c r="IN22" s="1243">
        <v>5</v>
      </c>
      <c r="IO22" s="1243">
        <v>13</v>
      </c>
      <c r="IP22" s="1243">
        <v>4</v>
      </c>
      <c r="IQ22" s="1243">
        <v>2</v>
      </c>
      <c r="IR22" s="1243"/>
      <c r="IS22" s="1244" t="s">
        <v>1018</v>
      </c>
      <c r="IT22" s="1245" t="s">
        <v>1706</v>
      </c>
      <c r="IU22" s="1243"/>
      <c r="IV22" s="1243" t="s">
        <v>35</v>
      </c>
      <c r="IW22" s="1244"/>
      <c r="IX22" s="1245"/>
      <c r="IY22" s="1243"/>
      <c r="IZ22" s="1243"/>
      <c r="JA22" s="1244"/>
      <c r="JB22" s="1245"/>
      <c r="JC22" s="1243"/>
      <c r="JD22" s="1243"/>
      <c r="JE22" s="1244"/>
      <c r="JF22" s="1245"/>
      <c r="JG22" s="1243"/>
      <c r="JH22" s="1243"/>
      <c r="JI22" s="1243"/>
      <c r="JJ22" s="1246"/>
      <c r="JK22" s="1243">
        <v>1</v>
      </c>
      <c r="JL22" s="1172">
        <f t="shared" ca="1" si="95"/>
        <v>1</v>
      </c>
    </row>
    <row r="23" spans="1:272" ht="12.6" customHeight="1" x14ac:dyDescent="0.25">
      <c r="A23" s="2683" t="str">
        <f t="shared" si="0"/>
        <v>G26</v>
      </c>
      <c r="B23" s="2684">
        <f t="shared" si="0"/>
        <v>1</v>
      </c>
      <c r="C23" s="2685" t="s">
        <v>1714</v>
      </c>
      <c r="D23" s="2686">
        <f t="shared" si="1"/>
        <v>51</v>
      </c>
      <c r="E23" s="2687">
        <f t="shared" si="2"/>
        <v>11.5</v>
      </c>
      <c r="F23" s="2688">
        <f t="shared" si="3"/>
        <v>11.125</v>
      </c>
      <c r="G23" s="2689">
        <f t="shared" si="4"/>
        <v>0</v>
      </c>
      <c r="H23" s="2690">
        <f t="shared" si="5"/>
        <v>1.75</v>
      </c>
      <c r="I23" s="2691" t="str">
        <f t="shared" si="6"/>
        <v>R</v>
      </c>
      <c r="J23" s="2686">
        <f t="shared" si="7"/>
        <v>0</v>
      </c>
      <c r="K23" s="2690">
        <f t="shared" si="8"/>
        <v>1.75</v>
      </c>
      <c r="L23" s="2692" t="str">
        <f t="shared" si="9"/>
        <v>R</v>
      </c>
      <c r="M23" s="2693">
        <f t="shared" si="10"/>
        <v>7.5</v>
      </c>
      <c r="N23" s="2694">
        <f t="shared" si="10"/>
        <v>7.5</v>
      </c>
      <c r="O23" s="2689">
        <f t="shared" si="11"/>
        <v>0</v>
      </c>
      <c r="P23" s="2690">
        <f t="shared" si="12"/>
        <v>6.75</v>
      </c>
      <c r="Q23" s="2686">
        <f t="shared" si="13"/>
        <v>0</v>
      </c>
      <c r="R23" s="2687">
        <f t="shared" si="14"/>
        <v>6.75</v>
      </c>
      <c r="S23" s="2695">
        <f t="shared" si="15"/>
        <v>0</v>
      </c>
      <c r="T23" s="2690">
        <f t="shared" si="16"/>
        <v>6.25</v>
      </c>
      <c r="U23" s="2686">
        <f t="shared" si="17"/>
        <v>0</v>
      </c>
      <c r="V23" s="2690">
        <f t="shared" si="18"/>
        <v>6.25</v>
      </c>
      <c r="W23" s="2694">
        <f t="shared" si="19"/>
        <v>5</v>
      </c>
      <c r="X23" s="2696" t="str">
        <f t="shared" si="20"/>
        <v/>
      </c>
      <c r="Y23" s="2697" t="str">
        <f t="shared" si="21"/>
        <v/>
      </c>
      <c r="Z23" s="2698" t="s">
        <v>1889</v>
      </c>
      <c r="AA23" s="2758" t="str">
        <f t="shared" si="22"/>
        <v/>
      </c>
      <c r="AB23" s="2683" t="str">
        <f t="shared" si="23"/>
        <v>G26</v>
      </c>
      <c r="AC23" s="2691" t="str">
        <f t="shared" si="24"/>
        <v>B</v>
      </c>
      <c r="AD23" s="2686">
        <f t="shared" ca="1" si="25"/>
        <v>3</v>
      </c>
      <c r="AE23" s="2690">
        <f t="shared" ca="1" si="26"/>
        <v>10</v>
      </c>
      <c r="AF23" s="2691">
        <f t="shared" ca="1" si="27"/>
        <v>5</v>
      </c>
      <c r="AG23" s="2686">
        <f t="shared" ca="1" si="28"/>
        <v>8</v>
      </c>
      <c r="AH23" s="2690">
        <f t="shared" ca="1" si="29"/>
        <v>0</v>
      </c>
      <c r="AI23" s="2686">
        <f t="shared" ca="1" si="30"/>
        <v>7</v>
      </c>
      <c r="AJ23" s="2690">
        <f t="shared" ca="1" si="31"/>
        <v>10</v>
      </c>
      <c r="AK23" s="2732" t="str">
        <f t="shared" si="32"/>
        <v/>
      </c>
      <c r="AL23" s="2733" t="str">
        <f t="shared" si="33"/>
        <v/>
      </c>
      <c r="AM23" s="2734">
        <f t="shared" si="32"/>
        <v>5</v>
      </c>
      <c r="AN23" s="2691">
        <f t="shared" si="32"/>
        <v>13</v>
      </c>
      <c r="AO23" s="2694">
        <f t="shared" si="32"/>
        <v>4</v>
      </c>
      <c r="AP23" s="2693" t="str">
        <f t="shared" si="34"/>
        <v/>
      </c>
      <c r="AQ23" s="2736">
        <f t="shared" si="34"/>
        <v>1.75</v>
      </c>
      <c r="AR23" s="2689" t="str">
        <f t="shared" si="35"/>
        <v>P</v>
      </c>
      <c r="AS23" s="2690" t="str">
        <f t="shared" si="36"/>
        <v>#1</v>
      </c>
      <c r="AT23" s="2737" t="str">
        <f t="shared" si="37"/>
        <v/>
      </c>
      <c r="AU23" s="2738" t="str">
        <f t="shared" si="38"/>
        <v>B</v>
      </c>
      <c r="AV23" s="2695">
        <f t="shared" si="39"/>
        <v>51</v>
      </c>
      <c r="AW23" s="2690">
        <f t="shared" si="40"/>
        <v>0</v>
      </c>
      <c r="AX23" s="2737" t="str">
        <f t="shared" si="41"/>
        <v/>
      </c>
      <c r="AY23" s="2738" t="str">
        <f t="shared" si="42"/>
        <v>B</v>
      </c>
      <c r="AZ23" s="2695" t="str">
        <f t="shared" si="43"/>
        <v/>
      </c>
      <c r="BA23" s="2690" t="str">
        <f t="shared" si="44"/>
        <v/>
      </c>
      <c r="BB23" s="2737" t="str">
        <f t="shared" si="45"/>
        <v/>
      </c>
      <c r="BC23" s="2738" t="str">
        <f t="shared" si="46"/>
        <v/>
      </c>
      <c r="BD23" s="2695" t="str">
        <f t="shared" si="47"/>
        <v/>
      </c>
      <c r="BE23" s="2690" t="str">
        <f t="shared" si="48"/>
        <v/>
      </c>
      <c r="BF23" s="2737" t="str">
        <f t="shared" si="49"/>
        <v/>
      </c>
      <c r="BG23" s="2738" t="str">
        <f t="shared" si="50"/>
        <v/>
      </c>
      <c r="BH23" s="1417"/>
      <c r="BJ23" s="995" t="str">
        <f t="shared" si="93"/>
        <v>G26</v>
      </c>
      <c r="BK23" s="993" t="b">
        <f t="shared" si="51"/>
        <v>0</v>
      </c>
      <c r="BL23" s="1784" t="b">
        <v>0</v>
      </c>
      <c r="BM23" s="989">
        <f t="shared" si="52"/>
        <v>60</v>
      </c>
      <c r="BN23" s="989" t="str">
        <f t="shared" si="53"/>
        <v>G</v>
      </c>
      <c r="BO23" s="989">
        <f t="shared" si="54"/>
        <v>7</v>
      </c>
      <c r="BP23" s="989" t="str">
        <f t="shared" si="55"/>
        <v>11/5</v>
      </c>
      <c r="BQ23" s="989">
        <f t="shared" si="56"/>
        <v>2.4</v>
      </c>
      <c r="BR23" s="989" t="b">
        <f t="shared" si="57"/>
        <v>1</v>
      </c>
      <c r="BS23" s="1303">
        <f t="shared" si="58"/>
        <v>7.75</v>
      </c>
      <c r="BT23" s="990" t="str">
        <f t="shared" si="59"/>
        <v>Yes</v>
      </c>
      <c r="BU23" s="1303">
        <f t="shared" si="60"/>
        <v>7.75</v>
      </c>
      <c r="BV23" s="990" t="str">
        <f t="shared" si="61"/>
        <v>Yes</v>
      </c>
      <c r="BW23" s="991">
        <f t="shared" ca="1" si="62"/>
        <v>19</v>
      </c>
      <c r="BX23" s="991" t="str">
        <f t="shared" ca="1" si="63"/>
        <v>G26</v>
      </c>
      <c r="BY23" s="991" t="b">
        <f t="shared" ca="1" si="64"/>
        <v>0</v>
      </c>
      <c r="BZ23" s="991" t="b">
        <f t="shared" si="86"/>
        <v>0</v>
      </c>
      <c r="CB23" s="672" t="s">
        <v>1422</v>
      </c>
      <c r="CC23" s="1685">
        <v>1</v>
      </c>
      <c r="CD23" s="699" t="s">
        <v>1714</v>
      </c>
      <c r="CE23" s="700">
        <v>52</v>
      </c>
      <c r="CF23" s="701">
        <v>0</v>
      </c>
      <c r="CG23" s="672">
        <v>6</v>
      </c>
      <c r="CH23" s="713"/>
      <c r="CI23" s="714"/>
      <c r="CJ23" s="713"/>
      <c r="CK23" s="714"/>
      <c r="CL23" s="715"/>
      <c r="CM23" s="743"/>
      <c r="CN23" s="738"/>
      <c r="CO23" s="1552"/>
      <c r="CP23" s="910"/>
      <c r="CQ23" s="672">
        <v>6</v>
      </c>
      <c r="CR23" s="713"/>
      <c r="CS23" s="714"/>
      <c r="CT23" s="713"/>
      <c r="CU23" s="714"/>
      <c r="CV23" s="715"/>
      <c r="CW23" s="743"/>
      <c r="CX23" s="738"/>
      <c r="CY23" s="1552"/>
      <c r="CZ23" s="910"/>
      <c r="DA23" s="717"/>
      <c r="DB23" s="702" t="s">
        <v>1718</v>
      </c>
      <c r="DC23" s="703" t="s">
        <v>34</v>
      </c>
      <c r="DD23" s="725"/>
      <c r="DE23" s="726">
        <v>11.125</v>
      </c>
      <c r="DF23" s="141"/>
      <c r="DG23" s="141"/>
      <c r="DH23" s="672" t="s">
        <v>1422</v>
      </c>
      <c r="DI23" s="673" t="s">
        <v>35</v>
      </c>
      <c r="DJ23" s="692">
        <v>4</v>
      </c>
      <c r="DK23" s="1332">
        <v>0</v>
      </c>
      <c r="DL23" s="674">
        <v>5</v>
      </c>
      <c r="DM23" s="693">
        <v>8</v>
      </c>
      <c r="DN23" s="1335">
        <v>0</v>
      </c>
      <c r="DO23" s="675"/>
      <c r="DP23" s="676"/>
      <c r="DQ23" s="1420">
        <v>5</v>
      </c>
      <c r="DR23" s="677">
        <v>13</v>
      </c>
      <c r="DS23" s="1420">
        <v>4</v>
      </c>
      <c r="DT23" s="1422"/>
      <c r="DU23" s="1423">
        <v>2</v>
      </c>
      <c r="DV23" s="678" t="s">
        <v>1018</v>
      </c>
      <c r="DW23" s="1337" t="s">
        <v>1705</v>
      </c>
      <c r="DX23" s="679"/>
      <c r="DY23" s="674" t="s">
        <v>35</v>
      </c>
      <c r="DZ23" s="2661">
        <v>51</v>
      </c>
      <c r="EA23" s="2664">
        <v>0.25</v>
      </c>
      <c r="EB23" s="679"/>
      <c r="EC23" s="2665" t="s">
        <v>35</v>
      </c>
      <c r="ED23" s="678"/>
      <c r="EE23" s="1337"/>
      <c r="EF23" s="679"/>
      <c r="EG23" s="674"/>
      <c r="EH23" s="678"/>
      <c r="EI23" s="1337"/>
      <c r="EJ23" s="679"/>
      <c r="EK23" s="680"/>
      <c r="EL23" s="241"/>
      <c r="EM23" s="1632" t="str">
        <f t="shared" si="65"/>
        <v>G26</v>
      </c>
      <c r="EN23" s="1429" t="str">
        <f t="shared" si="66"/>
        <v/>
      </c>
      <c r="EO23" s="1430" t="str">
        <f t="shared" si="67"/>
        <v/>
      </c>
      <c r="EP23" s="1431" t="str">
        <f t="shared" si="68"/>
        <v/>
      </c>
      <c r="EQ23" s="1435" t="str">
        <f t="shared" si="69"/>
        <v/>
      </c>
      <c r="ER23" s="1441" t="str">
        <f t="shared" si="70"/>
        <v/>
      </c>
      <c r="ES23" s="1442" t="str">
        <f t="shared" si="71"/>
        <v/>
      </c>
      <c r="ET23" s="1443" t="str">
        <f t="shared" si="72"/>
        <v/>
      </c>
      <c r="EU23" s="1444" t="str">
        <f t="shared" si="87"/>
        <v/>
      </c>
      <c r="EX23" s="503" t="str">
        <f t="shared" ca="1" si="88"/>
        <v>G26B</v>
      </c>
      <c r="EY23" s="940" t="b">
        <f t="shared" ca="1" si="73"/>
        <v>1</v>
      </c>
      <c r="EZ23" s="940">
        <f t="shared" ca="1" si="89"/>
        <v>5</v>
      </c>
      <c r="FA23" s="958" t="b">
        <f t="shared" ca="1" si="94"/>
        <v>1</v>
      </c>
      <c r="FB23" s="134">
        <f t="shared" ca="1" si="90"/>
        <v>620</v>
      </c>
      <c r="FC23" s="134">
        <f t="shared" ca="1" si="74"/>
        <v>46</v>
      </c>
      <c r="FD23" s="134">
        <f t="shared" ca="1" si="75"/>
        <v>480</v>
      </c>
      <c r="FE23" s="134">
        <f t="shared" ca="1" si="76"/>
        <v>94</v>
      </c>
      <c r="FF23" s="134">
        <f t="shared" ca="1" si="91"/>
        <v>620</v>
      </c>
      <c r="FN23" s="754" t="b">
        <v>0</v>
      </c>
      <c r="FO23" s="754" t="b">
        <f t="shared" si="77"/>
        <v>1</v>
      </c>
      <c r="FP23" s="754" t="b">
        <v>0</v>
      </c>
      <c r="FQ23" s="754" t="b">
        <f t="shared" si="92"/>
        <v>1</v>
      </c>
      <c r="FW23" s="2"/>
      <c r="FX23" s="2"/>
      <c r="FZ23" s="2"/>
      <c r="GA23" s="581">
        <f t="shared" si="78"/>
        <v>52</v>
      </c>
      <c r="GB23" s="623">
        <f t="shared" si="79"/>
        <v>0</v>
      </c>
      <c r="GC23" s="625">
        <f t="shared" si="80"/>
        <v>-0.25</v>
      </c>
      <c r="GD23" s="626">
        <f t="shared" si="81"/>
        <v>-0.25</v>
      </c>
      <c r="GE23" s="624">
        <f t="shared" si="82"/>
        <v>0</v>
      </c>
      <c r="GF23" s="582" t="str">
        <f t="shared" si="83"/>
        <v>G26</v>
      </c>
      <c r="GG23" s="692">
        <v>0</v>
      </c>
      <c r="GH23" s="1136">
        <v>0</v>
      </c>
      <c r="GI23" s="692"/>
      <c r="GJ23" s="1136"/>
      <c r="GK23" s="1641">
        <f t="shared" si="84"/>
        <v>623.5</v>
      </c>
      <c r="GL23" s="1641">
        <f t="shared" si="85"/>
        <v>623.5</v>
      </c>
      <c r="GM23" s="1642">
        <f>IF(ABS(GK23-GL23)&gt;='Job Info.'!$L$22,ABS(GK23-GL23),0)</f>
        <v>0</v>
      </c>
      <c r="HA23" s="1242" t="s">
        <v>1422</v>
      </c>
      <c r="HB23" s="1243">
        <v>1</v>
      </c>
      <c r="HC23" s="1243" t="s">
        <v>1714</v>
      </c>
      <c r="HD23" s="1244">
        <v>52</v>
      </c>
      <c r="HE23" s="1245">
        <v>0</v>
      </c>
      <c r="HF23" s="1243">
        <v>6</v>
      </c>
      <c r="HG23" s="1243"/>
      <c r="HH23" s="1243"/>
      <c r="HI23" s="1243"/>
      <c r="HJ23" s="1243"/>
      <c r="HK23" s="1243"/>
      <c r="HL23" s="1243"/>
      <c r="HM23" s="1243"/>
      <c r="HN23" s="1243"/>
      <c r="HO23" s="1243"/>
      <c r="HP23" s="1243">
        <v>6</v>
      </c>
      <c r="HQ23" s="1243"/>
      <c r="HR23" s="1243"/>
      <c r="HS23" s="1243"/>
      <c r="HT23" s="1243"/>
      <c r="HU23" s="1243"/>
      <c r="HV23" s="1243"/>
      <c r="HW23" s="1243"/>
      <c r="HX23" s="1243"/>
      <c r="HY23" s="1247"/>
      <c r="HZ23" s="1247"/>
      <c r="IA23" s="1247" t="s">
        <v>1718</v>
      </c>
      <c r="IB23" s="1247" t="s">
        <v>34</v>
      </c>
      <c r="IC23" s="1247"/>
      <c r="ID23" s="1262">
        <v>11.125</v>
      </c>
      <c r="IE23" s="1242" t="s">
        <v>1422</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5"/>
        <v>1</v>
      </c>
    </row>
    <row r="24" spans="1:272" ht="12.6" customHeight="1" x14ac:dyDescent="0.25">
      <c r="A24" s="2683" t="str">
        <f t="shared" si="0"/>
        <v>G27</v>
      </c>
      <c r="B24" s="2684">
        <f t="shared" si="0"/>
        <v>1</v>
      </c>
      <c r="C24" s="2685" t="s">
        <v>1714</v>
      </c>
      <c r="D24" s="2686">
        <f t="shared" si="1"/>
        <v>51</v>
      </c>
      <c r="E24" s="2687">
        <f t="shared" si="2"/>
        <v>1.75</v>
      </c>
      <c r="F24" s="2688">
        <f t="shared" si="3"/>
        <v>11.125</v>
      </c>
      <c r="G24" s="2689">
        <f t="shared" si="4"/>
        <v>0</v>
      </c>
      <c r="H24" s="2690">
        <f t="shared" si="5"/>
        <v>1.75</v>
      </c>
      <c r="I24" s="2691" t="str">
        <f t="shared" si="6"/>
        <v>R</v>
      </c>
      <c r="J24" s="2686" t="str">
        <f t="shared" si="7"/>
        <v/>
      </c>
      <c r="K24" s="2690" t="str">
        <f t="shared" si="8"/>
        <v/>
      </c>
      <c r="L24" s="2692" t="str">
        <f t="shared" si="9"/>
        <v/>
      </c>
      <c r="M24" s="2693">
        <f t="shared" si="10"/>
        <v>7.5</v>
      </c>
      <c r="N24" s="2694">
        <f t="shared" si="10"/>
        <v>7.5</v>
      </c>
      <c r="O24" s="2689">
        <f t="shared" si="11"/>
        <v>0</v>
      </c>
      <c r="P24" s="2690">
        <f t="shared" si="12"/>
        <v>6.75</v>
      </c>
      <c r="Q24" s="2686">
        <f t="shared" si="13"/>
        <v>0</v>
      </c>
      <c r="R24" s="2687">
        <f t="shared" si="14"/>
        <v>1</v>
      </c>
      <c r="S24" s="2695">
        <f t="shared" si="15"/>
        <v>0</v>
      </c>
      <c r="T24" s="2690">
        <f t="shared" si="16"/>
        <v>6.25</v>
      </c>
      <c r="U24" s="2686">
        <f t="shared" si="17"/>
        <v>0</v>
      </c>
      <c r="V24" s="2690">
        <f t="shared" si="18"/>
        <v>3.5</v>
      </c>
      <c r="W24" s="2694">
        <f t="shared" si="19"/>
        <v>5</v>
      </c>
      <c r="X24" s="2696" t="str">
        <f t="shared" si="20"/>
        <v/>
      </c>
      <c r="Y24" s="2697" t="str">
        <f t="shared" si="21"/>
        <v/>
      </c>
      <c r="Z24" s="2698" t="s">
        <v>1890</v>
      </c>
      <c r="AA24" s="2758" t="str">
        <f t="shared" si="22"/>
        <v/>
      </c>
      <c r="AB24" s="2683" t="str">
        <f t="shared" si="23"/>
        <v>G27</v>
      </c>
      <c r="AC24" s="2691" t="str">
        <f t="shared" si="24"/>
        <v>B</v>
      </c>
      <c r="AD24" s="2686">
        <f t="shared" ca="1" si="25"/>
        <v>3</v>
      </c>
      <c r="AE24" s="2690">
        <f t="shared" ca="1" si="26"/>
        <v>10</v>
      </c>
      <c r="AF24" s="2691">
        <f t="shared" ca="1" si="27"/>
        <v>5</v>
      </c>
      <c r="AG24" s="2686">
        <f t="shared" ca="1" si="28"/>
        <v>8</v>
      </c>
      <c r="AH24" s="2690">
        <f t="shared" ca="1" si="29"/>
        <v>0</v>
      </c>
      <c r="AI24" s="2686">
        <f t="shared" ca="1" si="30"/>
        <v>7</v>
      </c>
      <c r="AJ24" s="2690">
        <f t="shared" ca="1" si="31"/>
        <v>2</v>
      </c>
      <c r="AK24" s="2732" t="str">
        <f t="shared" si="32"/>
        <v/>
      </c>
      <c r="AL24" s="2733" t="str">
        <f t="shared" si="33"/>
        <v/>
      </c>
      <c r="AM24" s="2734">
        <f t="shared" si="32"/>
        <v>5</v>
      </c>
      <c r="AN24" s="2691">
        <f t="shared" si="32"/>
        <v>13</v>
      </c>
      <c r="AO24" s="2694">
        <f t="shared" si="32"/>
        <v>4</v>
      </c>
      <c r="AP24" s="2693" t="str">
        <f t="shared" si="34"/>
        <v/>
      </c>
      <c r="AQ24" s="2736" t="str">
        <f t="shared" si="34"/>
        <v/>
      </c>
      <c r="AR24" s="2689" t="str">
        <f t="shared" si="35"/>
        <v>P</v>
      </c>
      <c r="AS24" s="2690" t="str">
        <f t="shared" si="36"/>
        <v>#1</v>
      </c>
      <c r="AT24" s="2737" t="str">
        <f t="shared" si="37"/>
        <v/>
      </c>
      <c r="AU24" s="2738" t="str">
        <f t="shared" si="38"/>
        <v>B</v>
      </c>
      <c r="AV24" s="2695" t="str">
        <f t="shared" si="39"/>
        <v/>
      </c>
      <c r="AW24" s="2690" t="str">
        <f t="shared" si="40"/>
        <v/>
      </c>
      <c r="AX24" s="2737" t="str">
        <f t="shared" si="41"/>
        <v/>
      </c>
      <c r="AY24" s="2738" t="str">
        <f t="shared" si="42"/>
        <v/>
      </c>
      <c r="AZ24" s="2695" t="str">
        <f t="shared" si="43"/>
        <v/>
      </c>
      <c r="BA24" s="2690" t="str">
        <f t="shared" si="44"/>
        <v/>
      </c>
      <c r="BB24" s="2737" t="str">
        <f t="shared" si="45"/>
        <v/>
      </c>
      <c r="BC24" s="2738" t="str">
        <f t="shared" si="46"/>
        <v/>
      </c>
      <c r="BD24" s="2695" t="str">
        <f t="shared" si="47"/>
        <v/>
      </c>
      <c r="BE24" s="2690" t="str">
        <f t="shared" si="48"/>
        <v/>
      </c>
      <c r="BF24" s="2737" t="str">
        <f t="shared" si="49"/>
        <v/>
      </c>
      <c r="BG24" s="2738" t="str">
        <f t="shared" si="50"/>
        <v/>
      </c>
      <c r="BH24" s="1417"/>
      <c r="BJ24" s="995" t="str">
        <f t="shared" si="93"/>
        <v>G27</v>
      </c>
      <c r="BK24" s="993" t="b">
        <f t="shared" si="51"/>
        <v>0</v>
      </c>
      <c r="BL24" s="1784" t="b">
        <v>0</v>
      </c>
      <c r="BM24" s="989">
        <f t="shared" si="52"/>
        <v>60</v>
      </c>
      <c r="BN24" s="989" t="str">
        <f t="shared" si="53"/>
        <v>G</v>
      </c>
      <c r="BO24" s="989">
        <f t="shared" si="54"/>
        <v>7</v>
      </c>
      <c r="BP24" s="989" t="str">
        <f t="shared" si="55"/>
        <v>11/5</v>
      </c>
      <c r="BQ24" s="989">
        <f t="shared" si="56"/>
        <v>2.4</v>
      </c>
      <c r="BR24" s="989" t="b">
        <f t="shared" si="57"/>
        <v>1</v>
      </c>
      <c r="BS24" s="1303">
        <f t="shared" si="58"/>
        <v>7.75</v>
      </c>
      <c r="BT24" s="990" t="str">
        <f t="shared" si="59"/>
        <v>Yes</v>
      </c>
      <c r="BU24" s="1303">
        <f t="shared" si="60"/>
        <v>6</v>
      </c>
      <c r="BV24" s="990" t="str">
        <f t="shared" si="61"/>
        <v>Yes</v>
      </c>
      <c r="BW24" s="991">
        <f t="shared" ca="1" si="62"/>
        <v>15</v>
      </c>
      <c r="BX24" s="991" t="str">
        <f t="shared" ca="1" si="63"/>
        <v>G27</v>
      </c>
      <c r="BY24" s="991" t="b">
        <f t="shared" ca="1" si="64"/>
        <v>0</v>
      </c>
      <c r="BZ24" s="991" t="b">
        <f t="shared" si="86"/>
        <v>0</v>
      </c>
      <c r="CB24" s="672" t="s">
        <v>1423</v>
      </c>
      <c r="CC24" s="1685">
        <v>1</v>
      </c>
      <c r="CD24" s="699" t="s">
        <v>1714</v>
      </c>
      <c r="CE24" s="700">
        <v>51</v>
      </c>
      <c r="CF24" s="701">
        <v>3</v>
      </c>
      <c r="CG24" s="672">
        <v>6</v>
      </c>
      <c r="CH24" s="713"/>
      <c r="CI24" s="714"/>
      <c r="CJ24" s="713"/>
      <c r="CK24" s="714"/>
      <c r="CL24" s="715"/>
      <c r="CM24" s="743"/>
      <c r="CN24" s="738"/>
      <c r="CO24" s="1552"/>
      <c r="CP24" s="910"/>
      <c r="CQ24" s="672">
        <v>2</v>
      </c>
      <c r="CR24" s="713"/>
      <c r="CS24" s="714"/>
      <c r="CT24" s="713"/>
      <c r="CU24" s="714"/>
      <c r="CV24" s="715"/>
      <c r="CW24" s="743"/>
      <c r="CX24" s="738"/>
      <c r="CY24" s="1552"/>
      <c r="CZ24" s="910"/>
      <c r="DA24" s="717"/>
      <c r="DB24" s="702" t="s">
        <v>1719</v>
      </c>
      <c r="DC24" s="703" t="s">
        <v>1679</v>
      </c>
      <c r="DD24" s="725"/>
      <c r="DE24" s="726">
        <v>11.125</v>
      </c>
      <c r="DF24" s="141"/>
      <c r="DG24" s="141"/>
      <c r="DH24" s="672" t="s">
        <v>1423</v>
      </c>
      <c r="DI24" s="673" t="s">
        <v>35</v>
      </c>
      <c r="DJ24" s="692">
        <v>4</v>
      </c>
      <c r="DK24" s="1332">
        <v>0</v>
      </c>
      <c r="DL24" s="674">
        <v>5</v>
      </c>
      <c r="DM24" s="693">
        <v>8</v>
      </c>
      <c r="DN24" s="1335">
        <v>0</v>
      </c>
      <c r="DO24" s="675"/>
      <c r="DP24" s="676"/>
      <c r="DQ24" s="1420">
        <v>5</v>
      </c>
      <c r="DR24" s="677">
        <v>13</v>
      </c>
      <c r="DS24" s="1420">
        <v>4</v>
      </c>
      <c r="DT24" s="1422"/>
      <c r="DU24" s="1423"/>
      <c r="DV24" s="678" t="s">
        <v>1018</v>
      </c>
      <c r="DW24" s="1337" t="s">
        <v>1705</v>
      </c>
      <c r="DX24" s="679"/>
      <c r="DY24" s="674" t="s">
        <v>35</v>
      </c>
      <c r="DZ24" s="678"/>
      <c r="EA24" s="1337"/>
      <c r="EB24" s="679"/>
      <c r="EC24" s="674"/>
      <c r="ED24" s="678"/>
      <c r="EE24" s="1337"/>
      <c r="EF24" s="679"/>
      <c r="EG24" s="674"/>
      <c r="EH24" s="678"/>
      <c r="EI24" s="1337"/>
      <c r="EJ24" s="679"/>
      <c r="EK24" s="680"/>
      <c r="EL24" s="241"/>
      <c r="EM24" s="1632" t="str">
        <f t="shared" si="65"/>
        <v>G27</v>
      </c>
      <c r="EN24" s="1429" t="str">
        <f t="shared" si="66"/>
        <v/>
      </c>
      <c r="EO24" s="1430" t="str">
        <f t="shared" si="67"/>
        <v/>
      </c>
      <c r="EP24" s="1431" t="str">
        <f t="shared" si="68"/>
        <v/>
      </c>
      <c r="EQ24" s="1435" t="str">
        <f t="shared" si="69"/>
        <v/>
      </c>
      <c r="ER24" s="1441" t="str">
        <f t="shared" si="70"/>
        <v/>
      </c>
      <c r="ES24" s="1442" t="str">
        <f t="shared" si="71"/>
        <v/>
      </c>
      <c r="ET24" s="1443" t="str">
        <f t="shared" si="72"/>
        <v/>
      </c>
      <c r="EU24" s="1444" t="str">
        <f t="shared" si="87"/>
        <v/>
      </c>
      <c r="EX24" s="503" t="str">
        <f t="shared" ca="1" si="88"/>
        <v>G27B</v>
      </c>
      <c r="EY24" s="940" t="b">
        <f t="shared" ca="1" si="73"/>
        <v>1</v>
      </c>
      <c r="EZ24" s="940">
        <f t="shared" ca="1" si="89"/>
        <v>5</v>
      </c>
      <c r="FA24" s="958" t="b">
        <f t="shared" ca="1" si="94"/>
        <v>1</v>
      </c>
      <c r="FB24" s="134">
        <f t="shared" ca="1" si="90"/>
        <v>612</v>
      </c>
      <c r="FC24" s="134">
        <f t="shared" ca="1" si="74"/>
        <v>46</v>
      </c>
      <c r="FD24" s="134">
        <f t="shared" ca="1" si="75"/>
        <v>480</v>
      </c>
      <c r="FE24" s="134">
        <f t="shared" ca="1" si="76"/>
        <v>86</v>
      </c>
      <c r="FF24" s="134">
        <f t="shared" ca="1" si="91"/>
        <v>612</v>
      </c>
      <c r="FN24" s="754" t="b">
        <v>0</v>
      </c>
      <c r="FO24" s="754" t="b">
        <f t="shared" si="77"/>
        <v>1</v>
      </c>
      <c r="FP24" s="754" t="b">
        <v>0</v>
      </c>
      <c r="FQ24" s="754" t="b">
        <f t="shared" si="92"/>
        <v>1</v>
      </c>
      <c r="FW24" s="2"/>
      <c r="FX24" s="2"/>
      <c r="FZ24" s="2"/>
      <c r="GA24" s="581">
        <f t="shared" si="78"/>
        <v>51</v>
      </c>
      <c r="GB24" s="623">
        <f t="shared" si="79"/>
        <v>3</v>
      </c>
      <c r="GC24" s="625">
        <f t="shared" si="80"/>
        <v>-0.25</v>
      </c>
      <c r="GD24" s="626">
        <f t="shared" si="81"/>
        <v>-1</v>
      </c>
      <c r="GE24" s="624">
        <f t="shared" si="82"/>
        <v>0</v>
      </c>
      <c r="GF24" s="582" t="str">
        <f t="shared" si="83"/>
        <v>G27</v>
      </c>
      <c r="GG24" s="692">
        <v>0</v>
      </c>
      <c r="GH24" s="1136">
        <v>0</v>
      </c>
      <c r="GI24" s="692"/>
      <c r="GJ24" s="1136"/>
      <c r="GK24" s="1641">
        <f t="shared" si="84"/>
        <v>613.75</v>
      </c>
      <c r="GL24" s="1641">
        <f t="shared" si="85"/>
        <v>613.75</v>
      </c>
      <c r="GM24" s="1642">
        <f>IF(ABS(GK24-GL24)&gt;='Job Info.'!$L$22,ABS(GK24-GL24),0)</f>
        <v>0</v>
      </c>
      <c r="HA24" s="1242" t="s">
        <v>1423</v>
      </c>
      <c r="HB24" s="1243">
        <v>1</v>
      </c>
      <c r="HC24" s="1243" t="s">
        <v>1714</v>
      </c>
      <c r="HD24" s="1244">
        <v>51</v>
      </c>
      <c r="HE24" s="1245">
        <v>3</v>
      </c>
      <c r="HF24" s="1243">
        <v>6</v>
      </c>
      <c r="HG24" s="1243"/>
      <c r="HH24" s="1243"/>
      <c r="HI24" s="1243"/>
      <c r="HJ24" s="1243"/>
      <c r="HK24" s="1243"/>
      <c r="HL24" s="1243"/>
      <c r="HM24" s="1243"/>
      <c r="HN24" s="1243"/>
      <c r="HO24" s="1243"/>
      <c r="HP24" s="1243">
        <v>2</v>
      </c>
      <c r="HQ24" s="1243"/>
      <c r="HR24" s="1243"/>
      <c r="HS24" s="1243"/>
      <c r="HT24" s="1243"/>
      <c r="HU24" s="1243"/>
      <c r="HV24" s="1243"/>
      <c r="HW24" s="1243"/>
      <c r="HX24" s="1243"/>
      <c r="HY24" s="1247"/>
      <c r="HZ24" s="1247"/>
      <c r="IA24" s="1247" t="s">
        <v>1719</v>
      </c>
      <c r="IB24" s="1247" t="s">
        <v>1679</v>
      </c>
      <c r="IC24" s="1247"/>
      <c r="ID24" s="1262">
        <v>11.125</v>
      </c>
      <c r="IE24" s="1242" t="s">
        <v>1423</v>
      </c>
      <c r="IF24" s="1243" t="s">
        <v>35</v>
      </c>
      <c r="IG24" s="1244">
        <v>4</v>
      </c>
      <c r="IH24" s="1245">
        <v>0</v>
      </c>
      <c r="II24" s="1243">
        <v>5</v>
      </c>
      <c r="IJ24" s="1244">
        <v>8</v>
      </c>
      <c r="IK24" s="1245">
        <v>0</v>
      </c>
      <c r="IL24" s="1243"/>
      <c r="IM24" s="1243"/>
      <c r="IN24" s="1243">
        <v>5</v>
      </c>
      <c r="IO24" s="1243">
        <v>13</v>
      </c>
      <c r="IP24" s="1243">
        <v>4</v>
      </c>
      <c r="IQ24" s="1243"/>
      <c r="IR24" s="1243"/>
      <c r="IS24" s="1244" t="s">
        <v>1018</v>
      </c>
      <c r="IT24" s="1245" t="s">
        <v>1705</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95"/>
        <v>1</v>
      </c>
    </row>
    <row r="25" spans="1:272" ht="12.6" customHeight="1" x14ac:dyDescent="0.25">
      <c r="A25" s="2700" t="str">
        <f t="shared" si="0"/>
        <v>G28</v>
      </c>
      <c r="B25" s="2684">
        <f t="shared" si="0"/>
        <v>1</v>
      </c>
      <c r="C25" s="2685" t="s">
        <v>1722</v>
      </c>
      <c r="D25" s="2686">
        <f t="shared" si="1"/>
        <v>50</v>
      </c>
      <c r="E25" s="2687">
        <f t="shared" si="2"/>
        <v>9.25</v>
      </c>
      <c r="F25" s="2688">
        <f t="shared" si="3"/>
        <v>11.125</v>
      </c>
      <c r="G25" s="2689">
        <f t="shared" si="4"/>
        <v>0</v>
      </c>
      <c r="H25" s="2690">
        <f t="shared" si="5"/>
        <v>1.75</v>
      </c>
      <c r="I25" s="2691" t="str">
        <f t="shared" si="6"/>
        <v>R</v>
      </c>
      <c r="J25" s="2686">
        <f t="shared" si="7"/>
        <v>0</v>
      </c>
      <c r="K25" s="2690">
        <f t="shared" si="8"/>
        <v>4</v>
      </c>
      <c r="L25" s="2692" t="str">
        <f t="shared" si="9"/>
        <v>R</v>
      </c>
      <c r="M25" s="2693">
        <f t="shared" si="10"/>
        <v>7.5</v>
      </c>
      <c r="N25" s="2694">
        <f t="shared" si="10"/>
        <v>7.5</v>
      </c>
      <c r="O25" s="2689">
        <f t="shared" si="11"/>
        <v>0</v>
      </c>
      <c r="P25" s="2690">
        <f t="shared" si="12"/>
        <v>6.75</v>
      </c>
      <c r="Q25" s="2686">
        <f t="shared" si="13"/>
        <v>0</v>
      </c>
      <c r="R25" s="2687">
        <f t="shared" si="14"/>
        <v>3</v>
      </c>
      <c r="S25" s="2695">
        <f t="shared" si="15"/>
        <v>0</v>
      </c>
      <c r="T25" s="2690">
        <f t="shared" si="16"/>
        <v>6.25</v>
      </c>
      <c r="U25" s="2686" t="str">
        <f t="shared" si="17"/>
        <v/>
      </c>
      <c r="V25" s="2690" t="str">
        <f t="shared" si="18"/>
        <v/>
      </c>
      <c r="W25" s="2694">
        <f t="shared" si="19"/>
        <v>5</v>
      </c>
      <c r="X25" s="2696" t="str">
        <f t="shared" si="20"/>
        <v/>
      </c>
      <c r="Y25" s="2697" t="str">
        <f t="shared" si="21"/>
        <v/>
      </c>
      <c r="Z25" s="2698" t="s">
        <v>1891</v>
      </c>
      <c r="AA25" s="2758" t="str">
        <f t="shared" si="22"/>
        <v/>
      </c>
      <c r="AB25" s="2683" t="str">
        <f t="shared" si="23"/>
        <v>G28</v>
      </c>
      <c r="AC25" s="2691" t="str">
        <f t="shared" si="24"/>
        <v>B</v>
      </c>
      <c r="AD25" s="2686">
        <f t="shared" ca="1" si="25"/>
        <v>3</v>
      </c>
      <c r="AE25" s="2690">
        <f t="shared" ca="1" si="26"/>
        <v>10</v>
      </c>
      <c r="AF25" s="2691">
        <f t="shared" ca="1" si="27"/>
        <v>5</v>
      </c>
      <c r="AG25" s="2686">
        <f t="shared" ca="1" si="28"/>
        <v>8</v>
      </c>
      <c r="AH25" s="2690">
        <f t="shared" ca="1" si="29"/>
        <v>0</v>
      </c>
      <c r="AI25" s="2686">
        <f t="shared" ca="1" si="30"/>
        <v>6</v>
      </c>
      <c r="AJ25" s="2690">
        <f t="shared" ca="1" si="31"/>
        <v>5.5</v>
      </c>
      <c r="AK25" s="2732" t="str">
        <f t="shared" si="32"/>
        <v/>
      </c>
      <c r="AL25" s="2733" t="str">
        <f t="shared" si="33"/>
        <v/>
      </c>
      <c r="AM25" s="2734">
        <f t="shared" si="32"/>
        <v>5</v>
      </c>
      <c r="AN25" s="2691">
        <f t="shared" si="32"/>
        <v>13</v>
      </c>
      <c r="AO25" s="2694">
        <f t="shared" si="32"/>
        <v>4</v>
      </c>
      <c r="AP25" s="2693" t="str">
        <f t="shared" si="34"/>
        <v/>
      </c>
      <c r="AQ25" s="2736" t="str">
        <f t="shared" si="34"/>
        <v/>
      </c>
      <c r="AR25" s="2689" t="str">
        <f t="shared" si="35"/>
        <v>P</v>
      </c>
      <c r="AS25" s="2690" t="str">
        <f t="shared" si="36"/>
        <v>#1</v>
      </c>
      <c r="AT25" s="2737" t="str">
        <f t="shared" si="37"/>
        <v/>
      </c>
      <c r="AU25" s="2738" t="str">
        <f t="shared" si="38"/>
        <v>B</v>
      </c>
      <c r="AV25" s="2695" t="str">
        <f t="shared" si="39"/>
        <v/>
      </c>
      <c r="AW25" s="2690" t="str">
        <f t="shared" si="40"/>
        <v/>
      </c>
      <c r="AX25" s="2737" t="str">
        <f t="shared" si="41"/>
        <v/>
      </c>
      <c r="AY25" s="2738" t="str">
        <f t="shared" si="42"/>
        <v/>
      </c>
      <c r="AZ25" s="2695" t="str">
        <f t="shared" si="43"/>
        <v/>
      </c>
      <c r="BA25" s="2690" t="str">
        <f t="shared" si="44"/>
        <v/>
      </c>
      <c r="BB25" s="2737" t="str">
        <f t="shared" si="45"/>
        <v/>
      </c>
      <c r="BC25" s="2738" t="str">
        <f t="shared" si="46"/>
        <v/>
      </c>
      <c r="BD25" s="2695" t="str">
        <f t="shared" si="47"/>
        <v/>
      </c>
      <c r="BE25" s="2690" t="str">
        <f t="shared" si="48"/>
        <v/>
      </c>
      <c r="BF25" s="2737" t="str">
        <f t="shared" si="49"/>
        <v/>
      </c>
      <c r="BG25" s="2738" t="str">
        <f t="shared" si="50"/>
        <v/>
      </c>
      <c r="BH25" s="1417"/>
      <c r="BJ25" s="995" t="str">
        <f t="shared" si="93"/>
        <v>G28</v>
      </c>
      <c r="BK25" s="993" t="b">
        <f t="shared" si="51"/>
        <v>0</v>
      </c>
      <c r="BL25" s="1784" t="b">
        <v>0</v>
      </c>
      <c r="BM25" s="989">
        <f t="shared" si="52"/>
        <v>52</v>
      </c>
      <c r="BN25" s="989" t="str">
        <f t="shared" si="53"/>
        <v>G</v>
      </c>
      <c r="BO25" s="989">
        <f t="shared" si="54"/>
        <v>7</v>
      </c>
      <c r="BP25" s="989" t="str">
        <f t="shared" si="55"/>
        <v>11/5</v>
      </c>
      <c r="BQ25" s="989">
        <f t="shared" si="56"/>
        <v>2.4</v>
      </c>
      <c r="BR25" s="989" t="b">
        <f t="shared" si="57"/>
        <v>1</v>
      </c>
      <c r="BS25" s="1303">
        <f t="shared" si="58"/>
        <v>7.75</v>
      </c>
      <c r="BT25" s="990" t="str">
        <f t="shared" si="59"/>
        <v>Yes</v>
      </c>
      <c r="BU25" s="1303">
        <f t="shared" si="60"/>
        <v>10</v>
      </c>
      <c r="BV25" s="990" t="str">
        <f t="shared" si="61"/>
        <v>No</v>
      </c>
      <c r="BW25" s="991">
        <f t="shared" ca="1" si="62"/>
        <v>15</v>
      </c>
      <c r="BX25" s="991" t="str">
        <f t="shared" ca="1" si="63"/>
        <v>G28</v>
      </c>
      <c r="BY25" s="991" t="b">
        <f t="shared" ca="1" si="64"/>
        <v>0</v>
      </c>
      <c r="BZ25" s="991" t="b">
        <f t="shared" si="86"/>
        <v>0</v>
      </c>
      <c r="CB25" s="672" t="s">
        <v>1424</v>
      </c>
      <c r="CC25" s="1685">
        <v>1</v>
      </c>
      <c r="CD25" s="699" t="s">
        <v>1722</v>
      </c>
      <c r="CE25" s="700">
        <v>50</v>
      </c>
      <c r="CF25" s="701">
        <v>11</v>
      </c>
      <c r="CG25" s="672">
        <v>6</v>
      </c>
      <c r="CH25" s="713"/>
      <c r="CI25" s="714"/>
      <c r="CJ25" s="713"/>
      <c r="CK25" s="714"/>
      <c r="CL25" s="715"/>
      <c r="CM25" s="743"/>
      <c r="CN25" s="738"/>
      <c r="CO25" s="1552"/>
      <c r="CP25" s="910"/>
      <c r="CQ25" s="2660" t="s">
        <v>1861</v>
      </c>
      <c r="CR25" s="713"/>
      <c r="CS25" s="714"/>
      <c r="CT25" s="713"/>
      <c r="CU25" s="714"/>
      <c r="CV25" s="715">
        <v>-46</v>
      </c>
      <c r="CW25" s="743"/>
      <c r="CX25" s="738"/>
      <c r="CY25" s="1552"/>
      <c r="CZ25" s="910"/>
      <c r="DA25" s="717"/>
      <c r="DB25" s="702" t="s">
        <v>1723</v>
      </c>
      <c r="DC25" s="703" t="s">
        <v>1704</v>
      </c>
      <c r="DD25" s="725"/>
      <c r="DE25" s="726">
        <v>11.125</v>
      </c>
      <c r="DF25" s="141"/>
      <c r="DG25" s="141"/>
      <c r="DH25" s="672" t="s">
        <v>1424</v>
      </c>
      <c r="DI25" s="673" t="s">
        <v>35</v>
      </c>
      <c r="DJ25" s="692">
        <v>4</v>
      </c>
      <c r="DK25" s="1332">
        <v>0</v>
      </c>
      <c r="DL25" s="674">
        <v>5</v>
      </c>
      <c r="DM25" s="693">
        <v>8</v>
      </c>
      <c r="DN25" s="1335">
        <v>0</v>
      </c>
      <c r="DO25" s="675"/>
      <c r="DP25" s="676"/>
      <c r="DQ25" s="1420">
        <v>5</v>
      </c>
      <c r="DR25" s="677">
        <v>13</v>
      </c>
      <c r="DS25" s="1420">
        <v>4</v>
      </c>
      <c r="DT25" s="1422"/>
      <c r="DU25" s="1423"/>
      <c r="DV25" s="678" t="s">
        <v>1018</v>
      </c>
      <c r="DW25" s="1337" t="s">
        <v>1705</v>
      </c>
      <c r="DX25" s="679"/>
      <c r="DY25" s="674" t="s">
        <v>35</v>
      </c>
      <c r="DZ25" s="678"/>
      <c r="EA25" s="1337"/>
      <c r="EB25" s="679"/>
      <c r="EC25" s="674"/>
      <c r="ED25" s="678"/>
      <c r="EE25" s="1337"/>
      <c r="EF25" s="679"/>
      <c r="EG25" s="674"/>
      <c r="EH25" s="678"/>
      <c r="EI25" s="1337"/>
      <c r="EJ25" s="679"/>
      <c r="EK25" s="680"/>
      <c r="EL25" s="241"/>
      <c r="EM25" s="1632" t="str">
        <f t="shared" si="65"/>
        <v>G28</v>
      </c>
      <c r="EN25" s="1429" t="str">
        <f t="shared" si="66"/>
        <v/>
      </c>
      <c r="EO25" s="1430" t="str">
        <f t="shared" si="67"/>
        <v/>
      </c>
      <c r="EP25" s="1431" t="str">
        <f t="shared" si="68"/>
        <v/>
      </c>
      <c r="EQ25" s="1435" t="str">
        <f t="shared" si="69"/>
        <v/>
      </c>
      <c r="ER25" s="1441" t="str">
        <f t="shared" si="70"/>
        <v/>
      </c>
      <c r="ES25" s="1442" t="str">
        <f t="shared" si="71"/>
        <v/>
      </c>
      <c r="ET25" s="1443" t="str">
        <f t="shared" si="72"/>
        <v/>
      </c>
      <c r="EU25" s="1444" t="str">
        <f t="shared" si="87"/>
        <v/>
      </c>
      <c r="EX25" s="503" t="str">
        <f t="shared" ca="1" si="88"/>
        <v>G28B</v>
      </c>
      <c r="EY25" s="940" t="b">
        <f t="shared" ca="1" si="73"/>
        <v>1</v>
      </c>
      <c r="EZ25" s="940">
        <f t="shared" ca="1" si="89"/>
        <v>5</v>
      </c>
      <c r="FA25" s="958" t="b">
        <f t="shared" ca="1" si="94"/>
        <v>1</v>
      </c>
      <c r="FB25" s="134">
        <f t="shared" ca="1" si="90"/>
        <v>603.5</v>
      </c>
      <c r="FC25" s="134">
        <f t="shared" ca="1" si="74"/>
        <v>46</v>
      </c>
      <c r="FD25" s="134">
        <f t="shared" ca="1" si="75"/>
        <v>480</v>
      </c>
      <c r="FE25" s="134">
        <f t="shared" ca="1" si="76"/>
        <v>77.5</v>
      </c>
      <c r="FF25" s="134">
        <f t="shared" ca="1" si="91"/>
        <v>603.5</v>
      </c>
      <c r="FN25" s="754" t="b">
        <v>0</v>
      </c>
      <c r="FO25" s="754" t="b">
        <f t="shared" si="77"/>
        <v>1</v>
      </c>
      <c r="FP25" s="754" t="b">
        <v>0</v>
      </c>
      <c r="FQ25" s="754" t="b">
        <f t="shared" si="92"/>
        <v>1</v>
      </c>
      <c r="FW25" s="2"/>
      <c r="FX25" s="2"/>
      <c r="FZ25" s="2"/>
      <c r="GA25" s="581">
        <f t="shared" si="78"/>
        <v>50</v>
      </c>
      <c r="GB25" s="623">
        <f t="shared" si="79"/>
        <v>11</v>
      </c>
      <c r="GC25" s="625">
        <f t="shared" si="80"/>
        <v>-0.25</v>
      </c>
      <c r="GD25" s="626">
        <f t="shared" si="81"/>
        <v>-1.5</v>
      </c>
      <c r="GE25" s="624">
        <f t="shared" si="82"/>
        <v>0</v>
      </c>
      <c r="GF25" s="582" t="str">
        <f t="shared" si="83"/>
        <v>G28</v>
      </c>
      <c r="GG25" s="692">
        <v>0</v>
      </c>
      <c r="GH25" s="1136">
        <v>0</v>
      </c>
      <c r="GI25" s="692"/>
      <c r="GJ25" s="1136"/>
      <c r="GK25" s="1641">
        <f t="shared" si="84"/>
        <v>609.25</v>
      </c>
      <c r="GL25" s="1641">
        <f t="shared" si="85"/>
        <v>609.25</v>
      </c>
      <c r="GM25" s="1642">
        <f>IF(ABS(GK25-GL25)&gt;='Job Info.'!$L$22,ABS(GK25-GL25),0)</f>
        <v>0</v>
      </c>
      <c r="HA25" s="1242" t="s">
        <v>1424</v>
      </c>
      <c r="HB25" s="1243">
        <v>1</v>
      </c>
      <c r="HC25" s="1243" t="s">
        <v>1722</v>
      </c>
      <c r="HD25" s="1244">
        <v>50</v>
      </c>
      <c r="HE25" s="1245">
        <v>11</v>
      </c>
      <c r="HF25" s="1243">
        <v>6</v>
      </c>
      <c r="HG25" s="1243"/>
      <c r="HH25" s="1243"/>
      <c r="HI25" s="1243"/>
      <c r="HJ25" s="1243"/>
      <c r="HK25" s="1243"/>
      <c r="HL25" s="1243"/>
      <c r="HM25" s="1243"/>
      <c r="HN25" s="1243"/>
      <c r="HO25" s="1243"/>
      <c r="HP25" s="1243">
        <v>3</v>
      </c>
      <c r="HQ25" s="1243"/>
      <c r="HR25" s="1243"/>
      <c r="HS25" s="1243"/>
      <c r="HT25" s="1243"/>
      <c r="HU25" s="1243">
        <v>-46</v>
      </c>
      <c r="HV25" s="1243"/>
      <c r="HW25" s="1243"/>
      <c r="HX25" s="1243"/>
      <c r="HY25" s="1247"/>
      <c r="HZ25" s="1247"/>
      <c r="IA25" s="1247" t="s">
        <v>1723</v>
      </c>
      <c r="IB25" s="1247" t="s">
        <v>1704</v>
      </c>
      <c r="IC25" s="1247"/>
      <c r="ID25" s="1262">
        <v>11.125</v>
      </c>
      <c r="IE25" s="1242" t="s">
        <v>1424</v>
      </c>
      <c r="IF25" s="1243" t="s">
        <v>35</v>
      </c>
      <c r="IG25" s="1244">
        <v>4</v>
      </c>
      <c r="IH25" s="1245">
        <v>0</v>
      </c>
      <c r="II25" s="1243">
        <v>5</v>
      </c>
      <c r="IJ25" s="1244">
        <v>8</v>
      </c>
      <c r="IK25" s="1245">
        <v>0</v>
      </c>
      <c r="IL25" s="1243"/>
      <c r="IM25" s="1243"/>
      <c r="IN25" s="1243">
        <v>5</v>
      </c>
      <c r="IO25" s="1243">
        <v>13</v>
      </c>
      <c r="IP25" s="1243">
        <v>4</v>
      </c>
      <c r="IQ25" s="1243"/>
      <c r="IR25" s="1243"/>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5"/>
        <v>1</v>
      </c>
    </row>
    <row r="26" spans="1:272" ht="12.6" customHeight="1" x14ac:dyDescent="0.25">
      <c r="A26" s="2683" t="str">
        <f t="shared" si="0"/>
        <v>G29</v>
      </c>
      <c r="B26" s="2684">
        <f t="shared" si="0"/>
        <v>2</v>
      </c>
      <c r="C26" s="2685" t="s">
        <v>1722</v>
      </c>
      <c r="D26" s="2686">
        <f t="shared" si="1"/>
        <v>51</v>
      </c>
      <c r="E26" s="2687">
        <f t="shared" si="2"/>
        <v>11.5</v>
      </c>
      <c r="F26" s="2688">
        <f t="shared" si="3"/>
        <v>11.125</v>
      </c>
      <c r="G26" s="2689">
        <f t="shared" si="4"/>
        <v>0</v>
      </c>
      <c r="H26" s="2690">
        <f t="shared" si="5"/>
        <v>1.75</v>
      </c>
      <c r="I26" s="2691" t="str">
        <f t="shared" si="6"/>
        <v>R</v>
      </c>
      <c r="J26" s="2686">
        <f t="shared" si="7"/>
        <v>0</v>
      </c>
      <c r="K26" s="2690">
        <f t="shared" si="8"/>
        <v>1.75</v>
      </c>
      <c r="L26" s="2692" t="str">
        <f t="shared" si="9"/>
        <v>R</v>
      </c>
      <c r="M26" s="2693">
        <f t="shared" si="10"/>
        <v>7.5</v>
      </c>
      <c r="N26" s="2694">
        <f t="shared" si="10"/>
        <v>7.5</v>
      </c>
      <c r="O26" s="2689">
        <f t="shared" si="11"/>
        <v>0</v>
      </c>
      <c r="P26" s="2690">
        <f t="shared" si="12"/>
        <v>6.75</v>
      </c>
      <c r="Q26" s="2686">
        <f t="shared" si="13"/>
        <v>0</v>
      </c>
      <c r="R26" s="2687">
        <f t="shared" si="14"/>
        <v>6.75</v>
      </c>
      <c r="S26" s="2695">
        <f t="shared" si="15"/>
        <v>0</v>
      </c>
      <c r="T26" s="2690">
        <f t="shared" si="16"/>
        <v>6.25</v>
      </c>
      <c r="U26" s="2686">
        <f t="shared" si="17"/>
        <v>0</v>
      </c>
      <c r="V26" s="2690">
        <f t="shared" si="18"/>
        <v>6.25</v>
      </c>
      <c r="W26" s="2694">
        <f t="shared" si="19"/>
        <v>5</v>
      </c>
      <c r="X26" s="2696" t="str">
        <f t="shared" si="20"/>
        <v/>
      </c>
      <c r="Y26" s="2697" t="str">
        <f t="shared" si="21"/>
        <v/>
      </c>
      <c r="Z26" s="2698" t="s">
        <v>1892</v>
      </c>
      <c r="AA26" s="2758" t="str">
        <f t="shared" si="22"/>
        <v/>
      </c>
      <c r="AB26" s="2683" t="str">
        <f t="shared" si="23"/>
        <v>G29</v>
      </c>
      <c r="AC26" s="2691" t="str">
        <f t="shared" si="24"/>
        <v>B</v>
      </c>
      <c r="AD26" s="2686">
        <f t="shared" ca="1" si="25"/>
        <v>3</v>
      </c>
      <c r="AE26" s="2690">
        <f t="shared" ca="1" si="26"/>
        <v>10</v>
      </c>
      <c r="AF26" s="2691">
        <f t="shared" ca="1" si="27"/>
        <v>5</v>
      </c>
      <c r="AG26" s="2686">
        <f t="shared" ca="1" si="28"/>
        <v>8</v>
      </c>
      <c r="AH26" s="2690">
        <f t="shared" ca="1" si="29"/>
        <v>0</v>
      </c>
      <c r="AI26" s="2686">
        <f t="shared" ca="1" si="30"/>
        <v>7</v>
      </c>
      <c r="AJ26" s="2690">
        <f t="shared" ca="1" si="31"/>
        <v>10</v>
      </c>
      <c r="AK26" s="2732" t="str">
        <f t="shared" si="32"/>
        <v/>
      </c>
      <c r="AL26" s="2733" t="str">
        <f t="shared" si="33"/>
        <v/>
      </c>
      <c r="AM26" s="2734">
        <f t="shared" si="32"/>
        <v>5</v>
      </c>
      <c r="AN26" s="2691">
        <f t="shared" si="32"/>
        <v>13</v>
      </c>
      <c r="AO26" s="2694">
        <f t="shared" si="32"/>
        <v>4</v>
      </c>
      <c r="AP26" s="2693" t="str">
        <f t="shared" si="34"/>
        <v/>
      </c>
      <c r="AQ26" s="2736">
        <f t="shared" si="34"/>
        <v>1.75</v>
      </c>
      <c r="AR26" s="2689" t="str">
        <f t="shared" si="35"/>
        <v>P</v>
      </c>
      <c r="AS26" s="2690" t="str">
        <f t="shared" si="36"/>
        <v>#1</v>
      </c>
      <c r="AT26" s="2737" t="str">
        <f t="shared" si="37"/>
        <v/>
      </c>
      <c r="AU26" s="2738" t="str">
        <f t="shared" si="38"/>
        <v>B</v>
      </c>
      <c r="AV26" s="2695">
        <f t="shared" si="39"/>
        <v>51</v>
      </c>
      <c r="AW26" s="2690">
        <f t="shared" si="40"/>
        <v>0</v>
      </c>
      <c r="AX26" s="2737" t="str">
        <f t="shared" si="41"/>
        <v/>
      </c>
      <c r="AY26" s="2738" t="str">
        <f t="shared" si="42"/>
        <v>B</v>
      </c>
      <c r="AZ26" s="2695" t="str">
        <f t="shared" si="43"/>
        <v/>
      </c>
      <c r="BA26" s="2690" t="str">
        <f t="shared" si="44"/>
        <v/>
      </c>
      <c r="BB26" s="2737" t="str">
        <f t="shared" si="45"/>
        <v/>
      </c>
      <c r="BC26" s="2738" t="str">
        <f t="shared" si="46"/>
        <v/>
      </c>
      <c r="BD26" s="2695" t="str">
        <f t="shared" si="47"/>
        <v/>
      </c>
      <c r="BE26" s="2690" t="str">
        <f t="shared" si="48"/>
        <v/>
      </c>
      <c r="BF26" s="2737" t="str">
        <f t="shared" si="49"/>
        <v/>
      </c>
      <c r="BG26" s="2738" t="str">
        <f t="shared" si="50"/>
        <v/>
      </c>
      <c r="BH26" s="1417"/>
      <c r="BJ26" s="995" t="str">
        <f t="shared" si="93"/>
        <v>G29</v>
      </c>
      <c r="BK26" s="993" t="b">
        <f t="shared" si="51"/>
        <v>0</v>
      </c>
      <c r="BL26" s="1784" t="b">
        <v>0</v>
      </c>
      <c r="BM26" s="989">
        <f t="shared" si="52"/>
        <v>52</v>
      </c>
      <c r="BN26" s="989" t="str">
        <f t="shared" si="53"/>
        <v>G</v>
      </c>
      <c r="BO26" s="989">
        <f t="shared" si="54"/>
        <v>7</v>
      </c>
      <c r="BP26" s="989" t="str">
        <f t="shared" si="55"/>
        <v>11/5</v>
      </c>
      <c r="BQ26" s="989">
        <f t="shared" si="56"/>
        <v>2.4</v>
      </c>
      <c r="BR26" s="989" t="b">
        <f t="shared" si="57"/>
        <v>1</v>
      </c>
      <c r="BS26" s="1303">
        <f t="shared" si="58"/>
        <v>7.75</v>
      </c>
      <c r="BT26" s="990" t="str">
        <f t="shared" si="59"/>
        <v>Yes</v>
      </c>
      <c r="BU26" s="1303">
        <f t="shared" si="60"/>
        <v>7.75</v>
      </c>
      <c r="BV26" s="990" t="str">
        <f t="shared" si="61"/>
        <v>Yes</v>
      </c>
      <c r="BW26" s="991">
        <f t="shared" ca="1" si="62"/>
        <v>19</v>
      </c>
      <c r="BX26" s="991" t="str">
        <f t="shared" ca="1" si="63"/>
        <v>G29</v>
      </c>
      <c r="BY26" s="991" t="b">
        <f t="shared" ca="1" si="64"/>
        <v>0</v>
      </c>
      <c r="BZ26" s="991" t="b">
        <f t="shared" si="86"/>
        <v>0</v>
      </c>
      <c r="CB26" s="672" t="s">
        <v>1425</v>
      </c>
      <c r="CC26" s="1685">
        <v>2</v>
      </c>
      <c r="CD26" s="699" t="s">
        <v>1722</v>
      </c>
      <c r="CE26" s="700">
        <v>52</v>
      </c>
      <c r="CF26" s="701">
        <v>0</v>
      </c>
      <c r="CG26" s="672">
        <v>6</v>
      </c>
      <c r="CH26" s="713"/>
      <c r="CI26" s="714"/>
      <c r="CJ26" s="713"/>
      <c r="CK26" s="714"/>
      <c r="CL26" s="715"/>
      <c r="CM26" s="743"/>
      <c r="CN26" s="738"/>
      <c r="CO26" s="1552"/>
      <c r="CP26" s="910"/>
      <c r="CQ26" s="672">
        <v>6</v>
      </c>
      <c r="CR26" s="713"/>
      <c r="CS26" s="714"/>
      <c r="CT26" s="713"/>
      <c r="CU26" s="714"/>
      <c r="CV26" s="715"/>
      <c r="CW26" s="743"/>
      <c r="CX26" s="738"/>
      <c r="CY26" s="1552"/>
      <c r="CZ26" s="910"/>
      <c r="DA26" s="717"/>
      <c r="DB26" s="702" t="s">
        <v>1713</v>
      </c>
      <c r="DC26" s="703"/>
      <c r="DD26" s="725"/>
      <c r="DE26" s="726">
        <v>11.125</v>
      </c>
      <c r="DF26" s="141"/>
      <c r="DG26" s="141"/>
      <c r="DH26" s="672" t="s">
        <v>1425</v>
      </c>
      <c r="DI26" s="673" t="s">
        <v>35</v>
      </c>
      <c r="DJ26" s="692">
        <v>4</v>
      </c>
      <c r="DK26" s="1332">
        <v>0</v>
      </c>
      <c r="DL26" s="674">
        <v>5</v>
      </c>
      <c r="DM26" s="693">
        <v>8</v>
      </c>
      <c r="DN26" s="1335">
        <v>0</v>
      </c>
      <c r="DO26" s="675"/>
      <c r="DP26" s="676"/>
      <c r="DQ26" s="1420">
        <v>5</v>
      </c>
      <c r="DR26" s="677">
        <v>13</v>
      </c>
      <c r="DS26" s="1420">
        <v>4</v>
      </c>
      <c r="DT26" s="1422"/>
      <c r="DU26" s="1423">
        <v>2</v>
      </c>
      <c r="DV26" s="678" t="s">
        <v>1018</v>
      </c>
      <c r="DW26" s="1337" t="s">
        <v>1705</v>
      </c>
      <c r="DX26" s="679"/>
      <c r="DY26" s="674" t="s">
        <v>35</v>
      </c>
      <c r="DZ26" s="2661">
        <v>51</v>
      </c>
      <c r="EA26" s="2664">
        <v>0.25</v>
      </c>
      <c r="EB26" s="679"/>
      <c r="EC26" s="2665" t="s">
        <v>35</v>
      </c>
      <c r="ED26" s="678"/>
      <c r="EE26" s="1337"/>
      <c r="EF26" s="679"/>
      <c r="EG26" s="674"/>
      <c r="EH26" s="678"/>
      <c r="EI26" s="1337"/>
      <c r="EJ26" s="679"/>
      <c r="EK26" s="680"/>
      <c r="EL26" s="241"/>
      <c r="EM26" s="1632" t="str">
        <f t="shared" si="65"/>
        <v>G29</v>
      </c>
      <c r="EN26" s="1429" t="str">
        <f t="shared" si="66"/>
        <v/>
      </c>
      <c r="EO26" s="1430" t="str">
        <f t="shared" si="67"/>
        <v/>
      </c>
      <c r="EP26" s="1431" t="str">
        <f t="shared" si="68"/>
        <v/>
      </c>
      <c r="EQ26" s="1435" t="str">
        <f t="shared" si="69"/>
        <v/>
      </c>
      <c r="ER26" s="1441" t="str">
        <f t="shared" si="70"/>
        <v/>
      </c>
      <c r="ES26" s="1442" t="str">
        <f t="shared" si="71"/>
        <v/>
      </c>
      <c r="ET26" s="1443" t="str">
        <f t="shared" si="72"/>
        <v/>
      </c>
      <c r="EU26" s="1444" t="str">
        <f t="shared" si="87"/>
        <v/>
      </c>
      <c r="EX26" s="503" t="str">
        <f t="shared" ca="1" si="88"/>
        <v>G29B</v>
      </c>
      <c r="EY26" s="940" t="b">
        <f t="shared" ca="1" si="73"/>
        <v>1</v>
      </c>
      <c r="EZ26" s="940">
        <f t="shared" ca="1" si="89"/>
        <v>5</v>
      </c>
      <c r="FA26" s="958" t="b">
        <f t="shared" ca="1" si="94"/>
        <v>1</v>
      </c>
      <c r="FB26" s="134">
        <f t="shared" ca="1" si="90"/>
        <v>620</v>
      </c>
      <c r="FC26" s="134">
        <f t="shared" ca="1" si="74"/>
        <v>46</v>
      </c>
      <c r="FD26" s="134">
        <f t="shared" ca="1" si="75"/>
        <v>480</v>
      </c>
      <c r="FE26" s="134">
        <f t="shared" ca="1" si="76"/>
        <v>94</v>
      </c>
      <c r="FF26" s="134">
        <f t="shared" ca="1" si="91"/>
        <v>620</v>
      </c>
      <c r="FN26" s="754" t="b">
        <v>0</v>
      </c>
      <c r="FO26" s="754" t="b">
        <f t="shared" si="77"/>
        <v>1</v>
      </c>
      <c r="FP26" s="754" t="b">
        <v>0</v>
      </c>
      <c r="FQ26" s="754" t="b">
        <f t="shared" si="92"/>
        <v>1</v>
      </c>
      <c r="FW26" s="2"/>
      <c r="FX26" s="2"/>
      <c r="FZ26" s="2"/>
      <c r="GA26" s="581">
        <f t="shared" si="78"/>
        <v>52</v>
      </c>
      <c r="GB26" s="623">
        <f t="shared" si="79"/>
        <v>0</v>
      </c>
      <c r="GC26" s="625">
        <f t="shared" si="80"/>
        <v>-0.25</v>
      </c>
      <c r="GD26" s="626">
        <f t="shared" si="81"/>
        <v>-0.25</v>
      </c>
      <c r="GE26" s="624">
        <f t="shared" si="82"/>
        <v>0</v>
      </c>
      <c r="GF26" s="582" t="str">
        <f t="shared" si="83"/>
        <v>G29</v>
      </c>
      <c r="GG26" s="692">
        <v>0</v>
      </c>
      <c r="GH26" s="1136">
        <v>0</v>
      </c>
      <c r="GI26" s="692"/>
      <c r="GJ26" s="1136"/>
      <c r="GK26" s="1641">
        <f t="shared" si="84"/>
        <v>623.5</v>
      </c>
      <c r="GL26" s="1641">
        <f t="shared" si="85"/>
        <v>623.5</v>
      </c>
      <c r="GM26" s="1642">
        <f>IF(ABS(GK26-GL26)&gt;='Job Info.'!$L$22,ABS(GK26-GL26),0)</f>
        <v>0</v>
      </c>
      <c r="GZ26" s="145"/>
      <c r="HA26" s="1242" t="s">
        <v>1425</v>
      </c>
      <c r="HB26" s="1243">
        <v>2</v>
      </c>
      <c r="HC26" s="1243" t="s">
        <v>1722</v>
      </c>
      <c r="HD26" s="1244">
        <v>52</v>
      </c>
      <c r="HE26" s="1245">
        <v>0</v>
      </c>
      <c r="HF26" s="1243">
        <v>6</v>
      </c>
      <c r="HG26" s="1243"/>
      <c r="HH26" s="1243"/>
      <c r="HI26" s="1243"/>
      <c r="HJ26" s="1243"/>
      <c r="HK26" s="1243"/>
      <c r="HL26" s="1243"/>
      <c r="HM26" s="1243"/>
      <c r="HN26" s="1243"/>
      <c r="HO26" s="1243"/>
      <c r="HP26" s="1243">
        <v>6</v>
      </c>
      <c r="HQ26" s="1243"/>
      <c r="HR26" s="1243"/>
      <c r="HS26" s="1243"/>
      <c r="HT26" s="1243"/>
      <c r="HU26" s="1243"/>
      <c r="HV26" s="1243"/>
      <c r="HW26" s="1243"/>
      <c r="HX26" s="1243"/>
      <c r="HY26" s="1247"/>
      <c r="HZ26" s="1247"/>
      <c r="IA26" s="1247" t="s">
        <v>1713</v>
      </c>
      <c r="IB26" s="1247"/>
      <c r="IC26" s="1247"/>
      <c r="ID26" s="1262">
        <v>11.125</v>
      </c>
      <c r="IE26" s="1242" t="s">
        <v>1425</v>
      </c>
      <c r="IF26" s="1243" t="s">
        <v>35</v>
      </c>
      <c r="IG26" s="1244">
        <v>4</v>
      </c>
      <c r="IH26" s="1245">
        <v>0</v>
      </c>
      <c r="II26" s="1243">
        <v>5</v>
      </c>
      <c r="IJ26" s="1244">
        <v>8</v>
      </c>
      <c r="IK26" s="1245">
        <v>0</v>
      </c>
      <c r="IL26" s="1243"/>
      <c r="IM26" s="1243"/>
      <c r="IN26" s="1243">
        <v>5</v>
      </c>
      <c r="IO26" s="1243">
        <v>13</v>
      </c>
      <c r="IP26" s="1243">
        <v>4</v>
      </c>
      <c r="IQ26" s="1243"/>
      <c r="IR26" s="1243">
        <v>2</v>
      </c>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5"/>
        <v>1</v>
      </c>
    </row>
    <row r="27" spans="1:272" ht="12.6" customHeight="1" x14ac:dyDescent="0.25">
      <c r="A27" s="2683" t="str">
        <f t="shared" si="0"/>
        <v>G30</v>
      </c>
      <c r="B27" s="2684">
        <f t="shared" si="0"/>
        <v>2</v>
      </c>
      <c r="C27" s="2685" t="s">
        <v>1722</v>
      </c>
      <c r="D27" s="2686">
        <f t="shared" si="1"/>
        <v>51</v>
      </c>
      <c r="E27" s="2687">
        <f t="shared" si="2"/>
        <v>11.5</v>
      </c>
      <c r="F27" s="2688">
        <f t="shared" si="3"/>
        <v>11.125</v>
      </c>
      <c r="G27" s="2689">
        <f t="shared" si="4"/>
        <v>0</v>
      </c>
      <c r="H27" s="2690">
        <f t="shared" si="5"/>
        <v>1.75</v>
      </c>
      <c r="I27" s="2691" t="str">
        <f t="shared" si="6"/>
        <v>R</v>
      </c>
      <c r="J27" s="2686">
        <f t="shared" si="7"/>
        <v>0</v>
      </c>
      <c r="K27" s="2690">
        <f t="shared" si="8"/>
        <v>1.75</v>
      </c>
      <c r="L27" s="2692" t="str">
        <f t="shared" si="9"/>
        <v>R</v>
      </c>
      <c r="M27" s="2693">
        <f t="shared" si="10"/>
        <v>7.5</v>
      </c>
      <c r="N27" s="2694">
        <f t="shared" si="10"/>
        <v>7.5</v>
      </c>
      <c r="O27" s="2689">
        <f t="shared" si="11"/>
        <v>0</v>
      </c>
      <c r="P27" s="2690">
        <f t="shared" si="12"/>
        <v>6.75</v>
      </c>
      <c r="Q27" s="2686">
        <f t="shared" si="13"/>
        <v>0</v>
      </c>
      <c r="R27" s="2687">
        <f t="shared" si="14"/>
        <v>6.75</v>
      </c>
      <c r="S27" s="2695">
        <f t="shared" si="15"/>
        <v>0</v>
      </c>
      <c r="T27" s="2690">
        <f t="shared" si="16"/>
        <v>6.25</v>
      </c>
      <c r="U27" s="2686">
        <f t="shared" si="17"/>
        <v>0</v>
      </c>
      <c r="V27" s="2690">
        <f t="shared" si="18"/>
        <v>6.25</v>
      </c>
      <c r="W27" s="2694">
        <f t="shared" si="19"/>
        <v>5</v>
      </c>
      <c r="X27" s="2696" t="str">
        <f t="shared" si="20"/>
        <v/>
      </c>
      <c r="Y27" s="2697" t="str">
        <f t="shared" si="21"/>
        <v/>
      </c>
      <c r="Z27" s="2698" t="s">
        <v>1893</v>
      </c>
      <c r="AA27" s="2758" t="str">
        <f t="shared" si="22"/>
        <v/>
      </c>
      <c r="AB27" s="2683" t="str">
        <f t="shared" si="23"/>
        <v>G30</v>
      </c>
      <c r="AC27" s="2691" t="str">
        <f t="shared" si="24"/>
        <v>B</v>
      </c>
      <c r="AD27" s="2686">
        <f t="shared" ca="1" si="25"/>
        <v>7</v>
      </c>
      <c r="AE27" s="2690">
        <f t="shared" ca="1" si="26"/>
        <v>10</v>
      </c>
      <c r="AF27" s="2691">
        <f t="shared" ca="1" si="27"/>
        <v>5</v>
      </c>
      <c r="AG27" s="2686">
        <f t="shared" ca="1" si="28"/>
        <v>8</v>
      </c>
      <c r="AH27" s="2690">
        <f t="shared" ca="1" si="29"/>
        <v>0</v>
      </c>
      <c r="AI27" s="2686">
        <f t="shared" ca="1" si="30"/>
        <v>3</v>
      </c>
      <c r="AJ27" s="2690">
        <f t="shared" ca="1" si="31"/>
        <v>10</v>
      </c>
      <c r="AK27" s="2732" t="str">
        <f t="shared" si="32"/>
        <v/>
      </c>
      <c r="AL27" s="2733" t="str">
        <f t="shared" si="33"/>
        <v/>
      </c>
      <c r="AM27" s="2734">
        <f t="shared" si="32"/>
        <v>5</v>
      </c>
      <c r="AN27" s="2691">
        <f t="shared" si="32"/>
        <v>13</v>
      </c>
      <c r="AO27" s="2694">
        <f t="shared" si="32"/>
        <v>4</v>
      </c>
      <c r="AP27" s="2693">
        <f t="shared" si="34"/>
        <v>1.75</v>
      </c>
      <c r="AQ27" s="2736" t="str">
        <f t="shared" si="34"/>
        <v/>
      </c>
      <c r="AR27" s="2689" t="str">
        <f t="shared" si="35"/>
        <v>P</v>
      </c>
      <c r="AS27" s="2690" t="str">
        <f t="shared" si="36"/>
        <v>#6</v>
      </c>
      <c r="AT27" s="2737" t="str">
        <f t="shared" si="37"/>
        <v/>
      </c>
      <c r="AU27" s="2738" t="str">
        <f t="shared" si="38"/>
        <v>B</v>
      </c>
      <c r="AV27" s="2695">
        <f t="shared" si="39"/>
        <v>1</v>
      </c>
      <c r="AW27" s="2690">
        <f t="shared" si="40"/>
        <v>0</v>
      </c>
      <c r="AX27" s="2737" t="str">
        <f t="shared" si="41"/>
        <v/>
      </c>
      <c r="AY27" s="2738" t="str">
        <f t="shared" si="42"/>
        <v>B</v>
      </c>
      <c r="AZ27" s="2695" t="str">
        <f t="shared" si="43"/>
        <v/>
      </c>
      <c r="BA27" s="2690" t="str">
        <f t="shared" si="44"/>
        <v/>
      </c>
      <c r="BB27" s="2737" t="str">
        <f t="shared" si="45"/>
        <v/>
      </c>
      <c r="BC27" s="2738" t="str">
        <f t="shared" si="46"/>
        <v/>
      </c>
      <c r="BD27" s="2695" t="str">
        <f t="shared" si="47"/>
        <v/>
      </c>
      <c r="BE27" s="2690" t="str">
        <f t="shared" si="48"/>
        <v/>
      </c>
      <c r="BF27" s="2737" t="str">
        <f t="shared" si="49"/>
        <v/>
      </c>
      <c r="BG27" s="2738" t="str">
        <f t="shared" si="50"/>
        <v/>
      </c>
      <c r="BH27" s="1417"/>
      <c r="BJ27" s="995" t="str">
        <f t="shared" si="93"/>
        <v>G30</v>
      </c>
      <c r="BK27" s="993" t="b">
        <f t="shared" si="51"/>
        <v>0</v>
      </c>
      <c r="BL27" s="1784" t="b">
        <v>0</v>
      </c>
      <c r="BM27" s="989">
        <f t="shared" si="52"/>
        <v>52</v>
      </c>
      <c r="BN27" s="989" t="str">
        <f t="shared" si="53"/>
        <v>G</v>
      </c>
      <c r="BO27" s="989">
        <f t="shared" si="54"/>
        <v>7</v>
      </c>
      <c r="BP27" s="989" t="str">
        <f t="shared" si="55"/>
        <v>11/5</v>
      </c>
      <c r="BQ27" s="989">
        <f t="shared" si="56"/>
        <v>2.4</v>
      </c>
      <c r="BR27" s="989" t="b">
        <f t="shared" si="57"/>
        <v>1</v>
      </c>
      <c r="BS27" s="1303">
        <f t="shared" si="58"/>
        <v>7.75</v>
      </c>
      <c r="BT27" s="990" t="str">
        <f t="shared" si="59"/>
        <v>Yes</v>
      </c>
      <c r="BU27" s="1303">
        <f t="shared" si="60"/>
        <v>7.75</v>
      </c>
      <c r="BV27" s="990" t="str">
        <f t="shared" si="61"/>
        <v>Yes</v>
      </c>
      <c r="BW27" s="991">
        <f t="shared" ca="1" si="62"/>
        <v>19</v>
      </c>
      <c r="BX27" s="991" t="str">
        <f t="shared" ca="1" si="63"/>
        <v>G30</v>
      </c>
      <c r="BY27" s="991" t="b">
        <f t="shared" ca="1" si="64"/>
        <v>0</v>
      </c>
      <c r="BZ27" s="991" t="b">
        <f t="shared" si="86"/>
        <v>0</v>
      </c>
      <c r="CB27" s="672" t="s">
        <v>1426</v>
      </c>
      <c r="CC27" s="1685">
        <v>2</v>
      </c>
      <c r="CD27" s="699" t="s">
        <v>1722</v>
      </c>
      <c r="CE27" s="700">
        <v>52</v>
      </c>
      <c r="CF27" s="701">
        <v>0</v>
      </c>
      <c r="CG27" s="672">
        <v>6</v>
      </c>
      <c r="CH27" s="713"/>
      <c r="CI27" s="714"/>
      <c r="CJ27" s="713"/>
      <c r="CK27" s="714"/>
      <c r="CL27" s="715"/>
      <c r="CM27" s="743"/>
      <c r="CN27" s="738"/>
      <c r="CO27" s="1552"/>
      <c r="CP27" s="910"/>
      <c r="CQ27" s="672">
        <v>6</v>
      </c>
      <c r="CR27" s="713"/>
      <c r="CS27" s="714"/>
      <c r="CT27" s="713"/>
      <c r="CU27" s="714"/>
      <c r="CV27" s="715"/>
      <c r="CW27" s="743"/>
      <c r="CX27" s="738"/>
      <c r="CY27" s="1552"/>
      <c r="CZ27" s="910"/>
      <c r="DA27" s="717"/>
      <c r="DB27" s="702" t="s">
        <v>1724</v>
      </c>
      <c r="DC27" s="703"/>
      <c r="DD27" s="725"/>
      <c r="DE27" s="726">
        <v>11.125</v>
      </c>
      <c r="DF27" s="141"/>
      <c r="DG27" s="141"/>
      <c r="DH27" s="672" t="s">
        <v>1426</v>
      </c>
      <c r="DI27" s="673" t="s">
        <v>35</v>
      </c>
      <c r="DJ27" s="692">
        <v>8</v>
      </c>
      <c r="DK27" s="1332">
        <v>0</v>
      </c>
      <c r="DL27" s="674">
        <v>5</v>
      </c>
      <c r="DM27" s="693">
        <v>8</v>
      </c>
      <c r="DN27" s="1335">
        <v>0</v>
      </c>
      <c r="DO27" s="675"/>
      <c r="DP27" s="676"/>
      <c r="DQ27" s="1420">
        <v>5</v>
      </c>
      <c r="DR27" s="677">
        <v>13</v>
      </c>
      <c r="DS27" s="1420">
        <v>4</v>
      </c>
      <c r="DT27" s="1422">
        <v>2</v>
      </c>
      <c r="DU27" s="1423"/>
      <c r="DV27" s="678" t="s">
        <v>1018</v>
      </c>
      <c r="DW27" s="1337" t="s">
        <v>1706</v>
      </c>
      <c r="DX27" s="679"/>
      <c r="DY27" s="674" t="s">
        <v>35</v>
      </c>
      <c r="DZ27" s="2661">
        <v>1</v>
      </c>
      <c r="EA27" s="2664">
        <v>0.25</v>
      </c>
      <c r="EB27" s="679"/>
      <c r="EC27" s="2665" t="s">
        <v>35</v>
      </c>
      <c r="ED27" s="678"/>
      <c r="EE27" s="1337"/>
      <c r="EF27" s="679"/>
      <c r="EG27" s="674"/>
      <c r="EH27" s="678"/>
      <c r="EI27" s="1337"/>
      <c r="EJ27" s="679"/>
      <c r="EK27" s="680"/>
      <c r="EL27" s="241"/>
      <c r="EM27" s="1632" t="str">
        <f t="shared" si="65"/>
        <v>G30</v>
      </c>
      <c r="EN27" s="1429" t="str">
        <f t="shared" si="66"/>
        <v/>
      </c>
      <c r="EO27" s="1430" t="str">
        <f t="shared" si="67"/>
        <v/>
      </c>
      <c r="EP27" s="1431" t="str">
        <f t="shared" si="68"/>
        <v/>
      </c>
      <c r="EQ27" s="1435" t="str">
        <f t="shared" si="69"/>
        <v/>
      </c>
      <c r="ER27" s="1441" t="str">
        <f t="shared" si="70"/>
        <v/>
      </c>
      <c r="ES27" s="1442" t="str">
        <f t="shared" si="71"/>
        <v/>
      </c>
      <c r="ET27" s="1443" t="str">
        <f t="shared" si="72"/>
        <v/>
      </c>
      <c r="EU27" s="1444" t="str">
        <f t="shared" si="87"/>
        <v/>
      </c>
      <c r="EX27" s="503" t="str">
        <f t="shared" ca="1" si="88"/>
        <v>G30B</v>
      </c>
      <c r="EY27" s="940" t="b">
        <f t="shared" ca="1" si="73"/>
        <v>1</v>
      </c>
      <c r="EZ27" s="940">
        <f t="shared" ca="1" si="89"/>
        <v>5</v>
      </c>
      <c r="FA27" s="958" t="b">
        <f t="shared" ca="1" si="94"/>
        <v>1</v>
      </c>
      <c r="FB27" s="134">
        <f t="shared" ca="1" si="90"/>
        <v>620</v>
      </c>
      <c r="FC27" s="134">
        <f t="shared" ca="1" si="74"/>
        <v>94</v>
      </c>
      <c r="FD27" s="134">
        <f t="shared" ca="1" si="75"/>
        <v>480</v>
      </c>
      <c r="FE27" s="134">
        <f t="shared" ca="1" si="76"/>
        <v>46</v>
      </c>
      <c r="FF27" s="134">
        <f t="shared" ca="1" si="91"/>
        <v>620</v>
      </c>
      <c r="FN27" s="754" t="b">
        <v>0</v>
      </c>
      <c r="FO27" s="754" t="b">
        <f t="shared" si="77"/>
        <v>1</v>
      </c>
      <c r="FP27" s="754" t="b">
        <v>0</v>
      </c>
      <c r="FQ27" s="754" t="b">
        <f t="shared" si="92"/>
        <v>1</v>
      </c>
      <c r="FW27" s="2"/>
      <c r="FX27" s="2"/>
      <c r="FZ27" s="2"/>
      <c r="GA27" s="581">
        <f t="shared" si="78"/>
        <v>52</v>
      </c>
      <c r="GB27" s="623">
        <f t="shared" si="79"/>
        <v>0</v>
      </c>
      <c r="GC27" s="625">
        <f t="shared" si="80"/>
        <v>-0.25</v>
      </c>
      <c r="GD27" s="626">
        <f t="shared" si="81"/>
        <v>-0.25</v>
      </c>
      <c r="GE27" s="624">
        <f t="shared" si="82"/>
        <v>0</v>
      </c>
      <c r="GF27" s="582" t="str">
        <f t="shared" si="83"/>
        <v>G30</v>
      </c>
      <c r="GG27" s="692">
        <v>0</v>
      </c>
      <c r="GH27" s="1136">
        <v>0</v>
      </c>
      <c r="GI27" s="692"/>
      <c r="GJ27" s="1136"/>
      <c r="GK27" s="1641">
        <f t="shared" si="84"/>
        <v>623.5</v>
      </c>
      <c r="GL27" s="1641">
        <f t="shared" si="85"/>
        <v>623.5</v>
      </c>
      <c r="GM27" s="1642">
        <f>IF(ABS(GK27-GL27)&gt;='Job Info.'!$L$22,ABS(GK27-GL27),0)</f>
        <v>0</v>
      </c>
      <c r="GZ27" s="145"/>
      <c r="HA27" s="1242" t="s">
        <v>1426</v>
      </c>
      <c r="HB27" s="1243">
        <v>2</v>
      </c>
      <c r="HC27" s="1243" t="s">
        <v>1722</v>
      </c>
      <c r="HD27" s="1244">
        <v>52</v>
      </c>
      <c r="HE27" s="1245">
        <v>0</v>
      </c>
      <c r="HF27" s="1243">
        <v>6</v>
      </c>
      <c r="HG27" s="1243"/>
      <c r="HH27" s="1243"/>
      <c r="HI27" s="1243"/>
      <c r="HJ27" s="1243"/>
      <c r="HK27" s="1243"/>
      <c r="HL27" s="1243"/>
      <c r="HM27" s="1243"/>
      <c r="HN27" s="1243"/>
      <c r="HO27" s="1243"/>
      <c r="HP27" s="1243">
        <v>6</v>
      </c>
      <c r="HQ27" s="1243"/>
      <c r="HR27" s="1243"/>
      <c r="HS27" s="1243"/>
      <c r="HT27" s="1243"/>
      <c r="HU27" s="1243"/>
      <c r="HV27" s="1243"/>
      <c r="HW27" s="1243"/>
      <c r="HX27" s="1243"/>
      <c r="HY27" s="1247"/>
      <c r="HZ27" s="1247"/>
      <c r="IA27" s="1247" t="s">
        <v>1724</v>
      </c>
      <c r="IB27" s="1247"/>
      <c r="IC27" s="1247"/>
      <c r="ID27" s="1262">
        <v>11.125</v>
      </c>
      <c r="IE27" s="1242" t="s">
        <v>1426</v>
      </c>
      <c r="IF27" s="1243" t="s">
        <v>35</v>
      </c>
      <c r="IG27" s="1244">
        <v>8</v>
      </c>
      <c r="IH27" s="1245">
        <v>0</v>
      </c>
      <c r="II27" s="1243">
        <v>5</v>
      </c>
      <c r="IJ27" s="1244">
        <v>8</v>
      </c>
      <c r="IK27" s="1245">
        <v>0</v>
      </c>
      <c r="IL27" s="1243"/>
      <c r="IM27" s="1243"/>
      <c r="IN27" s="1243">
        <v>5</v>
      </c>
      <c r="IO27" s="1243">
        <v>13</v>
      </c>
      <c r="IP27" s="1243">
        <v>4</v>
      </c>
      <c r="IQ27" s="1243">
        <v>2</v>
      </c>
      <c r="IR27" s="1243"/>
      <c r="IS27" s="1244" t="s">
        <v>1018</v>
      </c>
      <c r="IT27" s="1245" t="s">
        <v>1706</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5"/>
        <v>1</v>
      </c>
    </row>
    <row r="28" spans="1:272" ht="12.6" customHeight="1" x14ac:dyDescent="0.3">
      <c r="A28" s="2683" t="str">
        <f t="shared" si="0"/>
        <v>G31</v>
      </c>
      <c r="B28" s="2684">
        <f t="shared" si="0"/>
        <v>2</v>
      </c>
      <c r="C28" s="2685" t="s">
        <v>1722</v>
      </c>
      <c r="D28" s="2686">
        <f t="shared" si="1"/>
        <v>51</v>
      </c>
      <c r="E28" s="2687">
        <f t="shared" si="2"/>
        <v>11.5</v>
      </c>
      <c r="F28" s="2688">
        <f t="shared" si="3"/>
        <v>11.125</v>
      </c>
      <c r="G28" s="2689">
        <f t="shared" si="4"/>
        <v>0</v>
      </c>
      <c r="H28" s="2690">
        <f t="shared" si="5"/>
        <v>1.75</v>
      </c>
      <c r="I28" s="2691" t="str">
        <f t="shared" si="6"/>
        <v>R</v>
      </c>
      <c r="J28" s="2686">
        <f t="shared" si="7"/>
        <v>0</v>
      </c>
      <c r="K28" s="2690">
        <f t="shared" si="8"/>
        <v>1.75</v>
      </c>
      <c r="L28" s="2692" t="str">
        <f t="shared" si="9"/>
        <v>R</v>
      </c>
      <c r="M28" s="2693">
        <f t="shared" si="10"/>
        <v>7.5</v>
      </c>
      <c r="N28" s="2694">
        <f t="shared" si="10"/>
        <v>7.5</v>
      </c>
      <c r="O28" s="2689">
        <f t="shared" si="11"/>
        <v>0</v>
      </c>
      <c r="P28" s="2690">
        <f t="shared" si="12"/>
        <v>6.75</v>
      </c>
      <c r="Q28" s="2686">
        <f t="shared" si="13"/>
        <v>0</v>
      </c>
      <c r="R28" s="2687">
        <f t="shared" si="14"/>
        <v>6.75</v>
      </c>
      <c r="S28" s="2695">
        <f t="shared" si="15"/>
        <v>0</v>
      </c>
      <c r="T28" s="2690">
        <f t="shared" si="16"/>
        <v>6.25</v>
      </c>
      <c r="U28" s="2686">
        <f t="shared" si="17"/>
        <v>0</v>
      </c>
      <c r="V28" s="2690">
        <f t="shared" si="18"/>
        <v>6.25</v>
      </c>
      <c r="W28" s="2694">
        <f t="shared" si="19"/>
        <v>5</v>
      </c>
      <c r="X28" s="2696" t="str">
        <f t="shared" si="20"/>
        <v/>
      </c>
      <c r="Y28" s="2697" t="str">
        <f t="shared" si="21"/>
        <v/>
      </c>
      <c r="Z28" s="2698" t="s">
        <v>1894</v>
      </c>
      <c r="AA28" s="2758" t="str">
        <f t="shared" si="22"/>
        <v/>
      </c>
      <c r="AB28" s="2683" t="str">
        <f t="shared" si="23"/>
        <v>G31</v>
      </c>
      <c r="AC28" s="2691" t="str">
        <f t="shared" si="24"/>
        <v>B</v>
      </c>
      <c r="AD28" s="2686">
        <f t="shared" ca="1" si="25"/>
        <v>3</v>
      </c>
      <c r="AE28" s="2690">
        <f t="shared" ca="1" si="26"/>
        <v>10</v>
      </c>
      <c r="AF28" s="2691">
        <f t="shared" ca="1" si="27"/>
        <v>5</v>
      </c>
      <c r="AG28" s="2686">
        <f t="shared" ca="1" si="28"/>
        <v>8</v>
      </c>
      <c r="AH28" s="2690">
        <f t="shared" ca="1" si="29"/>
        <v>0</v>
      </c>
      <c r="AI28" s="2686">
        <f t="shared" ca="1" si="30"/>
        <v>7</v>
      </c>
      <c r="AJ28" s="2690">
        <f t="shared" ca="1" si="31"/>
        <v>10</v>
      </c>
      <c r="AK28" s="2732" t="str">
        <f t="shared" si="32"/>
        <v/>
      </c>
      <c r="AL28" s="2733" t="str">
        <f t="shared" si="33"/>
        <v/>
      </c>
      <c r="AM28" s="2734">
        <f t="shared" si="32"/>
        <v>5</v>
      </c>
      <c r="AN28" s="2691">
        <f t="shared" si="32"/>
        <v>13</v>
      </c>
      <c r="AO28" s="2694">
        <f t="shared" si="32"/>
        <v>4</v>
      </c>
      <c r="AP28" s="2693" t="str">
        <f t="shared" si="34"/>
        <v/>
      </c>
      <c r="AQ28" s="2736">
        <f t="shared" si="34"/>
        <v>1.75</v>
      </c>
      <c r="AR28" s="2689" t="str">
        <f t="shared" si="35"/>
        <v>P</v>
      </c>
      <c r="AS28" s="2690" t="str">
        <f t="shared" si="36"/>
        <v>#1</v>
      </c>
      <c r="AT28" s="2737" t="str">
        <f t="shared" si="37"/>
        <v/>
      </c>
      <c r="AU28" s="2738" t="str">
        <f t="shared" si="38"/>
        <v>B</v>
      </c>
      <c r="AV28" s="2695">
        <f t="shared" si="39"/>
        <v>51</v>
      </c>
      <c r="AW28" s="2690">
        <f t="shared" si="40"/>
        <v>0</v>
      </c>
      <c r="AX28" s="2737" t="str">
        <f t="shared" si="41"/>
        <v/>
      </c>
      <c r="AY28" s="2738" t="str">
        <f t="shared" si="42"/>
        <v>B</v>
      </c>
      <c r="AZ28" s="2695" t="str">
        <f t="shared" si="43"/>
        <v/>
      </c>
      <c r="BA28" s="2690" t="str">
        <f t="shared" si="44"/>
        <v/>
      </c>
      <c r="BB28" s="2737" t="str">
        <f t="shared" si="45"/>
        <v/>
      </c>
      <c r="BC28" s="2738" t="str">
        <f t="shared" si="46"/>
        <v/>
      </c>
      <c r="BD28" s="2695" t="str">
        <f t="shared" si="47"/>
        <v/>
      </c>
      <c r="BE28" s="2690" t="str">
        <f t="shared" si="48"/>
        <v/>
      </c>
      <c r="BF28" s="2737" t="str">
        <f t="shared" si="49"/>
        <v/>
      </c>
      <c r="BG28" s="2738" t="str">
        <f t="shared" si="50"/>
        <v/>
      </c>
      <c r="BH28" s="1417"/>
      <c r="BJ28" s="995" t="str">
        <f t="shared" si="93"/>
        <v>G31</v>
      </c>
      <c r="BK28" s="993" t="b">
        <f t="shared" si="51"/>
        <v>0</v>
      </c>
      <c r="BL28" s="1784" t="b">
        <v>0</v>
      </c>
      <c r="BM28" s="989">
        <f t="shared" si="52"/>
        <v>52</v>
      </c>
      <c r="BN28" s="989" t="str">
        <f t="shared" si="53"/>
        <v>G</v>
      </c>
      <c r="BO28" s="989">
        <f t="shared" si="54"/>
        <v>7</v>
      </c>
      <c r="BP28" s="989" t="str">
        <f t="shared" si="55"/>
        <v>11/5</v>
      </c>
      <c r="BQ28" s="989">
        <f t="shared" si="56"/>
        <v>2.4</v>
      </c>
      <c r="BR28" s="989" t="b">
        <f t="shared" si="57"/>
        <v>1</v>
      </c>
      <c r="BS28" s="1303">
        <f t="shared" si="58"/>
        <v>7.75</v>
      </c>
      <c r="BT28" s="990" t="str">
        <f t="shared" si="59"/>
        <v>Yes</v>
      </c>
      <c r="BU28" s="1303">
        <f t="shared" si="60"/>
        <v>7.75</v>
      </c>
      <c r="BV28" s="990" t="str">
        <f t="shared" si="61"/>
        <v>Yes</v>
      </c>
      <c r="BW28" s="991">
        <f t="shared" ca="1" si="62"/>
        <v>19</v>
      </c>
      <c r="BX28" s="991" t="str">
        <f t="shared" ca="1" si="63"/>
        <v>G31</v>
      </c>
      <c r="BY28" s="991" t="b">
        <f t="shared" ca="1" si="64"/>
        <v>0</v>
      </c>
      <c r="BZ28" s="991" t="b">
        <f t="shared" si="86"/>
        <v>0</v>
      </c>
      <c r="CB28" s="672" t="s">
        <v>1427</v>
      </c>
      <c r="CC28" s="1685">
        <v>2</v>
      </c>
      <c r="CD28" s="699" t="s">
        <v>1722</v>
      </c>
      <c r="CE28" s="700">
        <v>52</v>
      </c>
      <c r="CF28" s="701">
        <v>0</v>
      </c>
      <c r="CG28" s="672">
        <v>6</v>
      </c>
      <c r="CH28" s="713"/>
      <c r="CI28" s="714"/>
      <c r="CJ28" s="713"/>
      <c r="CK28" s="714"/>
      <c r="CL28" s="715"/>
      <c r="CM28" s="743"/>
      <c r="CN28" s="738"/>
      <c r="CO28" s="1552"/>
      <c r="CP28" s="910"/>
      <c r="CQ28" s="672">
        <v>6</v>
      </c>
      <c r="CR28" s="713"/>
      <c r="CS28" s="714"/>
      <c r="CT28" s="713"/>
      <c r="CU28" s="714"/>
      <c r="CV28" s="715"/>
      <c r="CW28" s="743"/>
      <c r="CX28" s="738"/>
      <c r="CY28" s="1552"/>
      <c r="CZ28" s="910"/>
      <c r="DA28" s="717"/>
      <c r="DB28" s="702">
        <v>9</v>
      </c>
      <c r="DC28" s="703"/>
      <c r="DD28" s="725"/>
      <c r="DE28" s="726">
        <v>11.125</v>
      </c>
      <c r="DF28" s="141"/>
      <c r="DG28" s="141"/>
      <c r="DH28" s="672" t="s">
        <v>1427</v>
      </c>
      <c r="DI28" s="673" t="s">
        <v>35</v>
      </c>
      <c r="DJ28" s="692">
        <v>4</v>
      </c>
      <c r="DK28" s="1332">
        <v>0</v>
      </c>
      <c r="DL28" s="674">
        <v>5</v>
      </c>
      <c r="DM28" s="693">
        <v>8</v>
      </c>
      <c r="DN28" s="1335">
        <v>0</v>
      </c>
      <c r="DO28" s="675"/>
      <c r="DP28" s="676"/>
      <c r="DQ28" s="1420">
        <v>5</v>
      </c>
      <c r="DR28" s="677">
        <v>13</v>
      </c>
      <c r="DS28" s="1420">
        <v>4</v>
      </c>
      <c r="DT28" s="1422"/>
      <c r="DU28" s="1423">
        <v>2</v>
      </c>
      <c r="DV28" s="678" t="s">
        <v>1018</v>
      </c>
      <c r="DW28" s="1337" t="s">
        <v>1705</v>
      </c>
      <c r="DX28" s="679"/>
      <c r="DY28" s="674" t="s">
        <v>35</v>
      </c>
      <c r="DZ28" s="2661">
        <v>51</v>
      </c>
      <c r="EA28" s="2664">
        <v>0.25</v>
      </c>
      <c r="EB28" s="679"/>
      <c r="EC28" s="2665" t="s">
        <v>35</v>
      </c>
      <c r="ED28" s="678"/>
      <c r="EE28" s="1337"/>
      <c r="EF28" s="679"/>
      <c r="EG28" s="674"/>
      <c r="EH28" s="678"/>
      <c r="EI28" s="1337"/>
      <c r="EJ28" s="679"/>
      <c r="EK28" s="680"/>
      <c r="EL28" s="241"/>
      <c r="EM28" s="1632" t="str">
        <f t="shared" si="65"/>
        <v>G31</v>
      </c>
      <c r="EN28" s="1429" t="str">
        <f t="shared" si="66"/>
        <v/>
      </c>
      <c r="EO28" s="1430" t="str">
        <f t="shared" si="67"/>
        <v/>
      </c>
      <c r="EP28" s="1431" t="str">
        <f t="shared" si="68"/>
        <v/>
      </c>
      <c r="EQ28" s="1435" t="str">
        <f t="shared" si="69"/>
        <v/>
      </c>
      <c r="ER28" s="1441" t="str">
        <f t="shared" si="70"/>
        <v/>
      </c>
      <c r="ES28" s="1442" t="str">
        <f t="shared" si="71"/>
        <v/>
      </c>
      <c r="ET28" s="1443" t="str">
        <f t="shared" si="72"/>
        <v/>
      </c>
      <c r="EU28" s="1444" t="str">
        <f t="shared" si="87"/>
        <v/>
      </c>
      <c r="EX28" s="503" t="str">
        <f t="shared" ca="1" si="88"/>
        <v>G31B</v>
      </c>
      <c r="EY28" s="940" t="b">
        <f t="shared" ca="1" si="73"/>
        <v>1</v>
      </c>
      <c r="EZ28" s="940">
        <f t="shared" ca="1" si="89"/>
        <v>5</v>
      </c>
      <c r="FA28" s="958" t="b">
        <f t="shared" ca="1" si="94"/>
        <v>1</v>
      </c>
      <c r="FB28" s="134">
        <f t="shared" ca="1" si="90"/>
        <v>620</v>
      </c>
      <c r="FC28" s="134">
        <f t="shared" ca="1" si="74"/>
        <v>46</v>
      </c>
      <c r="FD28" s="134">
        <f t="shared" ca="1" si="75"/>
        <v>480</v>
      </c>
      <c r="FE28" s="134">
        <f t="shared" ca="1" si="76"/>
        <v>94</v>
      </c>
      <c r="FF28" s="134">
        <f t="shared" ca="1" si="91"/>
        <v>620</v>
      </c>
      <c r="FN28" s="754" t="b">
        <v>0</v>
      </c>
      <c r="FO28" s="754" t="b">
        <f t="shared" si="77"/>
        <v>1</v>
      </c>
      <c r="FP28" s="754" t="b">
        <v>0</v>
      </c>
      <c r="FQ28" s="754" t="b">
        <f t="shared" si="92"/>
        <v>1</v>
      </c>
      <c r="FW28" s="2"/>
      <c r="FX28" s="2"/>
      <c r="FZ28" s="2"/>
      <c r="GA28" s="581">
        <f t="shared" si="78"/>
        <v>52</v>
      </c>
      <c r="GB28" s="623">
        <f t="shared" si="79"/>
        <v>0</v>
      </c>
      <c r="GC28" s="625">
        <f t="shared" si="80"/>
        <v>-0.25</v>
      </c>
      <c r="GD28" s="626">
        <f t="shared" si="81"/>
        <v>-0.25</v>
      </c>
      <c r="GE28" s="624">
        <f t="shared" si="82"/>
        <v>0</v>
      </c>
      <c r="GF28" s="582" t="str">
        <f t="shared" si="83"/>
        <v>G31</v>
      </c>
      <c r="GG28" s="692">
        <v>0</v>
      </c>
      <c r="GH28" s="1136">
        <v>0</v>
      </c>
      <c r="GI28" s="692"/>
      <c r="GJ28" s="1136"/>
      <c r="GK28" s="1641">
        <f t="shared" si="84"/>
        <v>623.5</v>
      </c>
      <c r="GL28" s="1641">
        <f t="shared" si="85"/>
        <v>623.5</v>
      </c>
      <c r="GM28" s="1642">
        <f>IF(ABS(GK28-GL28)&gt;='Job Info.'!$L$22,ABS(GK28-GL28),0)</f>
        <v>0</v>
      </c>
      <c r="GZ28" s="144"/>
      <c r="HA28" s="1242" t="s">
        <v>1427</v>
      </c>
      <c r="HB28" s="1243">
        <v>2</v>
      </c>
      <c r="HC28" s="1243" t="s">
        <v>1722</v>
      </c>
      <c r="HD28" s="1244">
        <v>52</v>
      </c>
      <c r="HE28" s="1245">
        <v>0</v>
      </c>
      <c r="HF28" s="1243">
        <v>6</v>
      </c>
      <c r="HG28" s="1243"/>
      <c r="HH28" s="1243"/>
      <c r="HI28" s="1243"/>
      <c r="HJ28" s="1243"/>
      <c r="HK28" s="1243"/>
      <c r="HL28" s="1243"/>
      <c r="HM28" s="1243"/>
      <c r="HN28" s="1243"/>
      <c r="HO28" s="1243"/>
      <c r="HP28" s="1243">
        <v>6</v>
      </c>
      <c r="HQ28" s="1243"/>
      <c r="HR28" s="1243"/>
      <c r="HS28" s="1243"/>
      <c r="HT28" s="1243"/>
      <c r="HU28" s="1243"/>
      <c r="HV28" s="1243"/>
      <c r="HW28" s="1243"/>
      <c r="HX28" s="1243"/>
      <c r="HY28" s="1247"/>
      <c r="HZ28" s="1247"/>
      <c r="IA28" s="1247">
        <v>9</v>
      </c>
      <c r="IB28" s="1247"/>
      <c r="IC28" s="1247"/>
      <c r="ID28" s="1262">
        <v>11.125</v>
      </c>
      <c r="IE28" s="1242" t="s">
        <v>1427</v>
      </c>
      <c r="IF28" s="1243" t="s">
        <v>35</v>
      </c>
      <c r="IG28" s="1244">
        <v>4</v>
      </c>
      <c r="IH28" s="1245">
        <v>0</v>
      </c>
      <c r="II28" s="1243">
        <v>5</v>
      </c>
      <c r="IJ28" s="1244">
        <v>8</v>
      </c>
      <c r="IK28" s="1245">
        <v>0</v>
      </c>
      <c r="IL28" s="1243"/>
      <c r="IM28" s="1243"/>
      <c r="IN28" s="1243">
        <v>5</v>
      </c>
      <c r="IO28" s="1243">
        <v>13</v>
      </c>
      <c r="IP28" s="1243">
        <v>4</v>
      </c>
      <c r="IQ28" s="1243"/>
      <c r="IR28" s="1243">
        <v>2</v>
      </c>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5"/>
        <v>1</v>
      </c>
    </row>
    <row r="29" spans="1:272" ht="12.6" customHeight="1" x14ac:dyDescent="0.25">
      <c r="A29" s="2683" t="str">
        <f t="shared" si="0"/>
        <v>G32</v>
      </c>
      <c r="B29" s="2684">
        <f t="shared" si="0"/>
        <v>2</v>
      </c>
      <c r="C29" s="2685" t="s">
        <v>1722</v>
      </c>
      <c r="D29" s="2686">
        <f t="shared" si="1"/>
        <v>51</v>
      </c>
      <c r="E29" s="2687">
        <f t="shared" si="2"/>
        <v>11.5</v>
      </c>
      <c r="F29" s="2688">
        <f t="shared" si="3"/>
        <v>11.125</v>
      </c>
      <c r="G29" s="2689">
        <f t="shared" si="4"/>
        <v>0</v>
      </c>
      <c r="H29" s="2690">
        <f t="shared" si="5"/>
        <v>1.75</v>
      </c>
      <c r="I29" s="2691" t="str">
        <f t="shared" si="6"/>
        <v>R</v>
      </c>
      <c r="J29" s="2686">
        <f t="shared" si="7"/>
        <v>0</v>
      </c>
      <c r="K29" s="2690">
        <f t="shared" si="8"/>
        <v>1.75</v>
      </c>
      <c r="L29" s="2692" t="str">
        <f t="shared" si="9"/>
        <v>R</v>
      </c>
      <c r="M29" s="2693">
        <f t="shared" si="10"/>
        <v>7.5</v>
      </c>
      <c r="N29" s="2694">
        <f t="shared" si="10"/>
        <v>7.5</v>
      </c>
      <c r="O29" s="2689">
        <f t="shared" si="11"/>
        <v>0</v>
      </c>
      <c r="P29" s="2690">
        <f t="shared" si="12"/>
        <v>6.75</v>
      </c>
      <c r="Q29" s="2686">
        <f t="shared" si="13"/>
        <v>0</v>
      </c>
      <c r="R29" s="2687">
        <f t="shared" si="14"/>
        <v>6.75</v>
      </c>
      <c r="S29" s="2695">
        <f t="shared" si="15"/>
        <v>0</v>
      </c>
      <c r="T29" s="2690">
        <f t="shared" si="16"/>
        <v>6.25</v>
      </c>
      <c r="U29" s="2686">
        <f t="shared" si="17"/>
        <v>0</v>
      </c>
      <c r="V29" s="2690">
        <f t="shared" si="18"/>
        <v>6.25</v>
      </c>
      <c r="W29" s="2694">
        <f t="shared" si="19"/>
        <v>5</v>
      </c>
      <c r="X29" s="2696" t="str">
        <f t="shared" si="20"/>
        <v/>
      </c>
      <c r="Y29" s="2697" t="str">
        <f t="shared" si="21"/>
        <v/>
      </c>
      <c r="Z29" s="2698" t="s">
        <v>1895</v>
      </c>
      <c r="AA29" s="2758" t="str">
        <f t="shared" si="22"/>
        <v/>
      </c>
      <c r="AB29" s="2683" t="str">
        <f t="shared" si="23"/>
        <v>G32</v>
      </c>
      <c r="AC29" s="2691" t="str">
        <f t="shared" si="24"/>
        <v>B</v>
      </c>
      <c r="AD29" s="2686">
        <f t="shared" ca="1" si="25"/>
        <v>7</v>
      </c>
      <c r="AE29" s="2690">
        <f t="shared" ca="1" si="26"/>
        <v>10</v>
      </c>
      <c r="AF29" s="2691">
        <f t="shared" ca="1" si="27"/>
        <v>5</v>
      </c>
      <c r="AG29" s="2686">
        <f t="shared" ca="1" si="28"/>
        <v>8</v>
      </c>
      <c r="AH29" s="2690">
        <f t="shared" ca="1" si="29"/>
        <v>0</v>
      </c>
      <c r="AI29" s="2686">
        <f t="shared" ca="1" si="30"/>
        <v>3</v>
      </c>
      <c r="AJ29" s="2690">
        <f t="shared" ca="1" si="31"/>
        <v>10</v>
      </c>
      <c r="AK29" s="2732" t="str">
        <f t="shared" si="32"/>
        <v/>
      </c>
      <c r="AL29" s="2733" t="str">
        <f t="shared" si="33"/>
        <v/>
      </c>
      <c r="AM29" s="2734">
        <f t="shared" si="32"/>
        <v>5</v>
      </c>
      <c r="AN29" s="2691">
        <f t="shared" si="32"/>
        <v>13</v>
      </c>
      <c r="AO29" s="2694">
        <f t="shared" si="32"/>
        <v>4</v>
      </c>
      <c r="AP29" s="2693">
        <f t="shared" si="34"/>
        <v>1.75</v>
      </c>
      <c r="AQ29" s="2736" t="str">
        <f t="shared" si="34"/>
        <v/>
      </c>
      <c r="AR29" s="2689" t="str">
        <f t="shared" si="35"/>
        <v>P</v>
      </c>
      <c r="AS29" s="2690" t="str">
        <f t="shared" si="36"/>
        <v>#6</v>
      </c>
      <c r="AT29" s="2737" t="str">
        <f t="shared" si="37"/>
        <v/>
      </c>
      <c r="AU29" s="2738" t="str">
        <f t="shared" si="38"/>
        <v>B</v>
      </c>
      <c r="AV29" s="2695">
        <f t="shared" si="39"/>
        <v>1</v>
      </c>
      <c r="AW29" s="2690">
        <f t="shared" si="40"/>
        <v>0</v>
      </c>
      <c r="AX29" s="2737" t="str">
        <f t="shared" si="41"/>
        <v/>
      </c>
      <c r="AY29" s="2738" t="str">
        <f t="shared" si="42"/>
        <v>B</v>
      </c>
      <c r="AZ29" s="2695" t="str">
        <f t="shared" si="43"/>
        <v/>
      </c>
      <c r="BA29" s="2690" t="str">
        <f t="shared" si="44"/>
        <v/>
      </c>
      <c r="BB29" s="2737" t="str">
        <f t="shared" si="45"/>
        <v/>
      </c>
      <c r="BC29" s="2738" t="str">
        <f t="shared" si="46"/>
        <v/>
      </c>
      <c r="BD29" s="2695" t="str">
        <f t="shared" si="47"/>
        <v/>
      </c>
      <c r="BE29" s="2690" t="str">
        <f t="shared" si="48"/>
        <v/>
      </c>
      <c r="BF29" s="2737" t="str">
        <f t="shared" si="49"/>
        <v/>
      </c>
      <c r="BG29" s="2738" t="str">
        <f t="shared" si="50"/>
        <v/>
      </c>
      <c r="BH29" s="1417"/>
      <c r="BJ29" s="995" t="str">
        <f t="shared" si="93"/>
        <v>G32</v>
      </c>
      <c r="BK29" s="993" t="b">
        <f t="shared" si="51"/>
        <v>0</v>
      </c>
      <c r="BL29" s="1784" t="b">
        <v>0</v>
      </c>
      <c r="BM29" s="989">
        <f t="shared" si="52"/>
        <v>52</v>
      </c>
      <c r="BN29" s="989" t="str">
        <f t="shared" si="53"/>
        <v>G</v>
      </c>
      <c r="BO29" s="989">
        <f t="shared" si="54"/>
        <v>7</v>
      </c>
      <c r="BP29" s="989" t="str">
        <f t="shared" si="55"/>
        <v>11/5</v>
      </c>
      <c r="BQ29" s="989">
        <f t="shared" si="56"/>
        <v>2.4</v>
      </c>
      <c r="BR29" s="989" t="b">
        <f t="shared" si="57"/>
        <v>1</v>
      </c>
      <c r="BS29" s="1303">
        <f t="shared" si="58"/>
        <v>7.75</v>
      </c>
      <c r="BT29" s="990" t="str">
        <f t="shared" si="59"/>
        <v>Yes</v>
      </c>
      <c r="BU29" s="1303">
        <f t="shared" si="60"/>
        <v>7.75</v>
      </c>
      <c r="BV29" s="990" t="str">
        <f t="shared" si="61"/>
        <v>Yes</v>
      </c>
      <c r="BW29" s="991">
        <f t="shared" ca="1" si="62"/>
        <v>19</v>
      </c>
      <c r="BX29" s="991" t="str">
        <f t="shared" ca="1" si="63"/>
        <v>G32</v>
      </c>
      <c r="BY29" s="991" t="b">
        <f t="shared" ca="1" si="64"/>
        <v>0</v>
      </c>
      <c r="BZ29" s="991" t="b">
        <f t="shared" si="86"/>
        <v>0</v>
      </c>
      <c r="CB29" s="672" t="s">
        <v>1428</v>
      </c>
      <c r="CC29" s="1685">
        <v>2</v>
      </c>
      <c r="CD29" s="699" t="s">
        <v>1722</v>
      </c>
      <c r="CE29" s="700">
        <v>52</v>
      </c>
      <c r="CF29" s="701">
        <v>0</v>
      </c>
      <c r="CG29" s="672">
        <v>6</v>
      </c>
      <c r="CH29" s="713"/>
      <c r="CI29" s="714"/>
      <c r="CJ29" s="713"/>
      <c r="CK29" s="714"/>
      <c r="CL29" s="715"/>
      <c r="CM29" s="743"/>
      <c r="CN29" s="738"/>
      <c r="CO29" s="1552"/>
      <c r="CP29" s="910"/>
      <c r="CQ29" s="672">
        <v>6</v>
      </c>
      <c r="CR29" s="713"/>
      <c r="CS29" s="714"/>
      <c r="CT29" s="713"/>
      <c r="CU29" s="714"/>
      <c r="CV29" s="715"/>
      <c r="CW29" s="743"/>
      <c r="CX29" s="738"/>
      <c r="CY29" s="1552"/>
      <c r="CZ29" s="910"/>
      <c r="DA29" s="717"/>
      <c r="DB29" s="702">
        <v>9</v>
      </c>
      <c r="DC29" s="703"/>
      <c r="DD29" s="725"/>
      <c r="DE29" s="726">
        <v>11.125</v>
      </c>
      <c r="DF29" s="141"/>
      <c r="DG29" s="141"/>
      <c r="DH29" s="672" t="s">
        <v>1428</v>
      </c>
      <c r="DI29" s="673" t="s">
        <v>35</v>
      </c>
      <c r="DJ29" s="692">
        <v>8</v>
      </c>
      <c r="DK29" s="1332">
        <v>0</v>
      </c>
      <c r="DL29" s="674">
        <v>5</v>
      </c>
      <c r="DM29" s="693">
        <v>8</v>
      </c>
      <c r="DN29" s="1335">
        <v>0</v>
      </c>
      <c r="DO29" s="675"/>
      <c r="DP29" s="676"/>
      <c r="DQ29" s="1420">
        <v>5</v>
      </c>
      <c r="DR29" s="677">
        <v>13</v>
      </c>
      <c r="DS29" s="1420">
        <v>4</v>
      </c>
      <c r="DT29" s="1422">
        <v>2</v>
      </c>
      <c r="DU29" s="1423"/>
      <c r="DV29" s="678" t="s">
        <v>1018</v>
      </c>
      <c r="DW29" s="1337" t="s">
        <v>1706</v>
      </c>
      <c r="DX29" s="679"/>
      <c r="DY29" s="674" t="s">
        <v>35</v>
      </c>
      <c r="DZ29" s="2661">
        <v>1</v>
      </c>
      <c r="EA29" s="2664">
        <v>0.25</v>
      </c>
      <c r="EB29" s="679"/>
      <c r="EC29" s="2665" t="s">
        <v>35</v>
      </c>
      <c r="ED29" s="678"/>
      <c r="EE29" s="1337"/>
      <c r="EF29" s="679"/>
      <c r="EG29" s="674"/>
      <c r="EH29" s="678"/>
      <c r="EI29" s="1337"/>
      <c r="EJ29" s="679"/>
      <c r="EK29" s="680"/>
      <c r="EL29" s="241"/>
      <c r="EM29" s="1632" t="str">
        <f t="shared" si="65"/>
        <v>G32</v>
      </c>
      <c r="EN29" s="1429" t="str">
        <f t="shared" si="66"/>
        <v/>
      </c>
      <c r="EO29" s="1430" t="str">
        <f t="shared" si="67"/>
        <v/>
      </c>
      <c r="EP29" s="1431" t="str">
        <f t="shared" si="68"/>
        <v/>
      </c>
      <c r="EQ29" s="1435" t="str">
        <f t="shared" si="69"/>
        <v/>
      </c>
      <c r="ER29" s="1441" t="str">
        <f t="shared" si="70"/>
        <v/>
      </c>
      <c r="ES29" s="1442" t="str">
        <f t="shared" si="71"/>
        <v/>
      </c>
      <c r="ET29" s="1443" t="str">
        <f t="shared" si="72"/>
        <v/>
      </c>
      <c r="EU29" s="1444" t="str">
        <f t="shared" si="87"/>
        <v/>
      </c>
      <c r="EX29" s="503" t="str">
        <f t="shared" ca="1" si="88"/>
        <v>G32B</v>
      </c>
      <c r="EY29" s="940" t="b">
        <f t="shared" ca="1" si="73"/>
        <v>1</v>
      </c>
      <c r="EZ29" s="940">
        <f t="shared" ca="1" si="89"/>
        <v>5</v>
      </c>
      <c r="FA29" s="958" t="b">
        <f t="shared" ca="1" si="94"/>
        <v>1</v>
      </c>
      <c r="FB29" s="134">
        <f t="shared" ca="1" si="90"/>
        <v>620</v>
      </c>
      <c r="FC29" s="134">
        <f t="shared" ca="1" si="74"/>
        <v>94</v>
      </c>
      <c r="FD29" s="134">
        <f t="shared" ca="1" si="75"/>
        <v>480</v>
      </c>
      <c r="FE29" s="134">
        <f t="shared" ca="1" si="76"/>
        <v>46</v>
      </c>
      <c r="FF29" s="134">
        <f t="shared" ca="1" si="91"/>
        <v>620</v>
      </c>
      <c r="FN29" s="754" t="b">
        <v>0</v>
      </c>
      <c r="FO29" s="754" t="b">
        <f t="shared" si="77"/>
        <v>1</v>
      </c>
      <c r="FP29" s="754" t="b">
        <v>0</v>
      </c>
      <c r="FQ29" s="754" t="b">
        <f t="shared" si="92"/>
        <v>1</v>
      </c>
      <c r="FW29" s="2"/>
      <c r="FX29" s="2"/>
      <c r="FZ29" s="2"/>
      <c r="GA29" s="581">
        <f t="shared" si="78"/>
        <v>52</v>
      </c>
      <c r="GB29" s="623">
        <f t="shared" si="79"/>
        <v>0</v>
      </c>
      <c r="GC29" s="625">
        <f t="shared" si="80"/>
        <v>-0.25</v>
      </c>
      <c r="GD29" s="626">
        <f t="shared" si="81"/>
        <v>-0.25</v>
      </c>
      <c r="GE29" s="624">
        <f t="shared" si="82"/>
        <v>0</v>
      </c>
      <c r="GF29" s="582" t="str">
        <f t="shared" si="83"/>
        <v>G32</v>
      </c>
      <c r="GG29" s="692">
        <v>0</v>
      </c>
      <c r="GH29" s="1136">
        <v>0</v>
      </c>
      <c r="GI29" s="692"/>
      <c r="GJ29" s="1136"/>
      <c r="GK29" s="1641">
        <f t="shared" si="84"/>
        <v>623.5</v>
      </c>
      <c r="GL29" s="1641">
        <f t="shared" si="85"/>
        <v>623.5</v>
      </c>
      <c r="GM29" s="1642">
        <f>IF(ABS(GK29-GL29)&gt;='Job Info.'!$L$22,ABS(GK29-GL29),0)</f>
        <v>0</v>
      </c>
      <c r="HA29" s="1242" t="s">
        <v>1428</v>
      </c>
      <c r="HB29" s="1243">
        <v>2</v>
      </c>
      <c r="HC29" s="1243" t="s">
        <v>1722</v>
      </c>
      <c r="HD29" s="1244">
        <v>52</v>
      </c>
      <c r="HE29" s="1245">
        <v>0</v>
      </c>
      <c r="HF29" s="1243">
        <v>6</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9</v>
      </c>
      <c r="IB29" s="1247"/>
      <c r="IC29" s="1247"/>
      <c r="ID29" s="1262">
        <v>11.125</v>
      </c>
      <c r="IE29" s="1242" t="s">
        <v>1428</v>
      </c>
      <c r="IF29" s="1243" t="s">
        <v>35</v>
      </c>
      <c r="IG29" s="1244">
        <v>8</v>
      </c>
      <c r="IH29" s="1245">
        <v>0</v>
      </c>
      <c r="II29" s="1243">
        <v>5</v>
      </c>
      <c r="IJ29" s="1244">
        <v>8</v>
      </c>
      <c r="IK29" s="1245">
        <v>0</v>
      </c>
      <c r="IL29" s="1243"/>
      <c r="IM29" s="1243"/>
      <c r="IN29" s="1243">
        <v>5</v>
      </c>
      <c r="IO29" s="1243">
        <v>13</v>
      </c>
      <c r="IP29" s="1243">
        <v>4</v>
      </c>
      <c r="IQ29" s="1243">
        <v>2</v>
      </c>
      <c r="IR29" s="1243"/>
      <c r="IS29" s="1244" t="s">
        <v>1018</v>
      </c>
      <c r="IT29" s="1245" t="s">
        <v>1706</v>
      </c>
      <c r="IU29" s="1243"/>
      <c r="IV29" s="1243" t="s">
        <v>35</v>
      </c>
      <c r="IW29" s="1244"/>
      <c r="IX29" s="1245"/>
      <c r="IY29" s="1243"/>
      <c r="IZ29" s="1243"/>
      <c r="JA29" s="1244"/>
      <c r="JB29" s="1245"/>
      <c r="JC29" s="1243"/>
      <c r="JD29" s="1243"/>
      <c r="JE29" s="1244"/>
      <c r="JF29" s="1245"/>
      <c r="JG29" s="1243"/>
      <c r="JH29" s="1243"/>
      <c r="JI29" s="1243"/>
      <c r="JJ29" s="1246"/>
      <c r="JK29" s="1243">
        <v>1</v>
      </c>
      <c r="JL29" s="1172">
        <f t="shared" ca="1" si="95"/>
        <v>1</v>
      </c>
    </row>
    <row r="30" spans="1:272" s="145" customFormat="1" ht="12.6" customHeight="1" x14ac:dyDescent="0.25">
      <c r="A30" s="2683" t="str">
        <f t="shared" si="0"/>
        <v>G33</v>
      </c>
      <c r="B30" s="2684">
        <f t="shared" si="0"/>
        <v>1</v>
      </c>
      <c r="C30" s="2685" t="s">
        <v>1722</v>
      </c>
      <c r="D30" s="2686">
        <f t="shared" si="1"/>
        <v>51</v>
      </c>
      <c r="E30" s="2687">
        <f t="shared" si="2"/>
        <v>6.25</v>
      </c>
      <c r="F30" s="2688">
        <f t="shared" si="3"/>
        <v>11.125</v>
      </c>
      <c r="G30" s="2689">
        <f t="shared" si="4"/>
        <v>0</v>
      </c>
      <c r="H30" s="2690">
        <f t="shared" si="5"/>
        <v>1.75</v>
      </c>
      <c r="I30" s="2691" t="str">
        <f t="shared" si="6"/>
        <v>R</v>
      </c>
      <c r="J30" s="2686" t="str">
        <f t="shared" si="7"/>
        <v/>
      </c>
      <c r="K30" s="2690" t="str">
        <f t="shared" si="8"/>
        <v/>
      </c>
      <c r="L30" s="2692" t="str">
        <f t="shared" si="9"/>
        <v/>
      </c>
      <c r="M30" s="2693">
        <f t="shared" si="10"/>
        <v>7.5</v>
      </c>
      <c r="N30" s="2694">
        <f t="shared" si="10"/>
        <v>7.5</v>
      </c>
      <c r="O30" s="2689">
        <f t="shared" si="11"/>
        <v>0</v>
      </c>
      <c r="P30" s="2690">
        <f t="shared" si="12"/>
        <v>6.75</v>
      </c>
      <c r="Q30" s="2686">
        <f t="shared" si="13"/>
        <v>0</v>
      </c>
      <c r="R30" s="2687">
        <f t="shared" si="14"/>
        <v>1.5</v>
      </c>
      <c r="S30" s="2695">
        <f t="shared" si="15"/>
        <v>0</v>
      </c>
      <c r="T30" s="2690">
        <f t="shared" si="16"/>
        <v>6.25</v>
      </c>
      <c r="U30" s="2686">
        <f t="shared" si="17"/>
        <v>0</v>
      </c>
      <c r="V30" s="2690">
        <f t="shared" si="18"/>
        <v>3</v>
      </c>
      <c r="W30" s="2694">
        <f t="shared" si="19"/>
        <v>5</v>
      </c>
      <c r="X30" s="2696" t="str">
        <f t="shared" si="20"/>
        <v/>
      </c>
      <c r="Y30" s="2697" t="str">
        <f t="shared" si="21"/>
        <v/>
      </c>
      <c r="Z30" s="2698" t="s">
        <v>1896</v>
      </c>
      <c r="AA30" s="2758" t="str">
        <f t="shared" si="22"/>
        <v/>
      </c>
      <c r="AB30" s="2683" t="str">
        <f t="shared" si="23"/>
        <v>G33</v>
      </c>
      <c r="AC30" s="2691" t="str">
        <f t="shared" si="24"/>
        <v>B</v>
      </c>
      <c r="AD30" s="2686">
        <f t="shared" ca="1" si="25"/>
        <v>7</v>
      </c>
      <c r="AE30" s="2690">
        <f t="shared" ca="1" si="26"/>
        <v>10</v>
      </c>
      <c r="AF30" s="2691">
        <f t="shared" ca="1" si="27"/>
        <v>5</v>
      </c>
      <c r="AG30" s="2686">
        <f t="shared" ca="1" si="28"/>
        <v>8</v>
      </c>
      <c r="AH30" s="2690">
        <f t="shared" ca="1" si="29"/>
        <v>0</v>
      </c>
      <c r="AI30" s="2686">
        <f t="shared" ca="1" si="30"/>
        <v>3</v>
      </c>
      <c r="AJ30" s="2690">
        <f t="shared" ca="1" si="31"/>
        <v>6.5</v>
      </c>
      <c r="AK30" s="2732" t="str">
        <f t="shared" si="32"/>
        <v/>
      </c>
      <c r="AL30" s="2733" t="str">
        <f t="shared" si="33"/>
        <v/>
      </c>
      <c r="AM30" s="2734">
        <f t="shared" si="32"/>
        <v>5</v>
      </c>
      <c r="AN30" s="2691">
        <f t="shared" si="32"/>
        <v>13</v>
      </c>
      <c r="AO30" s="2694">
        <f t="shared" si="32"/>
        <v>4</v>
      </c>
      <c r="AP30" s="2693">
        <f t="shared" si="34"/>
        <v>1.75</v>
      </c>
      <c r="AQ30" s="2736" t="str">
        <f t="shared" si="34"/>
        <v/>
      </c>
      <c r="AR30" s="2689">
        <f t="shared" si="35"/>
        <v>1</v>
      </c>
      <c r="AS30" s="2690">
        <f t="shared" si="36"/>
        <v>0</v>
      </c>
      <c r="AT30" s="2737" t="str">
        <f t="shared" si="37"/>
        <v/>
      </c>
      <c r="AU30" s="2738" t="str">
        <f t="shared" si="38"/>
        <v>B</v>
      </c>
      <c r="AV30" s="2695" t="str">
        <f t="shared" si="39"/>
        <v/>
      </c>
      <c r="AW30" s="2690" t="str">
        <f t="shared" si="40"/>
        <v/>
      </c>
      <c r="AX30" s="2737" t="str">
        <f t="shared" si="41"/>
        <v/>
      </c>
      <c r="AY30" s="2738" t="str">
        <f t="shared" si="42"/>
        <v/>
      </c>
      <c r="AZ30" s="2695" t="str">
        <f t="shared" si="43"/>
        <v/>
      </c>
      <c r="BA30" s="2690" t="str">
        <f t="shared" si="44"/>
        <v/>
      </c>
      <c r="BB30" s="2737" t="str">
        <f t="shared" si="45"/>
        <v/>
      </c>
      <c r="BC30" s="2738" t="str">
        <f t="shared" si="46"/>
        <v/>
      </c>
      <c r="BD30" s="2695" t="str">
        <f t="shared" si="47"/>
        <v/>
      </c>
      <c r="BE30" s="2690" t="str">
        <f t="shared" si="48"/>
        <v/>
      </c>
      <c r="BF30" s="2737" t="str">
        <f t="shared" si="49"/>
        <v/>
      </c>
      <c r="BG30" s="2738" t="str">
        <f t="shared" si="50"/>
        <v/>
      </c>
      <c r="BH30" s="1417"/>
      <c r="BJ30" s="995" t="str">
        <f t="shared" si="93"/>
        <v>G33</v>
      </c>
      <c r="BK30" s="993" t="b">
        <f t="shared" si="51"/>
        <v>0</v>
      </c>
      <c r="BL30" s="1784" t="b">
        <v>0</v>
      </c>
      <c r="BM30" s="989">
        <f t="shared" si="52"/>
        <v>52</v>
      </c>
      <c r="BN30" s="989" t="str">
        <f t="shared" si="53"/>
        <v>G</v>
      </c>
      <c r="BO30" s="989">
        <f t="shared" si="54"/>
        <v>7</v>
      </c>
      <c r="BP30" s="989" t="str">
        <f t="shared" si="55"/>
        <v>11/5</v>
      </c>
      <c r="BQ30" s="989">
        <f t="shared" si="56"/>
        <v>2.4</v>
      </c>
      <c r="BR30" s="989" t="b">
        <f t="shared" si="57"/>
        <v>1</v>
      </c>
      <c r="BS30" s="1303">
        <f t="shared" si="58"/>
        <v>7.75</v>
      </c>
      <c r="BT30" s="990" t="str">
        <f t="shared" si="59"/>
        <v>Yes</v>
      </c>
      <c r="BU30" s="1303">
        <f t="shared" si="60"/>
        <v>6</v>
      </c>
      <c r="BV30" s="990" t="str">
        <f t="shared" si="61"/>
        <v>Yes</v>
      </c>
      <c r="BW30" s="991">
        <f t="shared" ca="1" si="62"/>
        <v>16</v>
      </c>
      <c r="BX30" s="991" t="str">
        <f t="shared" ca="1" si="63"/>
        <v>G33</v>
      </c>
      <c r="BY30" s="991" t="b">
        <f t="shared" ca="1" si="64"/>
        <v>0</v>
      </c>
      <c r="BZ30" s="991" t="b">
        <f t="shared" si="86"/>
        <v>0</v>
      </c>
      <c r="CB30" s="672" t="s">
        <v>1429</v>
      </c>
      <c r="CC30" s="1685">
        <v>1</v>
      </c>
      <c r="CD30" s="699" t="s">
        <v>1722</v>
      </c>
      <c r="CE30" s="700">
        <v>52</v>
      </c>
      <c r="CF30" s="701">
        <v>0</v>
      </c>
      <c r="CG30" s="672">
        <v>6</v>
      </c>
      <c r="CH30" s="713"/>
      <c r="CI30" s="714"/>
      <c r="CJ30" s="713"/>
      <c r="CK30" s="714"/>
      <c r="CL30" s="715"/>
      <c r="CM30" s="743"/>
      <c r="CN30" s="738"/>
      <c r="CO30" s="1552"/>
      <c r="CP30" s="910"/>
      <c r="CQ30" s="672">
        <v>17</v>
      </c>
      <c r="CR30" s="713"/>
      <c r="CS30" s="714"/>
      <c r="CT30" s="713"/>
      <c r="CU30" s="714"/>
      <c r="CV30" s="715"/>
      <c r="CW30" s="743"/>
      <c r="CX30" s="738"/>
      <c r="CY30" s="1552"/>
      <c r="CZ30" s="910"/>
      <c r="DA30" s="717"/>
      <c r="DB30" s="702" t="s">
        <v>1725</v>
      </c>
      <c r="DC30" s="703" t="s">
        <v>1726</v>
      </c>
      <c r="DD30" s="725"/>
      <c r="DE30" s="726">
        <v>11.125</v>
      </c>
      <c r="DF30" s="141"/>
      <c r="DG30" s="141"/>
      <c r="DH30" s="672" t="s">
        <v>1429</v>
      </c>
      <c r="DI30" s="673" t="s">
        <v>35</v>
      </c>
      <c r="DJ30" s="692">
        <v>8</v>
      </c>
      <c r="DK30" s="1332">
        <v>0</v>
      </c>
      <c r="DL30" s="674">
        <v>5</v>
      </c>
      <c r="DM30" s="693">
        <v>8</v>
      </c>
      <c r="DN30" s="1335">
        <v>0</v>
      </c>
      <c r="DO30" s="675"/>
      <c r="DP30" s="676"/>
      <c r="DQ30" s="1420">
        <v>5</v>
      </c>
      <c r="DR30" s="677">
        <v>13</v>
      </c>
      <c r="DS30" s="1420">
        <v>4</v>
      </c>
      <c r="DT30" s="1422">
        <v>2</v>
      </c>
      <c r="DU30" s="1423"/>
      <c r="DV30" s="2661">
        <v>1</v>
      </c>
      <c r="DW30" s="2664">
        <v>0.25</v>
      </c>
      <c r="DX30" s="679"/>
      <c r="DY30" s="2665" t="s">
        <v>35</v>
      </c>
      <c r="DZ30" s="678"/>
      <c r="EA30" s="1337"/>
      <c r="EB30" s="679"/>
      <c r="EC30" s="674"/>
      <c r="ED30" s="678"/>
      <c r="EE30" s="1337"/>
      <c r="EF30" s="679"/>
      <c r="EG30" s="674"/>
      <c r="EH30" s="678"/>
      <c r="EI30" s="1337"/>
      <c r="EJ30" s="679"/>
      <c r="EK30" s="680"/>
      <c r="EL30" s="241"/>
      <c r="EM30" s="1632" t="str">
        <f t="shared" si="65"/>
        <v>G33</v>
      </c>
      <c r="EN30" s="1429" t="str">
        <f t="shared" si="66"/>
        <v/>
      </c>
      <c r="EO30" s="1430" t="str">
        <f t="shared" si="67"/>
        <v/>
      </c>
      <c r="EP30" s="1431" t="str">
        <f t="shared" si="68"/>
        <v/>
      </c>
      <c r="EQ30" s="1435" t="str">
        <f t="shared" si="69"/>
        <v/>
      </c>
      <c r="ER30" s="1441" t="str">
        <f t="shared" si="70"/>
        <v/>
      </c>
      <c r="ES30" s="1442" t="str">
        <f t="shared" si="71"/>
        <v/>
      </c>
      <c r="ET30" s="1443" t="str">
        <f t="shared" si="72"/>
        <v/>
      </c>
      <c r="EU30" s="1444" t="str">
        <f t="shared" si="87"/>
        <v/>
      </c>
      <c r="EX30" s="503" t="str">
        <f t="shared" ca="1" si="88"/>
        <v>G33B</v>
      </c>
      <c r="EY30" s="940" t="b">
        <f t="shared" ca="1" si="73"/>
        <v>1</v>
      </c>
      <c r="EZ30" s="940">
        <f t="shared" ca="1" si="89"/>
        <v>5</v>
      </c>
      <c r="FA30" s="958" t="b">
        <f t="shared" ca="1" si="94"/>
        <v>1</v>
      </c>
      <c r="FB30" s="134">
        <f t="shared" ca="1" si="90"/>
        <v>616.5</v>
      </c>
      <c r="FC30" s="134">
        <f t="shared" ca="1" si="74"/>
        <v>94</v>
      </c>
      <c r="FD30" s="134">
        <f t="shared" ca="1" si="75"/>
        <v>480</v>
      </c>
      <c r="FE30" s="134">
        <f t="shared" ca="1" si="76"/>
        <v>42.5</v>
      </c>
      <c r="FF30" s="134">
        <f t="shared" ca="1" si="91"/>
        <v>616.5</v>
      </c>
      <c r="FN30" s="754" t="b">
        <v>0</v>
      </c>
      <c r="FO30" s="755" t="b">
        <f t="shared" si="77"/>
        <v>1</v>
      </c>
      <c r="FP30" s="755" t="b">
        <v>0</v>
      </c>
      <c r="FQ30" s="755" t="b">
        <f t="shared" si="92"/>
        <v>1</v>
      </c>
      <c r="FW30" s="2"/>
      <c r="FX30" s="2"/>
      <c r="FZ30" s="2"/>
      <c r="GA30" s="581">
        <f t="shared" si="78"/>
        <v>52</v>
      </c>
      <c r="GB30" s="623">
        <f t="shared" si="79"/>
        <v>0</v>
      </c>
      <c r="GC30" s="625">
        <f t="shared" si="80"/>
        <v>-0.25</v>
      </c>
      <c r="GD30" s="626">
        <f t="shared" si="81"/>
        <v>-5.5</v>
      </c>
      <c r="GE30" s="624">
        <f t="shared" si="82"/>
        <v>0</v>
      </c>
      <c r="GF30" s="582" t="str">
        <f t="shared" si="83"/>
        <v>G33</v>
      </c>
      <c r="GG30" s="692">
        <v>0</v>
      </c>
      <c r="GH30" s="1136">
        <v>0</v>
      </c>
      <c r="GI30" s="692"/>
      <c r="GJ30" s="1136"/>
      <c r="GK30" s="1641">
        <f t="shared" si="84"/>
        <v>618.25</v>
      </c>
      <c r="GL30" s="1641">
        <f t="shared" si="85"/>
        <v>618.25</v>
      </c>
      <c r="GM30" s="1642">
        <f>IF(ABS(GK30-GL30)&gt;='Job Info.'!$L$22,ABS(GK30-GL30),0)</f>
        <v>0</v>
      </c>
      <c r="GZ30" s="130"/>
      <c r="HA30" s="1242" t="s">
        <v>1429</v>
      </c>
      <c r="HB30" s="1243">
        <v>1</v>
      </c>
      <c r="HC30" s="1243" t="s">
        <v>1722</v>
      </c>
      <c r="HD30" s="1244">
        <v>52</v>
      </c>
      <c r="HE30" s="1245">
        <v>0</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7"/>
      <c r="HZ30" s="1247"/>
      <c r="IA30" s="1247" t="s">
        <v>1725</v>
      </c>
      <c r="IB30" s="1247" t="s">
        <v>1726</v>
      </c>
      <c r="IC30" s="1247"/>
      <c r="ID30" s="1262">
        <v>11.125</v>
      </c>
      <c r="IE30" s="1242" t="s">
        <v>1429</v>
      </c>
      <c r="IF30" s="1243" t="s">
        <v>35</v>
      </c>
      <c r="IG30" s="1244">
        <v>8</v>
      </c>
      <c r="IH30" s="1245">
        <v>0</v>
      </c>
      <c r="II30" s="1243">
        <v>5</v>
      </c>
      <c r="IJ30" s="1244">
        <v>8</v>
      </c>
      <c r="IK30" s="1245">
        <v>0</v>
      </c>
      <c r="IL30" s="1243"/>
      <c r="IM30" s="1243"/>
      <c r="IN30" s="1243">
        <v>5</v>
      </c>
      <c r="IO30" s="1243">
        <v>13</v>
      </c>
      <c r="IP30" s="1243">
        <v>4</v>
      </c>
      <c r="IQ30" s="1243">
        <v>2</v>
      </c>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5"/>
        <v>1</v>
      </c>
    </row>
    <row r="31" spans="1:272" s="145" customFormat="1" ht="12.6" customHeight="1" x14ac:dyDescent="0.25">
      <c r="A31" s="2683" t="str">
        <f t="shared" si="0"/>
        <v>G34</v>
      </c>
      <c r="B31" s="2684">
        <f t="shared" si="0"/>
        <v>1</v>
      </c>
      <c r="C31" s="2685" t="s">
        <v>1722</v>
      </c>
      <c r="D31" s="2686">
        <f t="shared" si="1"/>
        <v>51</v>
      </c>
      <c r="E31" s="2687">
        <f t="shared" si="2"/>
        <v>6.25</v>
      </c>
      <c r="F31" s="2688">
        <f t="shared" si="3"/>
        <v>11.125</v>
      </c>
      <c r="G31" s="2689">
        <f t="shared" si="4"/>
        <v>0</v>
      </c>
      <c r="H31" s="2690">
        <f t="shared" si="5"/>
        <v>1.75</v>
      </c>
      <c r="I31" s="2691" t="str">
        <f t="shared" si="6"/>
        <v>R</v>
      </c>
      <c r="J31" s="2686" t="str">
        <f t="shared" si="7"/>
        <v/>
      </c>
      <c r="K31" s="2690" t="str">
        <f t="shared" si="8"/>
        <v/>
      </c>
      <c r="L31" s="2692" t="str">
        <f t="shared" si="9"/>
        <v/>
      </c>
      <c r="M31" s="2693">
        <f t="shared" si="10"/>
        <v>7.5</v>
      </c>
      <c r="N31" s="2694">
        <f t="shared" si="10"/>
        <v>7.5</v>
      </c>
      <c r="O31" s="2689">
        <f t="shared" si="11"/>
        <v>0</v>
      </c>
      <c r="P31" s="2690">
        <f t="shared" si="12"/>
        <v>6.75</v>
      </c>
      <c r="Q31" s="2686">
        <f t="shared" si="13"/>
        <v>0</v>
      </c>
      <c r="R31" s="2687">
        <f t="shared" si="14"/>
        <v>1.5</v>
      </c>
      <c r="S31" s="2695">
        <f t="shared" si="15"/>
        <v>0</v>
      </c>
      <c r="T31" s="2690">
        <f t="shared" si="16"/>
        <v>6.25</v>
      </c>
      <c r="U31" s="2686">
        <f t="shared" si="17"/>
        <v>0</v>
      </c>
      <c r="V31" s="2690">
        <f t="shared" si="18"/>
        <v>3</v>
      </c>
      <c r="W31" s="2694">
        <f t="shared" si="19"/>
        <v>5</v>
      </c>
      <c r="X31" s="2696" t="str">
        <f t="shared" si="20"/>
        <v/>
      </c>
      <c r="Y31" s="2697" t="str">
        <f t="shared" si="21"/>
        <v/>
      </c>
      <c r="Z31" s="2698" t="s">
        <v>1897</v>
      </c>
      <c r="AA31" s="2758" t="str">
        <f t="shared" si="22"/>
        <v/>
      </c>
      <c r="AB31" s="2683" t="str">
        <f t="shared" si="23"/>
        <v>G34</v>
      </c>
      <c r="AC31" s="2691" t="str">
        <f t="shared" si="24"/>
        <v>B</v>
      </c>
      <c r="AD31" s="2686">
        <f t="shared" ca="1" si="25"/>
        <v>7</v>
      </c>
      <c r="AE31" s="2690">
        <f t="shared" ca="1" si="26"/>
        <v>10</v>
      </c>
      <c r="AF31" s="2691">
        <f t="shared" ca="1" si="27"/>
        <v>5</v>
      </c>
      <c r="AG31" s="2686">
        <f t="shared" ca="1" si="28"/>
        <v>8</v>
      </c>
      <c r="AH31" s="2690">
        <f t="shared" ca="1" si="29"/>
        <v>0</v>
      </c>
      <c r="AI31" s="2686">
        <f t="shared" ca="1" si="30"/>
        <v>3</v>
      </c>
      <c r="AJ31" s="2690">
        <f t="shared" ca="1" si="31"/>
        <v>6.5</v>
      </c>
      <c r="AK31" s="2732" t="str">
        <f t="shared" si="32"/>
        <v/>
      </c>
      <c r="AL31" s="2733" t="str">
        <f t="shared" si="33"/>
        <v/>
      </c>
      <c r="AM31" s="2734">
        <f t="shared" si="32"/>
        <v>5</v>
      </c>
      <c r="AN31" s="2691">
        <f t="shared" si="32"/>
        <v>13</v>
      </c>
      <c r="AO31" s="2694">
        <f t="shared" si="32"/>
        <v>4</v>
      </c>
      <c r="AP31" s="2693">
        <f t="shared" si="34"/>
        <v>1.75</v>
      </c>
      <c r="AQ31" s="2736" t="str">
        <f t="shared" si="34"/>
        <v/>
      </c>
      <c r="AR31" s="2689">
        <f t="shared" si="35"/>
        <v>1</v>
      </c>
      <c r="AS31" s="2690">
        <f t="shared" si="36"/>
        <v>0</v>
      </c>
      <c r="AT31" s="2737" t="str">
        <f t="shared" si="37"/>
        <v/>
      </c>
      <c r="AU31" s="2738" t="str">
        <f t="shared" si="38"/>
        <v>B</v>
      </c>
      <c r="AV31" s="2695" t="str">
        <f t="shared" si="39"/>
        <v/>
      </c>
      <c r="AW31" s="2690" t="str">
        <f t="shared" si="40"/>
        <v/>
      </c>
      <c r="AX31" s="2737" t="str">
        <f t="shared" si="41"/>
        <v/>
      </c>
      <c r="AY31" s="2738" t="str">
        <f t="shared" si="42"/>
        <v/>
      </c>
      <c r="AZ31" s="2695" t="str">
        <f t="shared" si="43"/>
        <v/>
      </c>
      <c r="BA31" s="2690" t="str">
        <f t="shared" si="44"/>
        <v/>
      </c>
      <c r="BB31" s="2737" t="str">
        <f t="shared" si="45"/>
        <v/>
      </c>
      <c r="BC31" s="2738" t="str">
        <f t="shared" si="46"/>
        <v/>
      </c>
      <c r="BD31" s="2695" t="str">
        <f t="shared" si="47"/>
        <v/>
      </c>
      <c r="BE31" s="2690" t="str">
        <f t="shared" si="48"/>
        <v/>
      </c>
      <c r="BF31" s="2737" t="str">
        <f t="shared" si="49"/>
        <v/>
      </c>
      <c r="BG31" s="2738" t="str">
        <f t="shared" si="50"/>
        <v/>
      </c>
      <c r="BH31" s="1417"/>
      <c r="BJ31" s="995" t="str">
        <f t="shared" si="93"/>
        <v>G34</v>
      </c>
      <c r="BK31" s="993" t="b">
        <f t="shared" si="51"/>
        <v>0</v>
      </c>
      <c r="BL31" s="1784" t="b">
        <v>0</v>
      </c>
      <c r="BM31" s="989">
        <f t="shared" si="52"/>
        <v>52</v>
      </c>
      <c r="BN31" s="989" t="str">
        <f t="shared" si="53"/>
        <v>G</v>
      </c>
      <c r="BO31" s="989">
        <f t="shared" si="54"/>
        <v>7</v>
      </c>
      <c r="BP31" s="989" t="str">
        <f t="shared" si="55"/>
        <v>11/5</v>
      </c>
      <c r="BQ31" s="989">
        <f t="shared" si="56"/>
        <v>2.4</v>
      </c>
      <c r="BR31" s="989" t="b">
        <f t="shared" si="57"/>
        <v>1</v>
      </c>
      <c r="BS31" s="1303">
        <f t="shared" si="58"/>
        <v>7.75</v>
      </c>
      <c r="BT31" s="990" t="str">
        <f t="shared" si="59"/>
        <v>Yes</v>
      </c>
      <c r="BU31" s="1303">
        <f t="shared" si="60"/>
        <v>6</v>
      </c>
      <c r="BV31" s="990" t="str">
        <f t="shared" si="61"/>
        <v>Yes</v>
      </c>
      <c r="BW31" s="991">
        <f t="shared" ca="1" si="62"/>
        <v>16</v>
      </c>
      <c r="BX31" s="991" t="str">
        <f t="shared" ca="1" si="63"/>
        <v>G34</v>
      </c>
      <c r="BY31" s="991" t="b">
        <f t="shared" ca="1" si="64"/>
        <v>0</v>
      </c>
      <c r="BZ31" s="991" t="b">
        <f t="shared" si="86"/>
        <v>0</v>
      </c>
      <c r="CB31" s="672" t="s">
        <v>1430</v>
      </c>
      <c r="CC31" s="1685">
        <v>1</v>
      </c>
      <c r="CD31" s="699" t="s">
        <v>1722</v>
      </c>
      <c r="CE31" s="700">
        <v>52</v>
      </c>
      <c r="CF31" s="701">
        <v>0</v>
      </c>
      <c r="CG31" s="672">
        <v>6</v>
      </c>
      <c r="CH31" s="713"/>
      <c r="CI31" s="714"/>
      <c r="CJ31" s="713"/>
      <c r="CK31" s="714"/>
      <c r="CL31" s="715"/>
      <c r="CM31" s="743"/>
      <c r="CN31" s="738"/>
      <c r="CO31" s="1552"/>
      <c r="CP31" s="910"/>
      <c r="CQ31" s="672">
        <v>17</v>
      </c>
      <c r="CR31" s="713"/>
      <c r="CS31" s="714"/>
      <c r="CT31" s="713"/>
      <c r="CU31" s="714"/>
      <c r="CV31" s="715"/>
      <c r="CW31" s="743"/>
      <c r="CX31" s="738"/>
      <c r="CY31" s="1552"/>
      <c r="CZ31" s="910"/>
      <c r="DA31" s="717"/>
      <c r="DB31" s="702" t="s">
        <v>1727</v>
      </c>
      <c r="DC31" s="703" t="s">
        <v>158</v>
      </c>
      <c r="DD31" s="725"/>
      <c r="DE31" s="726">
        <v>11.125</v>
      </c>
      <c r="DF31" s="141"/>
      <c r="DG31" s="141"/>
      <c r="DH31" s="672" t="s">
        <v>1430</v>
      </c>
      <c r="DI31" s="673" t="s">
        <v>35</v>
      </c>
      <c r="DJ31" s="692">
        <v>8</v>
      </c>
      <c r="DK31" s="1332">
        <v>0</v>
      </c>
      <c r="DL31" s="674">
        <v>5</v>
      </c>
      <c r="DM31" s="693">
        <v>8</v>
      </c>
      <c r="DN31" s="1335">
        <v>0</v>
      </c>
      <c r="DO31" s="675"/>
      <c r="DP31" s="676"/>
      <c r="DQ31" s="1420">
        <v>5</v>
      </c>
      <c r="DR31" s="677">
        <v>13</v>
      </c>
      <c r="DS31" s="1420">
        <v>4</v>
      </c>
      <c r="DT31" s="1422">
        <v>2</v>
      </c>
      <c r="DU31" s="1423"/>
      <c r="DV31" s="2661">
        <v>1</v>
      </c>
      <c r="DW31" s="2664">
        <v>0.25</v>
      </c>
      <c r="DX31" s="679"/>
      <c r="DY31" s="2665" t="s">
        <v>35</v>
      </c>
      <c r="DZ31" s="678"/>
      <c r="EA31" s="1337"/>
      <c r="EB31" s="679"/>
      <c r="EC31" s="674"/>
      <c r="ED31" s="678"/>
      <c r="EE31" s="1337"/>
      <c r="EF31" s="679"/>
      <c r="EG31" s="674"/>
      <c r="EH31" s="678"/>
      <c r="EI31" s="1337"/>
      <c r="EJ31" s="679"/>
      <c r="EK31" s="680"/>
      <c r="EL31" s="241"/>
      <c r="EM31" s="1632" t="str">
        <f t="shared" si="65"/>
        <v>G34</v>
      </c>
      <c r="EN31" s="1429" t="str">
        <f t="shared" si="66"/>
        <v/>
      </c>
      <c r="EO31" s="1430" t="str">
        <f t="shared" si="67"/>
        <v/>
      </c>
      <c r="EP31" s="1431" t="str">
        <f t="shared" si="68"/>
        <v/>
      </c>
      <c r="EQ31" s="1435" t="str">
        <f t="shared" si="69"/>
        <v/>
      </c>
      <c r="ER31" s="1441" t="str">
        <f t="shared" si="70"/>
        <v/>
      </c>
      <c r="ES31" s="1442" t="str">
        <f t="shared" si="71"/>
        <v/>
      </c>
      <c r="ET31" s="1443" t="str">
        <f t="shared" si="72"/>
        <v/>
      </c>
      <c r="EU31" s="1444" t="str">
        <f t="shared" si="87"/>
        <v/>
      </c>
      <c r="EX31" s="503" t="str">
        <f t="shared" ca="1" si="88"/>
        <v>G34B</v>
      </c>
      <c r="EY31" s="940" t="b">
        <f t="shared" ca="1" si="73"/>
        <v>1</v>
      </c>
      <c r="EZ31" s="940">
        <f t="shared" ca="1" si="89"/>
        <v>5</v>
      </c>
      <c r="FA31" s="958" t="b">
        <f t="shared" ca="1" si="94"/>
        <v>1</v>
      </c>
      <c r="FB31" s="134">
        <f t="shared" ca="1" si="90"/>
        <v>616.5</v>
      </c>
      <c r="FC31" s="134">
        <f t="shared" ca="1" si="74"/>
        <v>94</v>
      </c>
      <c r="FD31" s="134">
        <f t="shared" ca="1" si="75"/>
        <v>480</v>
      </c>
      <c r="FE31" s="134">
        <f t="shared" ca="1" si="76"/>
        <v>42.5</v>
      </c>
      <c r="FF31" s="134">
        <f t="shared" ca="1" si="91"/>
        <v>616.5</v>
      </c>
      <c r="FN31" s="754" t="b">
        <v>0</v>
      </c>
      <c r="FO31" s="755" t="b">
        <f t="shared" si="77"/>
        <v>1</v>
      </c>
      <c r="FP31" s="755" t="b">
        <v>0</v>
      </c>
      <c r="FQ31" s="755" t="b">
        <f t="shared" si="92"/>
        <v>1</v>
      </c>
      <c r="FW31" s="2"/>
      <c r="FX31" s="2"/>
      <c r="FZ31" s="2"/>
      <c r="GA31" s="581">
        <f t="shared" si="78"/>
        <v>52</v>
      </c>
      <c r="GB31" s="623">
        <f t="shared" si="79"/>
        <v>0</v>
      </c>
      <c r="GC31" s="625">
        <f t="shared" si="80"/>
        <v>-0.25</v>
      </c>
      <c r="GD31" s="626">
        <f t="shared" si="81"/>
        <v>-5.5</v>
      </c>
      <c r="GE31" s="624">
        <f t="shared" si="82"/>
        <v>0</v>
      </c>
      <c r="GF31" s="582" t="str">
        <f t="shared" si="83"/>
        <v>G34</v>
      </c>
      <c r="GG31" s="692">
        <v>0</v>
      </c>
      <c r="GH31" s="1136">
        <v>0</v>
      </c>
      <c r="GI31" s="692"/>
      <c r="GJ31" s="1136"/>
      <c r="GK31" s="1641">
        <f t="shared" si="84"/>
        <v>618.25</v>
      </c>
      <c r="GL31" s="1641">
        <f t="shared" si="85"/>
        <v>618.25</v>
      </c>
      <c r="GM31" s="1642">
        <f>IF(ABS(GK31-GL31)&gt;='Job Info.'!$L$22,ABS(GK31-GL31),0)</f>
        <v>0</v>
      </c>
      <c r="GZ31" s="130"/>
      <c r="HA31" s="1242" t="s">
        <v>1430</v>
      </c>
      <c r="HB31" s="1243">
        <v>1</v>
      </c>
      <c r="HC31" s="1243" t="s">
        <v>1722</v>
      </c>
      <c r="HD31" s="1244">
        <v>52</v>
      </c>
      <c r="HE31" s="1245">
        <v>0</v>
      </c>
      <c r="HF31" s="1243">
        <v>6</v>
      </c>
      <c r="HG31" s="1243"/>
      <c r="HH31" s="1243"/>
      <c r="HI31" s="1243"/>
      <c r="HJ31" s="1243"/>
      <c r="HK31" s="1243"/>
      <c r="HL31" s="1243"/>
      <c r="HM31" s="1243"/>
      <c r="HN31" s="1243"/>
      <c r="HO31" s="1243"/>
      <c r="HP31" s="1243">
        <v>17</v>
      </c>
      <c r="HQ31" s="1243"/>
      <c r="HR31" s="1243"/>
      <c r="HS31" s="1243"/>
      <c r="HT31" s="1243"/>
      <c r="HU31" s="1243"/>
      <c r="HV31" s="1243"/>
      <c r="HW31" s="1243"/>
      <c r="HX31" s="1243"/>
      <c r="HY31" s="1247"/>
      <c r="HZ31" s="1247"/>
      <c r="IA31" s="1247" t="s">
        <v>1727</v>
      </c>
      <c r="IB31" s="1247" t="s">
        <v>158</v>
      </c>
      <c r="IC31" s="1247"/>
      <c r="ID31" s="1262">
        <v>11.125</v>
      </c>
      <c r="IE31" s="1242" t="s">
        <v>1430</v>
      </c>
      <c r="IF31" s="1243" t="s">
        <v>35</v>
      </c>
      <c r="IG31" s="1244">
        <v>8</v>
      </c>
      <c r="IH31" s="1245">
        <v>0</v>
      </c>
      <c r="II31" s="1243">
        <v>5</v>
      </c>
      <c r="IJ31" s="1244">
        <v>8</v>
      </c>
      <c r="IK31" s="1245">
        <v>0</v>
      </c>
      <c r="IL31" s="1243"/>
      <c r="IM31" s="1243"/>
      <c r="IN31" s="1243">
        <v>5</v>
      </c>
      <c r="IO31" s="1243">
        <v>13</v>
      </c>
      <c r="IP31" s="1243">
        <v>4</v>
      </c>
      <c r="IQ31" s="1243">
        <v>2</v>
      </c>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5"/>
        <v>1</v>
      </c>
    </row>
    <row r="32" spans="1:272" ht="12.6" customHeight="1" x14ac:dyDescent="0.25">
      <c r="A32" s="2683" t="str">
        <f t="shared" si="0"/>
        <v>G35</v>
      </c>
      <c r="B32" s="2684">
        <f t="shared" si="0"/>
        <v>1</v>
      </c>
      <c r="C32" s="2685" t="s">
        <v>1722</v>
      </c>
      <c r="D32" s="2686">
        <f t="shared" si="1"/>
        <v>51</v>
      </c>
      <c r="E32" s="2687">
        <f t="shared" si="2"/>
        <v>11.5</v>
      </c>
      <c r="F32" s="2688">
        <f t="shared" si="3"/>
        <v>11.125</v>
      </c>
      <c r="G32" s="2689">
        <f t="shared" si="4"/>
        <v>0</v>
      </c>
      <c r="H32" s="2690">
        <f t="shared" si="5"/>
        <v>1.75</v>
      </c>
      <c r="I32" s="2691" t="str">
        <f t="shared" si="6"/>
        <v>R</v>
      </c>
      <c r="J32" s="2686">
        <f t="shared" si="7"/>
        <v>0</v>
      </c>
      <c r="K32" s="2690">
        <f t="shared" si="8"/>
        <v>1.75</v>
      </c>
      <c r="L32" s="2692" t="str">
        <f t="shared" si="9"/>
        <v>R</v>
      </c>
      <c r="M32" s="2693">
        <f t="shared" si="10"/>
        <v>7.5</v>
      </c>
      <c r="N32" s="2694">
        <f t="shared" si="10"/>
        <v>7.5</v>
      </c>
      <c r="O32" s="2689">
        <f t="shared" si="11"/>
        <v>0</v>
      </c>
      <c r="P32" s="2690">
        <f t="shared" si="12"/>
        <v>6.75</v>
      </c>
      <c r="Q32" s="2686">
        <f t="shared" si="13"/>
        <v>0</v>
      </c>
      <c r="R32" s="2687">
        <f t="shared" si="14"/>
        <v>6.75</v>
      </c>
      <c r="S32" s="2695">
        <f t="shared" si="15"/>
        <v>0</v>
      </c>
      <c r="T32" s="2690">
        <f t="shared" si="16"/>
        <v>6.25</v>
      </c>
      <c r="U32" s="2686">
        <f t="shared" si="17"/>
        <v>0</v>
      </c>
      <c r="V32" s="2690">
        <f t="shared" si="18"/>
        <v>6.25</v>
      </c>
      <c r="W32" s="2694">
        <f t="shared" si="19"/>
        <v>5</v>
      </c>
      <c r="X32" s="2696" t="str">
        <f t="shared" si="20"/>
        <v/>
      </c>
      <c r="Y32" s="2697" t="str">
        <f t="shared" si="21"/>
        <v/>
      </c>
      <c r="Z32" s="2698" t="s">
        <v>1898</v>
      </c>
      <c r="AA32" s="2758" t="str">
        <f t="shared" si="22"/>
        <v/>
      </c>
      <c r="AB32" s="2683" t="str">
        <f t="shared" si="23"/>
        <v>G35</v>
      </c>
      <c r="AC32" s="2691" t="str">
        <f t="shared" si="24"/>
        <v>B</v>
      </c>
      <c r="AD32" s="2686">
        <f t="shared" ca="1" si="25"/>
        <v>3</v>
      </c>
      <c r="AE32" s="2690">
        <f t="shared" ca="1" si="26"/>
        <v>10</v>
      </c>
      <c r="AF32" s="2691">
        <f t="shared" ca="1" si="27"/>
        <v>5</v>
      </c>
      <c r="AG32" s="2686">
        <f t="shared" ca="1" si="28"/>
        <v>8</v>
      </c>
      <c r="AH32" s="2690">
        <f t="shared" ca="1" si="29"/>
        <v>0</v>
      </c>
      <c r="AI32" s="2686">
        <f t="shared" ca="1" si="30"/>
        <v>7</v>
      </c>
      <c r="AJ32" s="2690">
        <f t="shared" ca="1" si="31"/>
        <v>10</v>
      </c>
      <c r="AK32" s="2732" t="str">
        <f t="shared" si="32"/>
        <v/>
      </c>
      <c r="AL32" s="2733" t="str">
        <f t="shared" si="33"/>
        <v/>
      </c>
      <c r="AM32" s="2734">
        <f t="shared" si="32"/>
        <v>5</v>
      </c>
      <c r="AN32" s="2691">
        <f t="shared" si="32"/>
        <v>13</v>
      </c>
      <c r="AO32" s="2694">
        <f t="shared" si="32"/>
        <v>4</v>
      </c>
      <c r="AP32" s="2693" t="str">
        <f t="shared" si="34"/>
        <v/>
      </c>
      <c r="AQ32" s="2736">
        <f t="shared" si="34"/>
        <v>1.75</v>
      </c>
      <c r="AR32" s="2689" t="str">
        <f t="shared" si="35"/>
        <v>P</v>
      </c>
      <c r="AS32" s="2690" t="str">
        <f t="shared" si="36"/>
        <v>#1</v>
      </c>
      <c r="AT32" s="2737" t="str">
        <f t="shared" si="37"/>
        <v/>
      </c>
      <c r="AU32" s="2738" t="str">
        <f t="shared" si="38"/>
        <v>B</v>
      </c>
      <c r="AV32" s="2695">
        <f t="shared" si="39"/>
        <v>51</v>
      </c>
      <c r="AW32" s="2690">
        <f t="shared" si="40"/>
        <v>0</v>
      </c>
      <c r="AX32" s="2737" t="str">
        <f t="shared" si="41"/>
        <v/>
      </c>
      <c r="AY32" s="2738" t="str">
        <f t="shared" si="42"/>
        <v>B</v>
      </c>
      <c r="AZ32" s="2695" t="str">
        <f t="shared" si="43"/>
        <v/>
      </c>
      <c r="BA32" s="2690" t="str">
        <f t="shared" si="44"/>
        <v/>
      </c>
      <c r="BB32" s="2737" t="str">
        <f t="shared" si="45"/>
        <v/>
      </c>
      <c r="BC32" s="2738" t="str">
        <f t="shared" si="46"/>
        <v/>
      </c>
      <c r="BD32" s="2695" t="str">
        <f t="shared" si="47"/>
        <v/>
      </c>
      <c r="BE32" s="2690" t="str">
        <f t="shared" si="48"/>
        <v/>
      </c>
      <c r="BF32" s="2737" t="str">
        <f t="shared" si="49"/>
        <v/>
      </c>
      <c r="BG32" s="2738" t="str">
        <f t="shared" si="50"/>
        <v/>
      </c>
      <c r="BH32" s="1417"/>
      <c r="BJ32" s="995" t="str">
        <f t="shared" si="93"/>
        <v>G35</v>
      </c>
      <c r="BK32" s="993" t="b">
        <f t="shared" si="51"/>
        <v>0</v>
      </c>
      <c r="BL32" s="1784" t="b">
        <v>0</v>
      </c>
      <c r="BM32" s="989">
        <f t="shared" si="52"/>
        <v>52</v>
      </c>
      <c r="BN32" s="989" t="str">
        <f t="shared" si="53"/>
        <v>G</v>
      </c>
      <c r="BO32" s="989">
        <f t="shared" si="54"/>
        <v>7</v>
      </c>
      <c r="BP32" s="989" t="str">
        <f t="shared" si="55"/>
        <v>11/5</v>
      </c>
      <c r="BQ32" s="989">
        <f t="shared" si="56"/>
        <v>2.4</v>
      </c>
      <c r="BR32" s="989" t="b">
        <f t="shared" si="57"/>
        <v>1</v>
      </c>
      <c r="BS32" s="1303">
        <f t="shared" si="58"/>
        <v>7.75</v>
      </c>
      <c r="BT32" s="990" t="str">
        <f t="shared" si="59"/>
        <v>Yes</v>
      </c>
      <c r="BU32" s="1303">
        <f t="shared" si="60"/>
        <v>7.75</v>
      </c>
      <c r="BV32" s="990" t="str">
        <f t="shared" si="61"/>
        <v>Yes</v>
      </c>
      <c r="BW32" s="991">
        <f t="shared" ca="1" si="62"/>
        <v>19</v>
      </c>
      <c r="BX32" s="991" t="str">
        <f t="shared" ca="1" si="63"/>
        <v>G35</v>
      </c>
      <c r="BY32" s="991" t="b">
        <f t="shared" ca="1" si="64"/>
        <v>0</v>
      </c>
      <c r="BZ32" s="991" t="b">
        <f t="shared" si="86"/>
        <v>0</v>
      </c>
      <c r="CB32" s="672" t="s">
        <v>1431</v>
      </c>
      <c r="CC32" s="1685">
        <v>1</v>
      </c>
      <c r="CD32" s="699" t="s">
        <v>1722</v>
      </c>
      <c r="CE32" s="700">
        <v>52</v>
      </c>
      <c r="CF32" s="701">
        <v>0</v>
      </c>
      <c r="CG32" s="672">
        <v>6</v>
      </c>
      <c r="CH32" s="713"/>
      <c r="CI32" s="714"/>
      <c r="CJ32" s="713"/>
      <c r="CK32" s="714"/>
      <c r="CL32" s="715"/>
      <c r="CM32" s="743"/>
      <c r="CN32" s="738"/>
      <c r="CO32" s="1552"/>
      <c r="CP32" s="910"/>
      <c r="CQ32" s="672">
        <v>6</v>
      </c>
      <c r="CR32" s="713"/>
      <c r="CS32" s="714"/>
      <c r="CT32" s="713"/>
      <c r="CU32" s="714"/>
      <c r="CV32" s="715"/>
      <c r="CW32" s="743"/>
      <c r="CX32" s="738"/>
      <c r="CY32" s="1552"/>
      <c r="CZ32" s="910"/>
      <c r="DA32" s="717"/>
      <c r="DB32" s="702" t="s">
        <v>1724</v>
      </c>
      <c r="DC32" s="703"/>
      <c r="DD32" s="725"/>
      <c r="DE32" s="726">
        <v>11.125</v>
      </c>
      <c r="DF32" s="141"/>
      <c r="DG32" s="141"/>
      <c r="DH32" s="672" t="s">
        <v>1431</v>
      </c>
      <c r="DI32" s="673" t="s">
        <v>35</v>
      </c>
      <c r="DJ32" s="692">
        <v>4</v>
      </c>
      <c r="DK32" s="1332">
        <v>0</v>
      </c>
      <c r="DL32" s="674">
        <v>5</v>
      </c>
      <c r="DM32" s="693">
        <v>8</v>
      </c>
      <c r="DN32" s="1335">
        <v>0</v>
      </c>
      <c r="DO32" s="675"/>
      <c r="DP32" s="676"/>
      <c r="DQ32" s="1420">
        <v>5</v>
      </c>
      <c r="DR32" s="677">
        <v>13</v>
      </c>
      <c r="DS32" s="1420">
        <v>4</v>
      </c>
      <c r="DT32" s="1422"/>
      <c r="DU32" s="1423">
        <v>2</v>
      </c>
      <c r="DV32" s="678" t="s">
        <v>1018</v>
      </c>
      <c r="DW32" s="1337" t="s">
        <v>1705</v>
      </c>
      <c r="DX32" s="679"/>
      <c r="DY32" s="674" t="s">
        <v>35</v>
      </c>
      <c r="DZ32" s="2661">
        <v>51</v>
      </c>
      <c r="EA32" s="2664">
        <v>0.25</v>
      </c>
      <c r="EB32" s="679"/>
      <c r="EC32" s="2665" t="s">
        <v>35</v>
      </c>
      <c r="ED32" s="678"/>
      <c r="EE32" s="1337"/>
      <c r="EF32" s="679"/>
      <c r="EG32" s="674"/>
      <c r="EH32" s="678"/>
      <c r="EI32" s="1337"/>
      <c r="EJ32" s="679"/>
      <c r="EK32" s="680"/>
      <c r="EL32" s="241"/>
      <c r="EM32" s="1632" t="str">
        <f t="shared" si="65"/>
        <v>G35</v>
      </c>
      <c r="EN32" s="1429" t="str">
        <f t="shared" si="66"/>
        <v/>
      </c>
      <c r="EO32" s="1430" t="str">
        <f t="shared" si="67"/>
        <v/>
      </c>
      <c r="EP32" s="1431" t="str">
        <f t="shared" si="68"/>
        <v/>
      </c>
      <c r="EQ32" s="1435" t="str">
        <f t="shared" si="69"/>
        <v/>
      </c>
      <c r="ER32" s="1441" t="str">
        <f t="shared" si="70"/>
        <v/>
      </c>
      <c r="ES32" s="1442" t="str">
        <f t="shared" si="71"/>
        <v/>
      </c>
      <c r="ET32" s="1443" t="str">
        <f t="shared" si="72"/>
        <v/>
      </c>
      <c r="EU32" s="1444" t="str">
        <f t="shared" si="87"/>
        <v/>
      </c>
      <c r="EX32" s="503" t="str">
        <f t="shared" ca="1" si="88"/>
        <v>G35B</v>
      </c>
      <c r="EY32" s="940" t="b">
        <f t="shared" ca="1" si="73"/>
        <v>1</v>
      </c>
      <c r="EZ32" s="940">
        <f t="shared" ca="1" si="89"/>
        <v>5</v>
      </c>
      <c r="FA32" s="958" t="b">
        <f t="shared" ca="1" si="94"/>
        <v>1</v>
      </c>
      <c r="FB32" s="134">
        <f t="shared" ca="1" si="90"/>
        <v>620</v>
      </c>
      <c r="FC32" s="134">
        <f t="shared" ca="1" si="74"/>
        <v>46</v>
      </c>
      <c r="FD32" s="134">
        <f t="shared" ca="1" si="75"/>
        <v>480</v>
      </c>
      <c r="FE32" s="134">
        <f t="shared" ca="1" si="76"/>
        <v>94</v>
      </c>
      <c r="FF32" s="134">
        <f t="shared" ca="1" si="91"/>
        <v>620</v>
      </c>
      <c r="FN32" s="754" t="b">
        <v>0</v>
      </c>
      <c r="FO32" s="754" t="b">
        <f t="shared" si="77"/>
        <v>1</v>
      </c>
      <c r="FP32" s="754" t="b">
        <v>0</v>
      </c>
      <c r="FQ32" s="754" t="b">
        <f t="shared" si="92"/>
        <v>1</v>
      </c>
      <c r="FW32" s="2"/>
      <c r="FX32" s="2"/>
      <c r="FZ32" s="2"/>
      <c r="GA32" s="581">
        <f t="shared" si="78"/>
        <v>52</v>
      </c>
      <c r="GB32" s="623">
        <f t="shared" si="79"/>
        <v>0</v>
      </c>
      <c r="GC32" s="625">
        <f t="shared" si="80"/>
        <v>-0.25</v>
      </c>
      <c r="GD32" s="626">
        <f t="shared" si="81"/>
        <v>-0.25</v>
      </c>
      <c r="GE32" s="624">
        <f t="shared" si="82"/>
        <v>0</v>
      </c>
      <c r="GF32" s="582" t="str">
        <f t="shared" si="83"/>
        <v>G35</v>
      </c>
      <c r="GG32" s="692">
        <v>0</v>
      </c>
      <c r="GH32" s="1136">
        <v>0</v>
      </c>
      <c r="GI32" s="692"/>
      <c r="GJ32" s="1136"/>
      <c r="GK32" s="1641">
        <f t="shared" si="84"/>
        <v>623.5</v>
      </c>
      <c r="GL32" s="1641">
        <f t="shared" si="85"/>
        <v>623.5</v>
      </c>
      <c r="GM32" s="1642">
        <f>IF(ABS(GK32-GL32)&gt;='Job Info.'!$L$22,ABS(GK32-GL32),0)</f>
        <v>0</v>
      </c>
      <c r="HA32" s="1242" t="s">
        <v>1431</v>
      </c>
      <c r="HB32" s="1243">
        <v>1</v>
      </c>
      <c r="HC32" s="1243" t="s">
        <v>1722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1724</v>
      </c>
      <c r="IB32" s="1247"/>
      <c r="IC32" s="1247"/>
      <c r="ID32" s="1262">
        <v>11.125</v>
      </c>
      <c r="IE32" s="1242" t="s">
        <v>1431</v>
      </c>
      <c r="IF32" s="1243" t="s">
        <v>35</v>
      </c>
      <c r="IG32" s="1244">
        <v>4</v>
      </c>
      <c r="IH32" s="1245">
        <v>0</v>
      </c>
      <c r="II32" s="1243">
        <v>5</v>
      </c>
      <c r="IJ32" s="1244">
        <v>8</v>
      </c>
      <c r="IK32" s="1245">
        <v>0</v>
      </c>
      <c r="IL32" s="1243"/>
      <c r="IM32" s="1243"/>
      <c r="IN32" s="1243">
        <v>5</v>
      </c>
      <c r="IO32" s="1243">
        <v>13</v>
      </c>
      <c r="IP32" s="1243">
        <v>4</v>
      </c>
      <c r="IQ32" s="1243"/>
      <c r="IR32" s="1243">
        <v>2</v>
      </c>
      <c r="IS32" s="1244" t="s">
        <v>1018</v>
      </c>
      <c r="IT32" s="1245" t="s">
        <v>1705</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5"/>
        <v>1</v>
      </c>
    </row>
    <row r="33" spans="1:272" ht="12.6" customHeight="1" x14ac:dyDescent="0.25">
      <c r="A33" s="2683" t="str">
        <f t="shared" si="0"/>
        <v>G36</v>
      </c>
      <c r="B33" s="2684">
        <f t="shared" si="0"/>
        <v>2</v>
      </c>
      <c r="C33" s="2685" t="s">
        <v>1722</v>
      </c>
      <c r="D33" s="2686">
        <f t="shared" si="1"/>
        <v>51</v>
      </c>
      <c r="E33" s="2687">
        <f t="shared" si="2"/>
        <v>11.5</v>
      </c>
      <c r="F33" s="2688">
        <f t="shared" si="3"/>
        <v>11.125</v>
      </c>
      <c r="G33" s="2689">
        <f t="shared" si="4"/>
        <v>0</v>
      </c>
      <c r="H33" s="2690">
        <f t="shared" si="5"/>
        <v>1.75</v>
      </c>
      <c r="I33" s="2691" t="str">
        <f t="shared" si="6"/>
        <v>R</v>
      </c>
      <c r="J33" s="2686">
        <f t="shared" si="7"/>
        <v>0</v>
      </c>
      <c r="K33" s="2690">
        <f t="shared" si="8"/>
        <v>1.75</v>
      </c>
      <c r="L33" s="2692" t="str">
        <f t="shared" si="9"/>
        <v>R</v>
      </c>
      <c r="M33" s="2693">
        <f t="shared" si="10"/>
        <v>7.5</v>
      </c>
      <c r="N33" s="2694">
        <f t="shared" si="10"/>
        <v>7.5</v>
      </c>
      <c r="O33" s="2689">
        <f t="shared" si="11"/>
        <v>0</v>
      </c>
      <c r="P33" s="2690">
        <f t="shared" si="12"/>
        <v>6.75</v>
      </c>
      <c r="Q33" s="2686">
        <f t="shared" si="13"/>
        <v>0</v>
      </c>
      <c r="R33" s="2687">
        <f t="shared" si="14"/>
        <v>6.75</v>
      </c>
      <c r="S33" s="2695">
        <f t="shared" si="15"/>
        <v>0</v>
      </c>
      <c r="T33" s="2690">
        <f t="shared" si="16"/>
        <v>6.25</v>
      </c>
      <c r="U33" s="2686">
        <f t="shared" si="17"/>
        <v>0</v>
      </c>
      <c r="V33" s="2690">
        <f t="shared" si="18"/>
        <v>6.25</v>
      </c>
      <c r="W33" s="2694">
        <f t="shared" si="19"/>
        <v>5</v>
      </c>
      <c r="X33" s="2696" t="str">
        <f t="shared" si="20"/>
        <v/>
      </c>
      <c r="Y33" s="2697" t="str">
        <f t="shared" si="21"/>
        <v/>
      </c>
      <c r="Z33" s="2698" t="s">
        <v>1899</v>
      </c>
      <c r="AA33" s="2758" t="str">
        <f t="shared" si="22"/>
        <v/>
      </c>
      <c r="AB33" s="2683" t="str">
        <f t="shared" si="23"/>
        <v>G36</v>
      </c>
      <c r="AC33" s="2691" t="str">
        <f t="shared" si="24"/>
        <v>B</v>
      </c>
      <c r="AD33" s="2686">
        <f t="shared" ca="1" si="25"/>
        <v>7</v>
      </c>
      <c r="AE33" s="2690">
        <f t="shared" ca="1" si="26"/>
        <v>10</v>
      </c>
      <c r="AF33" s="2691">
        <f t="shared" ca="1" si="27"/>
        <v>5</v>
      </c>
      <c r="AG33" s="2686">
        <f t="shared" ca="1" si="28"/>
        <v>8</v>
      </c>
      <c r="AH33" s="2690">
        <f t="shared" ca="1" si="29"/>
        <v>0</v>
      </c>
      <c r="AI33" s="2686">
        <f t="shared" ca="1" si="30"/>
        <v>3</v>
      </c>
      <c r="AJ33" s="2690">
        <f t="shared" ca="1" si="31"/>
        <v>10</v>
      </c>
      <c r="AK33" s="2732" t="str">
        <f t="shared" si="32"/>
        <v/>
      </c>
      <c r="AL33" s="2733" t="str">
        <f t="shared" si="33"/>
        <v/>
      </c>
      <c r="AM33" s="2734">
        <f t="shared" si="32"/>
        <v>5</v>
      </c>
      <c r="AN33" s="2691">
        <f t="shared" si="32"/>
        <v>13</v>
      </c>
      <c r="AO33" s="2694">
        <f t="shared" si="32"/>
        <v>4</v>
      </c>
      <c r="AP33" s="2693">
        <f t="shared" si="34"/>
        <v>1.75</v>
      </c>
      <c r="AQ33" s="2736" t="str">
        <f t="shared" si="34"/>
        <v/>
      </c>
      <c r="AR33" s="2689" t="str">
        <f t="shared" si="35"/>
        <v>P</v>
      </c>
      <c r="AS33" s="2690" t="str">
        <f t="shared" si="36"/>
        <v>#6</v>
      </c>
      <c r="AT33" s="2737" t="str">
        <f t="shared" si="37"/>
        <v/>
      </c>
      <c r="AU33" s="2738" t="str">
        <f t="shared" si="38"/>
        <v>B</v>
      </c>
      <c r="AV33" s="2695">
        <f t="shared" si="39"/>
        <v>1</v>
      </c>
      <c r="AW33" s="2690">
        <f t="shared" si="40"/>
        <v>0</v>
      </c>
      <c r="AX33" s="2737" t="str">
        <f t="shared" si="41"/>
        <v/>
      </c>
      <c r="AY33" s="2738" t="str">
        <f t="shared" si="42"/>
        <v>B</v>
      </c>
      <c r="AZ33" s="2695" t="str">
        <f t="shared" si="43"/>
        <v/>
      </c>
      <c r="BA33" s="2690" t="str">
        <f t="shared" si="44"/>
        <v/>
      </c>
      <c r="BB33" s="2737" t="str">
        <f t="shared" si="45"/>
        <v/>
      </c>
      <c r="BC33" s="2738" t="str">
        <f t="shared" si="46"/>
        <v/>
      </c>
      <c r="BD33" s="2695" t="str">
        <f t="shared" si="47"/>
        <v/>
      </c>
      <c r="BE33" s="2690" t="str">
        <f t="shared" si="48"/>
        <v/>
      </c>
      <c r="BF33" s="2737" t="str">
        <f t="shared" si="49"/>
        <v/>
      </c>
      <c r="BG33" s="2738" t="str">
        <f t="shared" si="50"/>
        <v/>
      </c>
      <c r="BH33" s="1417"/>
      <c r="BJ33" s="995" t="str">
        <f t="shared" si="93"/>
        <v>G36</v>
      </c>
      <c r="BK33" s="993" t="b">
        <f t="shared" si="51"/>
        <v>0</v>
      </c>
      <c r="BL33" s="1784" t="b">
        <v>0</v>
      </c>
      <c r="BM33" s="989">
        <f t="shared" si="52"/>
        <v>52</v>
      </c>
      <c r="BN33" s="989" t="str">
        <f t="shared" si="53"/>
        <v>G</v>
      </c>
      <c r="BO33" s="989">
        <f t="shared" si="54"/>
        <v>7</v>
      </c>
      <c r="BP33" s="989" t="str">
        <f t="shared" si="55"/>
        <v>11/5</v>
      </c>
      <c r="BQ33" s="989">
        <f t="shared" si="56"/>
        <v>2.4</v>
      </c>
      <c r="BR33" s="989" t="b">
        <f t="shared" si="57"/>
        <v>1</v>
      </c>
      <c r="BS33" s="1303">
        <f t="shared" si="58"/>
        <v>7.75</v>
      </c>
      <c r="BT33" s="990" t="str">
        <f t="shared" si="59"/>
        <v>Yes</v>
      </c>
      <c r="BU33" s="1303">
        <f t="shared" si="60"/>
        <v>7.75</v>
      </c>
      <c r="BV33" s="990" t="str">
        <f t="shared" si="61"/>
        <v>Yes</v>
      </c>
      <c r="BW33" s="991">
        <f t="shared" ca="1" si="62"/>
        <v>19</v>
      </c>
      <c r="BX33" s="991" t="str">
        <f t="shared" ca="1" si="63"/>
        <v>G36</v>
      </c>
      <c r="BY33" s="991" t="b">
        <f t="shared" ca="1" si="64"/>
        <v>0</v>
      </c>
      <c r="BZ33" s="991" t="b">
        <f t="shared" si="86"/>
        <v>0</v>
      </c>
      <c r="CB33" s="672" t="s">
        <v>1432</v>
      </c>
      <c r="CC33" s="1685">
        <v>2</v>
      </c>
      <c r="CD33" s="699" t="s">
        <v>1722</v>
      </c>
      <c r="CE33" s="700">
        <v>52</v>
      </c>
      <c r="CF33" s="701">
        <v>0</v>
      </c>
      <c r="CG33" s="672">
        <v>6</v>
      </c>
      <c r="CH33" s="713"/>
      <c r="CI33" s="714"/>
      <c r="CJ33" s="713"/>
      <c r="CK33" s="714"/>
      <c r="CL33" s="715"/>
      <c r="CM33" s="743"/>
      <c r="CN33" s="738"/>
      <c r="CO33" s="1552"/>
      <c r="CP33" s="910"/>
      <c r="CQ33" s="672">
        <v>6</v>
      </c>
      <c r="CR33" s="713"/>
      <c r="CS33" s="714"/>
      <c r="CT33" s="713"/>
      <c r="CU33" s="714"/>
      <c r="CV33" s="715"/>
      <c r="CW33" s="743"/>
      <c r="CX33" s="738"/>
      <c r="CY33" s="1552"/>
      <c r="CZ33" s="910"/>
      <c r="DA33" s="717"/>
      <c r="DB33" s="702">
        <v>10</v>
      </c>
      <c r="DC33" s="703"/>
      <c r="DD33" s="725"/>
      <c r="DE33" s="726">
        <v>11.125</v>
      </c>
      <c r="DF33" s="141"/>
      <c r="DG33" s="141"/>
      <c r="DH33" s="672" t="s">
        <v>1432</v>
      </c>
      <c r="DI33" s="673" t="s">
        <v>35</v>
      </c>
      <c r="DJ33" s="692">
        <v>8</v>
      </c>
      <c r="DK33" s="1332">
        <v>0</v>
      </c>
      <c r="DL33" s="674">
        <v>5</v>
      </c>
      <c r="DM33" s="693">
        <v>8</v>
      </c>
      <c r="DN33" s="1335">
        <v>0</v>
      </c>
      <c r="DO33" s="675"/>
      <c r="DP33" s="676"/>
      <c r="DQ33" s="1420">
        <v>5</v>
      </c>
      <c r="DR33" s="677">
        <v>13</v>
      </c>
      <c r="DS33" s="1420">
        <v>4</v>
      </c>
      <c r="DT33" s="1422">
        <v>2</v>
      </c>
      <c r="DU33" s="1423"/>
      <c r="DV33" s="678" t="s">
        <v>1018</v>
      </c>
      <c r="DW33" s="1337" t="s">
        <v>1706</v>
      </c>
      <c r="DX33" s="679"/>
      <c r="DY33" s="674" t="s">
        <v>35</v>
      </c>
      <c r="DZ33" s="2661">
        <v>1</v>
      </c>
      <c r="EA33" s="2664">
        <v>0.25</v>
      </c>
      <c r="EB33" s="679"/>
      <c r="EC33" s="2665" t="s">
        <v>35</v>
      </c>
      <c r="ED33" s="678"/>
      <c r="EE33" s="1337"/>
      <c r="EF33" s="679"/>
      <c r="EG33" s="674"/>
      <c r="EH33" s="678"/>
      <c r="EI33" s="1337"/>
      <c r="EJ33" s="679"/>
      <c r="EK33" s="680"/>
      <c r="EL33" s="241"/>
      <c r="EM33" s="1632" t="str">
        <f t="shared" si="65"/>
        <v>G36</v>
      </c>
      <c r="EN33" s="1429" t="str">
        <f t="shared" si="66"/>
        <v/>
      </c>
      <c r="EO33" s="1430" t="str">
        <f t="shared" si="67"/>
        <v/>
      </c>
      <c r="EP33" s="1431" t="str">
        <f t="shared" si="68"/>
        <v/>
      </c>
      <c r="EQ33" s="1435" t="str">
        <f t="shared" si="69"/>
        <v/>
      </c>
      <c r="ER33" s="1441" t="str">
        <f t="shared" si="70"/>
        <v/>
      </c>
      <c r="ES33" s="1442" t="str">
        <f t="shared" si="71"/>
        <v/>
      </c>
      <c r="ET33" s="1443" t="str">
        <f t="shared" si="72"/>
        <v/>
      </c>
      <c r="EU33" s="1444" t="str">
        <f t="shared" si="87"/>
        <v/>
      </c>
      <c r="EX33" s="503" t="str">
        <f t="shared" ca="1" si="88"/>
        <v>G36B</v>
      </c>
      <c r="EY33" s="940" t="b">
        <f t="shared" ca="1" si="73"/>
        <v>1</v>
      </c>
      <c r="EZ33" s="940">
        <f t="shared" ca="1" si="89"/>
        <v>5</v>
      </c>
      <c r="FA33" s="958" t="b">
        <f t="shared" ca="1" si="94"/>
        <v>1</v>
      </c>
      <c r="FB33" s="134">
        <f t="shared" ca="1" si="90"/>
        <v>620</v>
      </c>
      <c r="FC33" s="134">
        <f t="shared" ca="1" si="74"/>
        <v>94</v>
      </c>
      <c r="FD33" s="134">
        <f t="shared" ca="1" si="75"/>
        <v>480</v>
      </c>
      <c r="FE33" s="134">
        <f t="shared" ca="1" si="76"/>
        <v>46</v>
      </c>
      <c r="FF33" s="134">
        <f t="shared" ca="1" si="91"/>
        <v>620</v>
      </c>
      <c r="FN33" s="754" t="b">
        <v>0</v>
      </c>
      <c r="FO33" s="754" t="b">
        <f t="shared" si="77"/>
        <v>1</v>
      </c>
      <c r="FP33" s="754" t="b">
        <v>0</v>
      </c>
      <c r="FQ33" s="754" t="b">
        <f t="shared" si="92"/>
        <v>1</v>
      </c>
      <c r="FW33" s="2"/>
      <c r="FX33" s="2"/>
      <c r="FZ33" s="2"/>
      <c r="GA33" s="581">
        <f t="shared" si="78"/>
        <v>52</v>
      </c>
      <c r="GB33" s="623">
        <f t="shared" si="79"/>
        <v>0</v>
      </c>
      <c r="GC33" s="625">
        <f t="shared" si="80"/>
        <v>-0.25</v>
      </c>
      <c r="GD33" s="626">
        <f t="shared" si="81"/>
        <v>-0.25</v>
      </c>
      <c r="GE33" s="624">
        <f t="shared" si="82"/>
        <v>0</v>
      </c>
      <c r="GF33" s="582" t="str">
        <f t="shared" si="83"/>
        <v>G36</v>
      </c>
      <c r="GG33" s="692">
        <v>0</v>
      </c>
      <c r="GH33" s="1136">
        <v>0</v>
      </c>
      <c r="GI33" s="692"/>
      <c r="GJ33" s="1136"/>
      <c r="GK33" s="1641">
        <f t="shared" si="84"/>
        <v>623.5</v>
      </c>
      <c r="GL33" s="1641">
        <f t="shared" si="85"/>
        <v>623.5</v>
      </c>
      <c r="GM33" s="1642">
        <f>IF(ABS(GK33-GL33)&gt;='Job Info.'!$L$22,ABS(GK33-GL33),0)</f>
        <v>0</v>
      </c>
      <c r="HA33" s="1242" t="s">
        <v>1432</v>
      </c>
      <c r="HB33" s="1243">
        <v>2</v>
      </c>
      <c r="HC33" s="1243" t="s">
        <v>1722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10</v>
      </c>
      <c r="IB33" s="1247"/>
      <c r="IC33" s="1247"/>
      <c r="ID33" s="1262">
        <v>11.125</v>
      </c>
      <c r="IE33" s="1242" t="s">
        <v>1432</v>
      </c>
      <c r="IF33" s="1243" t="s">
        <v>35</v>
      </c>
      <c r="IG33" s="1244">
        <v>8</v>
      </c>
      <c r="IH33" s="1245">
        <v>0</v>
      </c>
      <c r="II33" s="1243">
        <v>5</v>
      </c>
      <c r="IJ33" s="1244">
        <v>8</v>
      </c>
      <c r="IK33" s="1245">
        <v>0</v>
      </c>
      <c r="IL33" s="1243"/>
      <c r="IM33" s="1243"/>
      <c r="IN33" s="1243">
        <v>5</v>
      </c>
      <c r="IO33" s="1243">
        <v>13</v>
      </c>
      <c r="IP33" s="1243">
        <v>4</v>
      </c>
      <c r="IQ33" s="1243">
        <v>2</v>
      </c>
      <c r="IR33" s="1243"/>
      <c r="IS33" s="1244" t="s">
        <v>1018</v>
      </c>
      <c r="IT33" s="1245" t="s">
        <v>1706</v>
      </c>
      <c r="IU33" s="1243"/>
      <c r="IV33" s="1243" t="s">
        <v>35</v>
      </c>
      <c r="IW33" s="1244"/>
      <c r="IX33" s="1245"/>
      <c r="IY33" s="1243"/>
      <c r="IZ33" s="1243"/>
      <c r="JA33" s="1244"/>
      <c r="JB33" s="1245"/>
      <c r="JC33" s="1243"/>
      <c r="JD33" s="1243"/>
      <c r="JE33" s="1244"/>
      <c r="JF33" s="1245"/>
      <c r="JG33" s="1243"/>
      <c r="JH33" s="1243"/>
      <c r="JI33" s="1243"/>
      <c r="JJ33" s="1246"/>
      <c r="JK33" s="1243">
        <v>1</v>
      </c>
      <c r="JL33" s="1172">
        <f t="shared" ca="1" si="95"/>
        <v>1</v>
      </c>
    </row>
    <row r="34" spans="1:272" ht="12.6" customHeight="1" x14ac:dyDescent="0.25">
      <c r="A34" s="2683" t="str">
        <f t="shared" si="0"/>
        <v>G37</v>
      </c>
      <c r="B34" s="2684">
        <f t="shared" si="0"/>
        <v>2</v>
      </c>
      <c r="C34" s="2685" t="s">
        <v>1722</v>
      </c>
      <c r="D34" s="2686">
        <f t="shared" si="1"/>
        <v>51</v>
      </c>
      <c r="E34" s="2687">
        <f t="shared" si="2"/>
        <v>11.5</v>
      </c>
      <c r="F34" s="2688">
        <f t="shared" si="3"/>
        <v>11.125</v>
      </c>
      <c r="G34" s="2689">
        <f t="shared" si="4"/>
        <v>0</v>
      </c>
      <c r="H34" s="2690">
        <f t="shared" si="5"/>
        <v>1.75</v>
      </c>
      <c r="I34" s="2691" t="str">
        <f t="shared" si="6"/>
        <v>R</v>
      </c>
      <c r="J34" s="2686">
        <f t="shared" si="7"/>
        <v>0</v>
      </c>
      <c r="K34" s="2690">
        <f t="shared" si="8"/>
        <v>1.75</v>
      </c>
      <c r="L34" s="2692" t="str">
        <f t="shared" si="9"/>
        <v>R</v>
      </c>
      <c r="M34" s="2693">
        <f t="shared" si="10"/>
        <v>7.5</v>
      </c>
      <c r="N34" s="2694">
        <f t="shared" si="10"/>
        <v>7.5</v>
      </c>
      <c r="O34" s="2689">
        <f t="shared" si="11"/>
        <v>0</v>
      </c>
      <c r="P34" s="2690">
        <f t="shared" si="12"/>
        <v>6.75</v>
      </c>
      <c r="Q34" s="2686">
        <f t="shared" si="13"/>
        <v>0</v>
      </c>
      <c r="R34" s="2687">
        <f t="shared" si="14"/>
        <v>6.75</v>
      </c>
      <c r="S34" s="2695">
        <f t="shared" si="15"/>
        <v>0</v>
      </c>
      <c r="T34" s="2690">
        <f t="shared" si="16"/>
        <v>6.25</v>
      </c>
      <c r="U34" s="2686">
        <f t="shared" si="17"/>
        <v>0</v>
      </c>
      <c r="V34" s="2690">
        <f t="shared" si="18"/>
        <v>6.25</v>
      </c>
      <c r="W34" s="2694">
        <f t="shared" si="19"/>
        <v>5</v>
      </c>
      <c r="X34" s="2696" t="str">
        <f t="shared" si="20"/>
        <v/>
      </c>
      <c r="Y34" s="2697" t="str">
        <f t="shared" si="21"/>
        <v/>
      </c>
      <c r="Z34" s="2698" t="s">
        <v>1900</v>
      </c>
      <c r="AA34" s="2758" t="str">
        <f t="shared" si="22"/>
        <v/>
      </c>
      <c r="AB34" s="2683" t="str">
        <f t="shared" si="23"/>
        <v>G37</v>
      </c>
      <c r="AC34" s="2691" t="str">
        <f t="shared" si="24"/>
        <v>B</v>
      </c>
      <c r="AD34" s="2686">
        <f t="shared" ca="1" si="25"/>
        <v>3</v>
      </c>
      <c r="AE34" s="2690">
        <f t="shared" ca="1" si="26"/>
        <v>10</v>
      </c>
      <c r="AF34" s="2691">
        <f t="shared" ca="1" si="27"/>
        <v>5</v>
      </c>
      <c r="AG34" s="2686">
        <f t="shared" ca="1" si="28"/>
        <v>8</v>
      </c>
      <c r="AH34" s="2690">
        <f t="shared" ca="1" si="29"/>
        <v>0</v>
      </c>
      <c r="AI34" s="2686">
        <f t="shared" ca="1" si="30"/>
        <v>7</v>
      </c>
      <c r="AJ34" s="2690">
        <f t="shared" ca="1" si="31"/>
        <v>10</v>
      </c>
      <c r="AK34" s="2732" t="str">
        <f t="shared" si="32"/>
        <v/>
      </c>
      <c r="AL34" s="2733" t="str">
        <f t="shared" si="33"/>
        <v/>
      </c>
      <c r="AM34" s="2734">
        <f t="shared" si="32"/>
        <v>5</v>
      </c>
      <c r="AN34" s="2691">
        <f t="shared" si="32"/>
        <v>13</v>
      </c>
      <c r="AO34" s="2694">
        <f t="shared" si="32"/>
        <v>4</v>
      </c>
      <c r="AP34" s="2693" t="str">
        <f t="shared" si="34"/>
        <v/>
      </c>
      <c r="AQ34" s="2736">
        <f t="shared" si="34"/>
        <v>1.75</v>
      </c>
      <c r="AR34" s="2689" t="str">
        <f t="shared" si="35"/>
        <v>P</v>
      </c>
      <c r="AS34" s="2690" t="str">
        <f t="shared" si="36"/>
        <v>#1</v>
      </c>
      <c r="AT34" s="2737" t="str">
        <f t="shared" si="37"/>
        <v/>
      </c>
      <c r="AU34" s="2738" t="str">
        <f t="shared" si="38"/>
        <v>B</v>
      </c>
      <c r="AV34" s="2695">
        <f t="shared" si="39"/>
        <v>51</v>
      </c>
      <c r="AW34" s="2690">
        <f t="shared" si="40"/>
        <v>0</v>
      </c>
      <c r="AX34" s="2737" t="str">
        <f t="shared" si="41"/>
        <v/>
      </c>
      <c r="AY34" s="2738" t="str">
        <f t="shared" si="42"/>
        <v>B</v>
      </c>
      <c r="AZ34" s="2695" t="str">
        <f t="shared" si="43"/>
        <v/>
      </c>
      <c r="BA34" s="2690" t="str">
        <f t="shared" si="44"/>
        <v/>
      </c>
      <c r="BB34" s="2737" t="str">
        <f t="shared" si="45"/>
        <v/>
      </c>
      <c r="BC34" s="2738" t="str">
        <f t="shared" si="46"/>
        <v/>
      </c>
      <c r="BD34" s="2695" t="str">
        <f t="shared" si="47"/>
        <v/>
      </c>
      <c r="BE34" s="2690" t="str">
        <f t="shared" si="48"/>
        <v/>
      </c>
      <c r="BF34" s="2737" t="str">
        <f t="shared" si="49"/>
        <v/>
      </c>
      <c r="BG34" s="2738" t="str">
        <f t="shared" si="50"/>
        <v/>
      </c>
      <c r="BH34" s="1417"/>
      <c r="BJ34" s="995" t="str">
        <f t="shared" si="93"/>
        <v>G37</v>
      </c>
      <c r="BK34" s="993" t="b">
        <f t="shared" si="51"/>
        <v>0</v>
      </c>
      <c r="BL34" s="1784" t="b">
        <v>0</v>
      </c>
      <c r="BM34" s="989">
        <f t="shared" si="52"/>
        <v>52</v>
      </c>
      <c r="BN34" s="989" t="str">
        <f t="shared" si="53"/>
        <v>G</v>
      </c>
      <c r="BO34" s="989">
        <f t="shared" si="54"/>
        <v>7</v>
      </c>
      <c r="BP34" s="989" t="str">
        <f t="shared" si="55"/>
        <v>11/5</v>
      </c>
      <c r="BQ34" s="989">
        <f t="shared" si="56"/>
        <v>2.4</v>
      </c>
      <c r="BR34" s="989" t="b">
        <f t="shared" si="57"/>
        <v>1</v>
      </c>
      <c r="BS34" s="1303">
        <f t="shared" si="58"/>
        <v>7.75</v>
      </c>
      <c r="BT34" s="990" t="str">
        <f t="shared" si="59"/>
        <v>Yes</v>
      </c>
      <c r="BU34" s="1303">
        <f t="shared" si="60"/>
        <v>7.75</v>
      </c>
      <c r="BV34" s="990" t="str">
        <f t="shared" si="61"/>
        <v>Yes</v>
      </c>
      <c r="BW34" s="991">
        <f t="shared" ca="1" si="62"/>
        <v>19</v>
      </c>
      <c r="BX34" s="991" t="str">
        <f t="shared" ca="1" si="63"/>
        <v>G37</v>
      </c>
      <c r="BY34" s="991" t="b">
        <f t="shared" ca="1" si="64"/>
        <v>0</v>
      </c>
      <c r="BZ34" s="991" t="b">
        <f t="shared" si="86"/>
        <v>0</v>
      </c>
      <c r="CB34" s="672" t="s">
        <v>1433</v>
      </c>
      <c r="CC34" s="1685">
        <v>2</v>
      </c>
      <c r="CD34" s="699" t="s">
        <v>1722</v>
      </c>
      <c r="CE34" s="700">
        <v>52</v>
      </c>
      <c r="CF34" s="701">
        <v>0</v>
      </c>
      <c r="CG34" s="672">
        <v>6</v>
      </c>
      <c r="CH34" s="713"/>
      <c r="CI34" s="714"/>
      <c r="CJ34" s="713"/>
      <c r="CK34" s="714"/>
      <c r="CL34" s="715"/>
      <c r="CM34" s="743"/>
      <c r="CN34" s="738"/>
      <c r="CO34" s="1552"/>
      <c r="CP34" s="910"/>
      <c r="CQ34" s="672">
        <v>6</v>
      </c>
      <c r="CR34" s="713"/>
      <c r="CS34" s="714"/>
      <c r="CT34" s="713"/>
      <c r="CU34" s="714"/>
      <c r="CV34" s="715"/>
      <c r="CW34" s="743"/>
      <c r="CX34" s="738"/>
      <c r="CY34" s="1552"/>
      <c r="CZ34" s="910"/>
      <c r="DA34" s="717"/>
      <c r="DB34" s="702">
        <v>10</v>
      </c>
      <c r="DC34" s="703"/>
      <c r="DD34" s="725"/>
      <c r="DE34" s="726">
        <v>11.125</v>
      </c>
      <c r="DF34" s="141"/>
      <c r="DG34" s="141"/>
      <c r="DH34" s="672" t="s">
        <v>1433</v>
      </c>
      <c r="DI34" s="673" t="s">
        <v>35</v>
      </c>
      <c r="DJ34" s="692">
        <v>4</v>
      </c>
      <c r="DK34" s="1332">
        <v>0</v>
      </c>
      <c r="DL34" s="674">
        <v>5</v>
      </c>
      <c r="DM34" s="693">
        <v>8</v>
      </c>
      <c r="DN34" s="1335">
        <v>0</v>
      </c>
      <c r="DO34" s="675"/>
      <c r="DP34" s="676"/>
      <c r="DQ34" s="1420">
        <v>5</v>
      </c>
      <c r="DR34" s="677">
        <v>13</v>
      </c>
      <c r="DS34" s="1420">
        <v>4</v>
      </c>
      <c r="DT34" s="1422"/>
      <c r="DU34" s="1423">
        <v>2</v>
      </c>
      <c r="DV34" s="678" t="s">
        <v>1018</v>
      </c>
      <c r="DW34" s="1337" t="s">
        <v>1705</v>
      </c>
      <c r="DX34" s="679"/>
      <c r="DY34" s="674" t="s">
        <v>35</v>
      </c>
      <c r="DZ34" s="2661">
        <v>51</v>
      </c>
      <c r="EA34" s="2664">
        <v>0.25</v>
      </c>
      <c r="EB34" s="679"/>
      <c r="EC34" s="2665" t="s">
        <v>35</v>
      </c>
      <c r="ED34" s="678"/>
      <c r="EE34" s="1337"/>
      <c r="EF34" s="679"/>
      <c r="EG34" s="674"/>
      <c r="EH34" s="678"/>
      <c r="EI34" s="1337"/>
      <c r="EJ34" s="679"/>
      <c r="EK34" s="680"/>
      <c r="EL34" s="241"/>
      <c r="EM34" s="1632" t="str">
        <f t="shared" si="65"/>
        <v>G37</v>
      </c>
      <c r="EN34" s="1429" t="str">
        <f t="shared" si="66"/>
        <v/>
      </c>
      <c r="EO34" s="1430" t="str">
        <f t="shared" si="67"/>
        <v/>
      </c>
      <c r="EP34" s="1431" t="str">
        <f t="shared" si="68"/>
        <v/>
      </c>
      <c r="EQ34" s="1435" t="str">
        <f t="shared" si="69"/>
        <v/>
      </c>
      <c r="ER34" s="1441" t="str">
        <f t="shared" si="70"/>
        <v/>
      </c>
      <c r="ES34" s="1442" t="str">
        <f t="shared" si="71"/>
        <v/>
      </c>
      <c r="ET34" s="1443" t="str">
        <f t="shared" si="72"/>
        <v/>
      </c>
      <c r="EU34" s="1444" t="str">
        <f t="shared" si="87"/>
        <v/>
      </c>
      <c r="EX34" s="503" t="str">
        <f t="shared" ca="1" si="88"/>
        <v>G37B</v>
      </c>
      <c r="EY34" s="940" t="b">
        <f t="shared" ca="1" si="73"/>
        <v>1</v>
      </c>
      <c r="EZ34" s="940">
        <f t="shared" ca="1" si="89"/>
        <v>5</v>
      </c>
      <c r="FA34" s="958" t="b">
        <f t="shared" ca="1" si="94"/>
        <v>1</v>
      </c>
      <c r="FB34" s="134">
        <f t="shared" ca="1" si="90"/>
        <v>620</v>
      </c>
      <c r="FC34" s="134">
        <f t="shared" ca="1" si="74"/>
        <v>46</v>
      </c>
      <c r="FD34" s="134">
        <f t="shared" ca="1" si="75"/>
        <v>480</v>
      </c>
      <c r="FE34" s="134">
        <f t="shared" ca="1" si="76"/>
        <v>94</v>
      </c>
      <c r="FF34" s="134">
        <f t="shared" ca="1" si="91"/>
        <v>620</v>
      </c>
      <c r="FN34" s="754" t="b">
        <v>0</v>
      </c>
      <c r="FO34" s="754" t="b">
        <f t="shared" si="77"/>
        <v>1</v>
      </c>
      <c r="FP34" s="754" t="b">
        <v>0</v>
      </c>
      <c r="FQ34" s="754" t="b">
        <f t="shared" si="92"/>
        <v>1</v>
      </c>
      <c r="FW34" s="2"/>
      <c r="FX34" s="2"/>
      <c r="FZ34" s="2"/>
      <c r="GA34" s="581">
        <f t="shared" si="78"/>
        <v>52</v>
      </c>
      <c r="GB34" s="623">
        <f t="shared" si="79"/>
        <v>0</v>
      </c>
      <c r="GC34" s="625">
        <f t="shared" si="80"/>
        <v>-0.25</v>
      </c>
      <c r="GD34" s="626">
        <f t="shared" si="81"/>
        <v>-0.25</v>
      </c>
      <c r="GE34" s="624">
        <f t="shared" si="82"/>
        <v>0</v>
      </c>
      <c r="GF34" s="582" t="str">
        <f t="shared" si="83"/>
        <v>G37</v>
      </c>
      <c r="GG34" s="692">
        <v>0</v>
      </c>
      <c r="GH34" s="1136">
        <v>0</v>
      </c>
      <c r="GI34" s="692"/>
      <c r="GJ34" s="1136"/>
      <c r="GK34" s="1641">
        <f t="shared" si="84"/>
        <v>623.5</v>
      </c>
      <c r="GL34" s="1641">
        <f t="shared" si="85"/>
        <v>623.5</v>
      </c>
      <c r="GM34" s="1642">
        <f>IF(ABS(GK34-GL34)&gt;='Job Info.'!$L$22,ABS(GK34-GL34),0)</f>
        <v>0</v>
      </c>
      <c r="HA34" s="1242" t="s">
        <v>1433</v>
      </c>
      <c r="HB34" s="1243">
        <v>2</v>
      </c>
      <c r="HC34" s="1243" t="s">
        <v>1722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10</v>
      </c>
      <c r="IB34" s="1247"/>
      <c r="IC34" s="1247"/>
      <c r="ID34" s="1262">
        <v>11.125</v>
      </c>
      <c r="IE34" s="1242" t="s">
        <v>1433</v>
      </c>
      <c r="IF34" s="1243" t="s">
        <v>35</v>
      </c>
      <c r="IG34" s="1244">
        <v>4</v>
      </c>
      <c r="IH34" s="1245">
        <v>0</v>
      </c>
      <c r="II34" s="1243">
        <v>5</v>
      </c>
      <c r="IJ34" s="1244">
        <v>8</v>
      </c>
      <c r="IK34" s="1245">
        <v>0</v>
      </c>
      <c r="IL34" s="1243"/>
      <c r="IM34" s="1243"/>
      <c r="IN34" s="1243">
        <v>5</v>
      </c>
      <c r="IO34" s="1243">
        <v>13</v>
      </c>
      <c r="IP34" s="1243">
        <v>4</v>
      </c>
      <c r="IQ34" s="1243"/>
      <c r="IR34" s="1243">
        <v>2</v>
      </c>
      <c r="IS34" s="1244" t="s">
        <v>1018</v>
      </c>
      <c r="IT34" s="1245" t="s">
        <v>1705</v>
      </c>
      <c r="IU34" s="1243"/>
      <c r="IV34" s="1243" t="s">
        <v>35</v>
      </c>
      <c r="IW34" s="1244"/>
      <c r="IX34" s="1245"/>
      <c r="IY34" s="1243"/>
      <c r="IZ34" s="1243"/>
      <c r="JA34" s="1244"/>
      <c r="JB34" s="1245"/>
      <c r="JC34" s="1243"/>
      <c r="JD34" s="1243"/>
      <c r="JE34" s="1244"/>
      <c r="JF34" s="1245"/>
      <c r="JG34" s="1243"/>
      <c r="JH34" s="1243"/>
      <c r="JI34" s="1243"/>
      <c r="JJ34" s="1246"/>
      <c r="JK34" s="1243">
        <v>1</v>
      </c>
      <c r="JL34" s="1172">
        <f t="shared" ca="1" si="95"/>
        <v>1</v>
      </c>
    </row>
    <row r="35" spans="1:272" ht="12.6" customHeight="1" x14ac:dyDescent="0.25">
      <c r="A35" s="2683" t="str">
        <f t="shared" si="0"/>
        <v>G38</v>
      </c>
      <c r="B35" s="2684">
        <f t="shared" si="0"/>
        <v>2</v>
      </c>
      <c r="C35" s="2685" t="s">
        <v>1722</v>
      </c>
      <c r="D35" s="2686">
        <f t="shared" si="1"/>
        <v>51</v>
      </c>
      <c r="E35" s="2687">
        <f t="shared" si="2"/>
        <v>11.5</v>
      </c>
      <c r="F35" s="2688">
        <f t="shared" si="3"/>
        <v>11.125</v>
      </c>
      <c r="G35" s="2689">
        <f t="shared" si="4"/>
        <v>0</v>
      </c>
      <c r="H35" s="2690">
        <f t="shared" si="5"/>
        <v>1.75</v>
      </c>
      <c r="I35" s="2691" t="str">
        <f t="shared" si="6"/>
        <v>R</v>
      </c>
      <c r="J35" s="2686">
        <f t="shared" si="7"/>
        <v>0</v>
      </c>
      <c r="K35" s="2690">
        <f t="shared" si="8"/>
        <v>1.75</v>
      </c>
      <c r="L35" s="2692" t="str">
        <f t="shared" si="9"/>
        <v>R</v>
      </c>
      <c r="M35" s="2693">
        <f t="shared" si="10"/>
        <v>7.5</v>
      </c>
      <c r="N35" s="2694">
        <f t="shared" si="10"/>
        <v>7.5</v>
      </c>
      <c r="O35" s="2689">
        <f t="shared" si="11"/>
        <v>0</v>
      </c>
      <c r="P35" s="2690">
        <f t="shared" si="12"/>
        <v>6.75</v>
      </c>
      <c r="Q35" s="2686">
        <f t="shared" si="13"/>
        <v>0</v>
      </c>
      <c r="R35" s="2687">
        <f t="shared" si="14"/>
        <v>6.75</v>
      </c>
      <c r="S35" s="2695">
        <f t="shared" si="15"/>
        <v>0</v>
      </c>
      <c r="T35" s="2690">
        <f t="shared" si="16"/>
        <v>6.25</v>
      </c>
      <c r="U35" s="2686">
        <f t="shared" si="17"/>
        <v>0</v>
      </c>
      <c r="V35" s="2690">
        <f t="shared" si="18"/>
        <v>6.25</v>
      </c>
      <c r="W35" s="2694">
        <f t="shared" si="19"/>
        <v>5</v>
      </c>
      <c r="X35" s="2696" t="str">
        <f t="shared" si="20"/>
        <v/>
      </c>
      <c r="Y35" s="2697" t="str">
        <f t="shared" si="21"/>
        <v/>
      </c>
      <c r="Z35" s="2698" t="s">
        <v>1901</v>
      </c>
      <c r="AA35" s="2758" t="str">
        <f t="shared" si="22"/>
        <v/>
      </c>
      <c r="AB35" s="2683" t="str">
        <f t="shared" si="23"/>
        <v>G38</v>
      </c>
      <c r="AC35" s="2691" t="str">
        <f t="shared" si="24"/>
        <v>B</v>
      </c>
      <c r="AD35" s="2686">
        <f t="shared" ca="1" si="25"/>
        <v>7</v>
      </c>
      <c r="AE35" s="2690">
        <f t="shared" ca="1" si="26"/>
        <v>10</v>
      </c>
      <c r="AF35" s="2691">
        <f t="shared" ca="1" si="27"/>
        <v>5</v>
      </c>
      <c r="AG35" s="2686">
        <f t="shared" ca="1" si="28"/>
        <v>8</v>
      </c>
      <c r="AH35" s="2690">
        <f t="shared" ca="1" si="29"/>
        <v>0</v>
      </c>
      <c r="AI35" s="2686">
        <f t="shared" ca="1" si="30"/>
        <v>3</v>
      </c>
      <c r="AJ35" s="2690">
        <f t="shared" ca="1" si="31"/>
        <v>10</v>
      </c>
      <c r="AK35" s="2732" t="str">
        <f t="shared" si="32"/>
        <v/>
      </c>
      <c r="AL35" s="2733" t="str">
        <f t="shared" si="33"/>
        <v/>
      </c>
      <c r="AM35" s="2734">
        <f t="shared" si="32"/>
        <v>5</v>
      </c>
      <c r="AN35" s="2691">
        <f t="shared" si="32"/>
        <v>13</v>
      </c>
      <c r="AO35" s="2694">
        <f t="shared" si="32"/>
        <v>4</v>
      </c>
      <c r="AP35" s="2693">
        <f t="shared" si="34"/>
        <v>1.75</v>
      </c>
      <c r="AQ35" s="2736" t="str">
        <f t="shared" si="34"/>
        <v/>
      </c>
      <c r="AR35" s="2689" t="str">
        <f t="shared" si="35"/>
        <v>P</v>
      </c>
      <c r="AS35" s="2690" t="str">
        <f t="shared" si="36"/>
        <v>#6</v>
      </c>
      <c r="AT35" s="2737" t="str">
        <f t="shared" si="37"/>
        <v/>
      </c>
      <c r="AU35" s="2738" t="str">
        <f t="shared" si="38"/>
        <v>B</v>
      </c>
      <c r="AV35" s="2695">
        <f t="shared" si="39"/>
        <v>1</v>
      </c>
      <c r="AW35" s="2690">
        <f t="shared" si="40"/>
        <v>0</v>
      </c>
      <c r="AX35" s="2737" t="str">
        <f t="shared" si="41"/>
        <v/>
      </c>
      <c r="AY35" s="2738" t="str">
        <f t="shared" si="42"/>
        <v>B</v>
      </c>
      <c r="AZ35" s="2695" t="str">
        <f t="shared" si="43"/>
        <v/>
      </c>
      <c r="BA35" s="2690" t="str">
        <f t="shared" si="44"/>
        <v/>
      </c>
      <c r="BB35" s="2737" t="str">
        <f t="shared" si="45"/>
        <v/>
      </c>
      <c r="BC35" s="2738" t="str">
        <f t="shared" si="46"/>
        <v/>
      </c>
      <c r="BD35" s="2695" t="str">
        <f t="shared" si="47"/>
        <v/>
      </c>
      <c r="BE35" s="2690" t="str">
        <f t="shared" si="48"/>
        <v/>
      </c>
      <c r="BF35" s="2737" t="str">
        <f t="shared" si="49"/>
        <v/>
      </c>
      <c r="BG35" s="2738" t="str">
        <f t="shared" si="50"/>
        <v/>
      </c>
      <c r="BH35" s="1417"/>
      <c r="BJ35" s="995" t="str">
        <f t="shared" si="93"/>
        <v>G38</v>
      </c>
      <c r="BK35" s="993" t="b">
        <f t="shared" si="51"/>
        <v>0</v>
      </c>
      <c r="BL35" s="1784" t="b">
        <v>0</v>
      </c>
      <c r="BM35" s="989">
        <f t="shared" si="52"/>
        <v>52</v>
      </c>
      <c r="BN35" s="989" t="str">
        <f t="shared" si="53"/>
        <v>G</v>
      </c>
      <c r="BO35" s="989">
        <f t="shared" si="54"/>
        <v>7</v>
      </c>
      <c r="BP35" s="989" t="str">
        <f t="shared" si="55"/>
        <v>11/5</v>
      </c>
      <c r="BQ35" s="989">
        <f t="shared" si="56"/>
        <v>2.4</v>
      </c>
      <c r="BR35" s="989" t="b">
        <f t="shared" si="57"/>
        <v>1</v>
      </c>
      <c r="BS35" s="1303">
        <f t="shared" si="58"/>
        <v>7.75</v>
      </c>
      <c r="BT35" s="990" t="str">
        <f t="shared" si="59"/>
        <v>Yes</v>
      </c>
      <c r="BU35" s="1303">
        <f t="shared" si="60"/>
        <v>7.75</v>
      </c>
      <c r="BV35" s="990" t="str">
        <f t="shared" si="61"/>
        <v>Yes</v>
      </c>
      <c r="BW35" s="991">
        <f t="shared" ca="1" si="62"/>
        <v>19</v>
      </c>
      <c r="BX35" s="991" t="str">
        <f t="shared" ca="1" si="63"/>
        <v>G38</v>
      </c>
      <c r="BY35" s="991" t="b">
        <f t="shared" ca="1" si="64"/>
        <v>0</v>
      </c>
      <c r="BZ35" s="991" t="b">
        <f t="shared" si="86"/>
        <v>0</v>
      </c>
      <c r="CB35" s="672" t="s">
        <v>1434</v>
      </c>
      <c r="CC35" s="1685">
        <v>2</v>
      </c>
      <c r="CD35" s="699" t="s">
        <v>1722</v>
      </c>
      <c r="CE35" s="700">
        <v>52</v>
      </c>
      <c r="CF35" s="701">
        <v>0</v>
      </c>
      <c r="CG35" s="672">
        <v>6</v>
      </c>
      <c r="CH35" s="713"/>
      <c r="CI35" s="714"/>
      <c r="CJ35" s="713"/>
      <c r="CK35" s="714"/>
      <c r="CL35" s="715"/>
      <c r="CM35" s="743"/>
      <c r="CN35" s="738"/>
      <c r="CO35" s="1552"/>
      <c r="CP35" s="910"/>
      <c r="CQ35" s="672">
        <v>6</v>
      </c>
      <c r="CR35" s="713"/>
      <c r="CS35" s="714"/>
      <c r="CT35" s="713"/>
      <c r="CU35" s="714"/>
      <c r="CV35" s="715"/>
      <c r="CW35" s="743"/>
      <c r="CX35" s="738"/>
      <c r="CY35" s="1552"/>
      <c r="CZ35" s="910"/>
      <c r="DA35" s="717"/>
      <c r="DB35" s="702" t="s">
        <v>1728</v>
      </c>
      <c r="DC35" s="703"/>
      <c r="DD35" s="725"/>
      <c r="DE35" s="726">
        <v>11.125</v>
      </c>
      <c r="DF35" s="141"/>
      <c r="DG35" s="141"/>
      <c r="DH35" s="672" t="s">
        <v>1434</v>
      </c>
      <c r="DI35" s="673" t="s">
        <v>35</v>
      </c>
      <c r="DJ35" s="692">
        <v>8</v>
      </c>
      <c r="DK35" s="1332">
        <v>0</v>
      </c>
      <c r="DL35" s="674">
        <v>5</v>
      </c>
      <c r="DM35" s="693">
        <v>8</v>
      </c>
      <c r="DN35" s="1335">
        <v>0</v>
      </c>
      <c r="DO35" s="675"/>
      <c r="DP35" s="676"/>
      <c r="DQ35" s="1420">
        <v>5</v>
      </c>
      <c r="DR35" s="677">
        <v>13</v>
      </c>
      <c r="DS35" s="1420">
        <v>4</v>
      </c>
      <c r="DT35" s="1422">
        <v>2</v>
      </c>
      <c r="DU35" s="1423"/>
      <c r="DV35" s="678" t="s">
        <v>1018</v>
      </c>
      <c r="DW35" s="1337" t="s">
        <v>1706</v>
      </c>
      <c r="DX35" s="679"/>
      <c r="DY35" s="674" t="s">
        <v>35</v>
      </c>
      <c r="DZ35" s="2661">
        <v>1</v>
      </c>
      <c r="EA35" s="2664">
        <v>0.25</v>
      </c>
      <c r="EB35" s="679"/>
      <c r="EC35" s="2665" t="s">
        <v>35</v>
      </c>
      <c r="ED35" s="678"/>
      <c r="EE35" s="1337"/>
      <c r="EF35" s="679"/>
      <c r="EG35" s="674"/>
      <c r="EH35" s="678"/>
      <c r="EI35" s="1337"/>
      <c r="EJ35" s="679"/>
      <c r="EK35" s="680"/>
      <c r="EL35" s="241"/>
      <c r="EM35" s="1632" t="str">
        <f t="shared" si="65"/>
        <v>G38</v>
      </c>
      <c r="EN35" s="1429" t="str">
        <f t="shared" si="66"/>
        <v/>
      </c>
      <c r="EO35" s="1430" t="str">
        <f t="shared" si="67"/>
        <v/>
      </c>
      <c r="EP35" s="1431" t="str">
        <f t="shared" si="68"/>
        <v/>
      </c>
      <c r="EQ35" s="1435" t="str">
        <f t="shared" si="69"/>
        <v/>
      </c>
      <c r="ER35" s="1441" t="str">
        <f t="shared" si="70"/>
        <v/>
      </c>
      <c r="ES35" s="1442" t="str">
        <f t="shared" si="71"/>
        <v/>
      </c>
      <c r="ET35" s="1443" t="str">
        <f t="shared" si="72"/>
        <v/>
      </c>
      <c r="EU35" s="1444" t="str">
        <f t="shared" si="87"/>
        <v/>
      </c>
      <c r="EX35" s="503" t="str">
        <f t="shared" ca="1" si="88"/>
        <v>G38B</v>
      </c>
      <c r="EY35" s="940" t="b">
        <f t="shared" ca="1" si="73"/>
        <v>1</v>
      </c>
      <c r="EZ35" s="940">
        <f t="shared" ca="1" si="89"/>
        <v>5</v>
      </c>
      <c r="FA35" s="958" t="b">
        <f t="shared" ca="1" si="94"/>
        <v>1</v>
      </c>
      <c r="FB35" s="134">
        <f t="shared" ca="1" si="90"/>
        <v>620</v>
      </c>
      <c r="FC35" s="134">
        <f t="shared" ca="1" si="74"/>
        <v>94</v>
      </c>
      <c r="FD35" s="134">
        <f t="shared" ca="1" si="75"/>
        <v>480</v>
      </c>
      <c r="FE35" s="134">
        <f t="shared" ca="1" si="76"/>
        <v>46</v>
      </c>
      <c r="FF35" s="134">
        <f t="shared" ca="1" si="91"/>
        <v>620</v>
      </c>
      <c r="FN35" s="754" t="b">
        <v>0</v>
      </c>
      <c r="FO35" s="754" t="b">
        <f t="shared" si="77"/>
        <v>1</v>
      </c>
      <c r="FP35" s="754" t="b">
        <v>0</v>
      </c>
      <c r="FQ35" s="754" t="b">
        <f t="shared" si="92"/>
        <v>1</v>
      </c>
      <c r="FW35" s="2"/>
      <c r="FX35" s="2"/>
      <c r="FZ35" s="2"/>
      <c r="GA35" s="581">
        <f t="shared" si="78"/>
        <v>52</v>
      </c>
      <c r="GB35" s="623">
        <f t="shared" si="79"/>
        <v>0</v>
      </c>
      <c r="GC35" s="625">
        <f t="shared" si="80"/>
        <v>-0.25</v>
      </c>
      <c r="GD35" s="626">
        <f t="shared" si="81"/>
        <v>-0.25</v>
      </c>
      <c r="GE35" s="624">
        <f t="shared" si="82"/>
        <v>0</v>
      </c>
      <c r="GF35" s="582" t="str">
        <f t="shared" si="83"/>
        <v>G38</v>
      </c>
      <c r="GG35" s="692">
        <v>0</v>
      </c>
      <c r="GH35" s="1136">
        <v>0</v>
      </c>
      <c r="GI35" s="692"/>
      <c r="GJ35" s="1136"/>
      <c r="GK35" s="1641">
        <f t="shared" si="84"/>
        <v>623.5</v>
      </c>
      <c r="GL35" s="1641">
        <f t="shared" si="85"/>
        <v>623.5</v>
      </c>
      <c r="GM35" s="1642">
        <f>IF(ABS(GK35-GL35)&gt;='Job Info.'!$L$22,ABS(GK35-GL35),0)</f>
        <v>0</v>
      </c>
      <c r="HA35" s="1242" t="s">
        <v>1434</v>
      </c>
      <c r="HB35" s="1243">
        <v>2</v>
      </c>
      <c r="HC35" s="1243" t="s">
        <v>1722</v>
      </c>
      <c r="HD35" s="1244">
        <v>52</v>
      </c>
      <c r="HE35" s="1245">
        <v>0</v>
      </c>
      <c r="HF35" s="1243">
        <v>6</v>
      </c>
      <c r="HG35" s="1243"/>
      <c r="HH35" s="1243"/>
      <c r="HI35" s="1243"/>
      <c r="HJ35" s="1243"/>
      <c r="HK35" s="1243"/>
      <c r="HL35" s="1243"/>
      <c r="HM35" s="1243"/>
      <c r="HN35" s="1243"/>
      <c r="HO35" s="1243"/>
      <c r="HP35" s="1243">
        <v>6</v>
      </c>
      <c r="HQ35" s="1243"/>
      <c r="HR35" s="1243"/>
      <c r="HS35" s="1243"/>
      <c r="HT35" s="1243"/>
      <c r="HU35" s="1243"/>
      <c r="HV35" s="1243"/>
      <c r="HW35" s="1243"/>
      <c r="HX35" s="1243"/>
      <c r="HY35" s="1247"/>
      <c r="HZ35" s="1247"/>
      <c r="IA35" s="1247" t="s">
        <v>1728</v>
      </c>
      <c r="IB35" s="1247"/>
      <c r="IC35" s="1247"/>
      <c r="ID35" s="1262">
        <v>11.125</v>
      </c>
      <c r="IE35" s="1242" t="s">
        <v>1434</v>
      </c>
      <c r="IF35" s="1243" t="s">
        <v>35</v>
      </c>
      <c r="IG35" s="1244">
        <v>8</v>
      </c>
      <c r="IH35" s="1245">
        <v>0</v>
      </c>
      <c r="II35" s="1243">
        <v>5</v>
      </c>
      <c r="IJ35" s="1244">
        <v>8</v>
      </c>
      <c r="IK35" s="1245">
        <v>0</v>
      </c>
      <c r="IL35" s="1243"/>
      <c r="IM35" s="1243"/>
      <c r="IN35" s="1243">
        <v>5</v>
      </c>
      <c r="IO35" s="1243">
        <v>13</v>
      </c>
      <c r="IP35" s="1243">
        <v>4</v>
      </c>
      <c r="IQ35" s="1243">
        <v>2</v>
      </c>
      <c r="IR35" s="1243"/>
      <c r="IS35" s="1244" t="s">
        <v>1018</v>
      </c>
      <c r="IT35" s="1245" t="s">
        <v>1706</v>
      </c>
      <c r="IU35" s="1243"/>
      <c r="IV35" s="1243" t="s">
        <v>35</v>
      </c>
      <c r="IW35" s="1244"/>
      <c r="IX35" s="1245"/>
      <c r="IY35" s="1243"/>
      <c r="IZ35" s="1243"/>
      <c r="JA35" s="1244"/>
      <c r="JB35" s="1245"/>
      <c r="JC35" s="1243"/>
      <c r="JD35" s="1243"/>
      <c r="JE35" s="1244"/>
      <c r="JF35" s="1245"/>
      <c r="JG35" s="1243"/>
      <c r="JH35" s="1243"/>
      <c r="JI35" s="1243"/>
      <c r="JJ35" s="1246"/>
      <c r="JK35" s="1243">
        <v>1</v>
      </c>
      <c r="JL35" s="1172">
        <f t="shared" ca="1" si="95"/>
        <v>1</v>
      </c>
    </row>
    <row r="36" spans="1:272" ht="12.6" customHeight="1" x14ac:dyDescent="0.25">
      <c r="A36" s="2683" t="str">
        <f t="shared" si="0"/>
        <v>G39</v>
      </c>
      <c r="B36" s="2684">
        <f t="shared" si="0"/>
        <v>1</v>
      </c>
      <c r="C36" s="2685" t="s">
        <v>1722</v>
      </c>
      <c r="D36" s="2686">
        <f t="shared" si="1"/>
        <v>51</v>
      </c>
      <c r="E36" s="2687">
        <f t="shared" si="2"/>
        <v>11.5</v>
      </c>
      <c r="F36" s="2688">
        <f t="shared" si="3"/>
        <v>11.125</v>
      </c>
      <c r="G36" s="2689">
        <f t="shared" si="4"/>
        <v>0</v>
      </c>
      <c r="H36" s="2690">
        <f t="shared" si="5"/>
        <v>1.75</v>
      </c>
      <c r="I36" s="2691" t="str">
        <f t="shared" si="6"/>
        <v>R</v>
      </c>
      <c r="J36" s="2686">
        <f t="shared" si="7"/>
        <v>0</v>
      </c>
      <c r="K36" s="2690">
        <f t="shared" si="8"/>
        <v>1.75</v>
      </c>
      <c r="L36" s="2692" t="str">
        <f t="shared" si="9"/>
        <v>R</v>
      </c>
      <c r="M36" s="2693">
        <f t="shared" si="10"/>
        <v>7.5</v>
      </c>
      <c r="N36" s="2694">
        <f t="shared" si="10"/>
        <v>7.5</v>
      </c>
      <c r="O36" s="2689">
        <f t="shared" si="11"/>
        <v>0</v>
      </c>
      <c r="P36" s="2690">
        <f t="shared" si="12"/>
        <v>6.75</v>
      </c>
      <c r="Q36" s="2686">
        <f t="shared" si="13"/>
        <v>0</v>
      </c>
      <c r="R36" s="2687">
        <f t="shared" si="14"/>
        <v>6.75</v>
      </c>
      <c r="S36" s="2695">
        <f t="shared" si="15"/>
        <v>0</v>
      </c>
      <c r="T36" s="2690">
        <f t="shared" si="16"/>
        <v>6.25</v>
      </c>
      <c r="U36" s="2686">
        <f t="shared" si="17"/>
        <v>0</v>
      </c>
      <c r="V36" s="2690">
        <f t="shared" si="18"/>
        <v>6.25</v>
      </c>
      <c r="W36" s="2694">
        <f t="shared" si="19"/>
        <v>5</v>
      </c>
      <c r="X36" s="2696" t="str">
        <f t="shared" si="20"/>
        <v/>
      </c>
      <c r="Y36" s="2697" t="str">
        <f t="shared" si="21"/>
        <v/>
      </c>
      <c r="Z36" s="2698" t="s">
        <v>1902</v>
      </c>
      <c r="AA36" s="2758" t="str">
        <f t="shared" si="22"/>
        <v/>
      </c>
      <c r="AB36" s="2683" t="str">
        <f t="shared" si="23"/>
        <v>G39</v>
      </c>
      <c r="AC36" s="2691" t="str">
        <f t="shared" si="24"/>
        <v>B</v>
      </c>
      <c r="AD36" s="2686">
        <f t="shared" ca="1" si="25"/>
        <v>3</v>
      </c>
      <c r="AE36" s="2690">
        <f t="shared" ca="1" si="26"/>
        <v>10</v>
      </c>
      <c r="AF36" s="2691">
        <f t="shared" ca="1" si="27"/>
        <v>5</v>
      </c>
      <c r="AG36" s="2686">
        <f t="shared" ca="1" si="28"/>
        <v>8</v>
      </c>
      <c r="AH36" s="2690">
        <f t="shared" ca="1" si="29"/>
        <v>0</v>
      </c>
      <c r="AI36" s="2686">
        <f t="shared" ca="1" si="30"/>
        <v>7</v>
      </c>
      <c r="AJ36" s="2690">
        <f t="shared" ca="1" si="31"/>
        <v>10</v>
      </c>
      <c r="AK36" s="2732" t="str">
        <f t="shared" si="32"/>
        <v/>
      </c>
      <c r="AL36" s="2733" t="str">
        <f t="shared" si="33"/>
        <v/>
      </c>
      <c r="AM36" s="2734">
        <f t="shared" si="32"/>
        <v>5</v>
      </c>
      <c r="AN36" s="2691">
        <f t="shared" si="32"/>
        <v>13</v>
      </c>
      <c r="AO36" s="2694">
        <f t="shared" si="32"/>
        <v>4</v>
      </c>
      <c r="AP36" s="2693" t="str">
        <f t="shared" si="34"/>
        <v/>
      </c>
      <c r="AQ36" s="2736">
        <f t="shared" si="34"/>
        <v>1.75</v>
      </c>
      <c r="AR36" s="2689" t="str">
        <f t="shared" si="35"/>
        <v>P</v>
      </c>
      <c r="AS36" s="2690" t="str">
        <f t="shared" si="36"/>
        <v>#1</v>
      </c>
      <c r="AT36" s="2737" t="str">
        <f t="shared" si="37"/>
        <v/>
      </c>
      <c r="AU36" s="2738" t="str">
        <f t="shared" si="38"/>
        <v>B</v>
      </c>
      <c r="AV36" s="2695">
        <f t="shared" si="39"/>
        <v>51</v>
      </c>
      <c r="AW36" s="2690">
        <f t="shared" si="40"/>
        <v>0</v>
      </c>
      <c r="AX36" s="2737" t="str">
        <f t="shared" si="41"/>
        <v/>
      </c>
      <c r="AY36" s="2738" t="str">
        <f t="shared" si="42"/>
        <v>B</v>
      </c>
      <c r="AZ36" s="2695" t="str">
        <f t="shared" si="43"/>
        <v/>
      </c>
      <c r="BA36" s="2690" t="str">
        <f t="shared" si="44"/>
        <v/>
      </c>
      <c r="BB36" s="2737" t="str">
        <f t="shared" si="45"/>
        <v/>
      </c>
      <c r="BC36" s="2738" t="str">
        <f t="shared" si="46"/>
        <v/>
      </c>
      <c r="BD36" s="2695" t="str">
        <f t="shared" si="47"/>
        <v/>
      </c>
      <c r="BE36" s="2690" t="str">
        <f t="shared" si="48"/>
        <v/>
      </c>
      <c r="BF36" s="2737" t="str">
        <f t="shared" si="49"/>
        <v/>
      </c>
      <c r="BG36" s="2738" t="str">
        <f t="shared" si="50"/>
        <v/>
      </c>
      <c r="BH36" s="1417"/>
      <c r="BJ36" s="995" t="str">
        <f t="shared" si="93"/>
        <v>G39</v>
      </c>
      <c r="BK36" s="993" t="b">
        <f t="shared" si="51"/>
        <v>0</v>
      </c>
      <c r="BL36" s="1784" t="b">
        <v>0</v>
      </c>
      <c r="BM36" s="989">
        <f t="shared" si="52"/>
        <v>52</v>
      </c>
      <c r="BN36" s="989" t="str">
        <f t="shared" si="53"/>
        <v>G</v>
      </c>
      <c r="BO36" s="989">
        <f t="shared" si="54"/>
        <v>7</v>
      </c>
      <c r="BP36" s="989" t="str">
        <f t="shared" si="55"/>
        <v>11/5</v>
      </c>
      <c r="BQ36" s="989">
        <f t="shared" si="56"/>
        <v>2.4</v>
      </c>
      <c r="BR36" s="989" t="b">
        <f t="shared" si="57"/>
        <v>1</v>
      </c>
      <c r="BS36" s="1303">
        <f t="shared" si="58"/>
        <v>7.75</v>
      </c>
      <c r="BT36" s="990" t="str">
        <f t="shared" si="59"/>
        <v>Yes</v>
      </c>
      <c r="BU36" s="1303">
        <f t="shared" si="60"/>
        <v>7.75</v>
      </c>
      <c r="BV36" s="990" t="str">
        <f t="shared" si="61"/>
        <v>Yes</v>
      </c>
      <c r="BW36" s="991">
        <f t="shared" ca="1" si="62"/>
        <v>19</v>
      </c>
      <c r="BX36" s="991" t="str">
        <f t="shared" ca="1" si="63"/>
        <v>G39</v>
      </c>
      <c r="BY36" s="991" t="b">
        <f t="shared" ca="1" si="64"/>
        <v>0</v>
      </c>
      <c r="BZ36" s="991" t="b">
        <f t="shared" si="86"/>
        <v>0</v>
      </c>
      <c r="CB36" s="672" t="s">
        <v>1435</v>
      </c>
      <c r="CC36" s="1685">
        <v>1</v>
      </c>
      <c r="CD36" s="699" t="s">
        <v>1722</v>
      </c>
      <c r="CE36" s="700">
        <v>52</v>
      </c>
      <c r="CF36" s="701">
        <v>0</v>
      </c>
      <c r="CG36" s="672">
        <v>6</v>
      </c>
      <c r="CH36" s="713"/>
      <c r="CI36" s="714"/>
      <c r="CJ36" s="713"/>
      <c r="CK36" s="714"/>
      <c r="CL36" s="715"/>
      <c r="CM36" s="743"/>
      <c r="CN36" s="738"/>
      <c r="CO36" s="1552"/>
      <c r="CP36" s="910"/>
      <c r="CQ36" s="672">
        <v>6</v>
      </c>
      <c r="CR36" s="713"/>
      <c r="CS36" s="714"/>
      <c r="CT36" s="713"/>
      <c r="CU36" s="714"/>
      <c r="CV36" s="715"/>
      <c r="CW36" s="743"/>
      <c r="CX36" s="738"/>
      <c r="CY36" s="1552"/>
      <c r="CZ36" s="910"/>
      <c r="DA36" s="717"/>
      <c r="DB36" s="702" t="s">
        <v>1728</v>
      </c>
      <c r="DC36" s="703" t="s">
        <v>34</v>
      </c>
      <c r="DD36" s="725"/>
      <c r="DE36" s="726">
        <v>11.125</v>
      </c>
      <c r="DF36" s="141"/>
      <c r="DG36" s="141"/>
      <c r="DH36" s="672" t="s">
        <v>1435</v>
      </c>
      <c r="DI36" s="673" t="s">
        <v>35</v>
      </c>
      <c r="DJ36" s="692">
        <v>4</v>
      </c>
      <c r="DK36" s="1332">
        <v>0</v>
      </c>
      <c r="DL36" s="674">
        <v>5</v>
      </c>
      <c r="DM36" s="693">
        <v>8</v>
      </c>
      <c r="DN36" s="1335">
        <v>0</v>
      </c>
      <c r="DO36" s="675"/>
      <c r="DP36" s="676"/>
      <c r="DQ36" s="1420">
        <v>5</v>
      </c>
      <c r="DR36" s="677">
        <v>13</v>
      </c>
      <c r="DS36" s="1420">
        <v>4</v>
      </c>
      <c r="DT36" s="1422"/>
      <c r="DU36" s="1423">
        <v>2</v>
      </c>
      <c r="DV36" s="678" t="s">
        <v>1018</v>
      </c>
      <c r="DW36" s="1337" t="s">
        <v>1705</v>
      </c>
      <c r="DX36" s="679"/>
      <c r="DY36" s="674" t="s">
        <v>35</v>
      </c>
      <c r="DZ36" s="2661">
        <v>51</v>
      </c>
      <c r="EA36" s="2664">
        <v>0.25</v>
      </c>
      <c r="EB36" s="679"/>
      <c r="EC36" s="2665" t="s">
        <v>35</v>
      </c>
      <c r="ED36" s="678"/>
      <c r="EE36" s="1337"/>
      <c r="EF36" s="679"/>
      <c r="EG36" s="674"/>
      <c r="EH36" s="678"/>
      <c r="EI36" s="1337"/>
      <c r="EJ36" s="679"/>
      <c r="EK36" s="680"/>
      <c r="EL36" s="241"/>
      <c r="EM36" s="1632" t="str">
        <f t="shared" si="65"/>
        <v>G39</v>
      </c>
      <c r="EN36" s="1429" t="str">
        <f t="shared" si="66"/>
        <v/>
      </c>
      <c r="EO36" s="1430" t="str">
        <f t="shared" si="67"/>
        <v/>
      </c>
      <c r="EP36" s="1431" t="str">
        <f t="shared" si="68"/>
        <v/>
      </c>
      <c r="EQ36" s="1435" t="str">
        <f t="shared" si="69"/>
        <v/>
      </c>
      <c r="ER36" s="1441" t="str">
        <f t="shared" si="70"/>
        <v/>
      </c>
      <c r="ES36" s="1442" t="str">
        <f t="shared" si="71"/>
        <v/>
      </c>
      <c r="ET36" s="1443" t="str">
        <f t="shared" si="72"/>
        <v/>
      </c>
      <c r="EU36" s="1444" t="str">
        <f t="shared" si="87"/>
        <v/>
      </c>
      <c r="EX36" s="503" t="str">
        <f t="shared" ca="1" si="88"/>
        <v>G39B</v>
      </c>
      <c r="EY36" s="940" t="b">
        <f t="shared" ca="1" si="73"/>
        <v>1</v>
      </c>
      <c r="EZ36" s="940">
        <f t="shared" ca="1" si="89"/>
        <v>5</v>
      </c>
      <c r="FA36" s="958" t="b">
        <f t="shared" ca="1" si="94"/>
        <v>1</v>
      </c>
      <c r="FB36" s="134">
        <f t="shared" ca="1" si="90"/>
        <v>620</v>
      </c>
      <c r="FC36" s="134">
        <f t="shared" ca="1" si="74"/>
        <v>46</v>
      </c>
      <c r="FD36" s="134">
        <f t="shared" ca="1" si="75"/>
        <v>480</v>
      </c>
      <c r="FE36" s="134">
        <f t="shared" ca="1" si="76"/>
        <v>94</v>
      </c>
      <c r="FF36" s="134">
        <f t="shared" ca="1" si="91"/>
        <v>620</v>
      </c>
      <c r="FN36" s="754" t="b">
        <v>0</v>
      </c>
      <c r="FO36" s="754" t="b">
        <f t="shared" si="77"/>
        <v>1</v>
      </c>
      <c r="FP36" s="754" t="b">
        <v>0</v>
      </c>
      <c r="FQ36" s="754" t="b">
        <f t="shared" si="92"/>
        <v>1</v>
      </c>
      <c r="FW36" s="2"/>
      <c r="FX36" s="2"/>
      <c r="FZ36" s="2"/>
      <c r="GA36" s="581">
        <f t="shared" si="78"/>
        <v>52</v>
      </c>
      <c r="GB36" s="623">
        <f t="shared" si="79"/>
        <v>0</v>
      </c>
      <c r="GC36" s="625">
        <f t="shared" si="80"/>
        <v>-0.25</v>
      </c>
      <c r="GD36" s="626">
        <f t="shared" si="81"/>
        <v>-0.25</v>
      </c>
      <c r="GE36" s="624">
        <f t="shared" si="82"/>
        <v>0</v>
      </c>
      <c r="GF36" s="582" t="str">
        <f t="shared" si="83"/>
        <v>G39</v>
      </c>
      <c r="GG36" s="692">
        <v>0</v>
      </c>
      <c r="GH36" s="1136">
        <v>0</v>
      </c>
      <c r="GI36" s="692"/>
      <c r="GJ36" s="1136"/>
      <c r="GK36" s="1641">
        <f t="shared" si="84"/>
        <v>623.5</v>
      </c>
      <c r="GL36" s="1641">
        <f t="shared" si="85"/>
        <v>623.5</v>
      </c>
      <c r="GM36" s="1642">
        <f>IF(ABS(GK36-GL36)&gt;='Job Info.'!$L$22,ABS(GK36-GL36),0)</f>
        <v>0</v>
      </c>
      <c r="HA36" s="1242" t="s">
        <v>1435</v>
      </c>
      <c r="HB36" s="1243">
        <v>1</v>
      </c>
      <c r="HC36" s="1243" t="s">
        <v>1722</v>
      </c>
      <c r="HD36" s="1244">
        <v>52</v>
      </c>
      <c r="HE36" s="1245">
        <v>0</v>
      </c>
      <c r="HF36" s="1243">
        <v>6</v>
      </c>
      <c r="HG36" s="1243"/>
      <c r="HH36" s="1243"/>
      <c r="HI36" s="1243"/>
      <c r="HJ36" s="1243"/>
      <c r="HK36" s="1243"/>
      <c r="HL36" s="1243"/>
      <c r="HM36" s="1243"/>
      <c r="HN36" s="1243"/>
      <c r="HO36" s="1243"/>
      <c r="HP36" s="1243">
        <v>6</v>
      </c>
      <c r="HQ36" s="1243"/>
      <c r="HR36" s="1243"/>
      <c r="HS36" s="1243"/>
      <c r="HT36" s="1243"/>
      <c r="HU36" s="1243"/>
      <c r="HV36" s="1243"/>
      <c r="HW36" s="1243"/>
      <c r="HX36" s="1243"/>
      <c r="HY36" s="1247"/>
      <c r="HZ36" s="1247"/>
      <c r="IA36" s="1247" t="s">
        <v>1728</v>
      </c>
      <c r="IB36" s="1247" t="s">
        <v>34</v>
      </c>
      <c r="IC36" s="1247"/>
      <c r="ID36" s="1262">
        <v>11.125</v>
      </c>
      <c r="IE36" s="1242" t="s">
        <v>1435</v>
      </c>
      <c r="IF36" s="1243" t="s">
        <v>35</v>
      </c>
      <c r="IG36" s="1244">
        <v>4</v>
      </c>
      <c r="IH36" s="1245">
        <v>0</v>
      </c>
      <c r="II36" s="1243">
        <v>5</v>
      </c>
      <c r="IJ36" s="1244">
        <v>8</v>
      </c>
      <c r="IK36" s="1245">
        <v>0</v>
      </c>
      <c r="IL36" s="1243"/>
      <c r="IM36" s="1243"/>
      <c r="IN36" s="1243">
        <v>5</v>
      </c>
      <c r="IO36" s="1243">
        <v>13</v>
      </c>
      <c r="IP36" s="1243">
        <v>4</v>
      </c>
      <c r="IQ36" s="1243"/>
      <c r="IR36" s="1243">
        <v>2</v>
      </c>
      <c r="IS36" s="1244" t="s">
        <v>1018</v>
      </c>
      <c r="IT36" s="1245" t="s">
        <v>1705</v>
      </c>
      <c r="IU36" s="1243"/>
      <c r="IV36" s="1243" t="s">
        <v>35</v>
      </c>
      <c r="IW36" s="1244"/>
      <c r="IX36" s="1245"/>
      <c r="IY36" s="1243"/>
      <c r="IZ36" s="1243"/>
      <c r="JA36" s="1244"/>
      <c r="JB36" s="1245"/>
      <c r="JC36" s="1243"/>
      <c r="JD36" s="1243"/>
      <c r="JE36" s="1244"/>
      <c r="JF36" s="1245"/>
      <c r="JG36" s="1243"/>
      <c r="JH36" s="1243"/>
      <c r="JI36" s="1243"/>
      <c r="JJ36" s="1246"/>
      <c r="JK36" s="1243">
        <v>1</v>
      </c>
      <c r="JL36" s="1172">
        <f t="shared" ca="1" si="95"/>
        <v>1</v>
      </c>
    </row>
    <row r="37" spans="1:272" ht="12.6" customHeight="1" x14ac:dyDescent="0.25">
      <c r="A37" s="2683" t="str">
        <f t="shared" si="0"/>
        <v>G40</v>
      </c>
      <c r="B37" s="2684">
        <f t="shared" si="0"/>
        <v>1</v>
      </c>
      <c r="C37" s="2685" t="s">
        <v>1722</v>
      </c>
      <c r="D37" s="2686">
        <f t="shared" si="1"/>
        <v>51</v>
      </c>
      <c r="E37" s="2687">
        <f t="shared" si="2"/>
        <v>1.75</v>
      </c>
      <c r="F37" s="2688">
        <f t="shared" si="3"/>
        <v>11.125</v>
      </c>
      <c r="G37" s="2689">
        <f t="shared" si="4"/>
        <v>0</v>
      </c>
      <c r="H37" s="2690">
        <f t="shared" si="5"/>
        <v>1.75</v>
      </c>
      <c r="I37" s="2691" t="str">
        <f t="shared" si="6"/>
        <v>R</v>
      </c>
      <c r="J37" s="2686" t="str">
        <f t="shared" si="7"/>
        <v/>
      </c>
      <c r="K37" s="2690" t="str">
        <f t="shared" si="8"/>
        <v/>
      </c>
      <c r="L37" s="2692" t="str">
        <f t="shared" si="9"/>
        <v/>
      </c>
      <c r="M37" s="2693">
        <f t="shared" si="10"/>
        <v>7.5</v>
      </c>
      <c r="N37" s="2694">
        <f t="shared" si="10"/>
        <v>7.5</v>
      </c>
      <c r="O37" s="2689">
        <f t="shared" si="11"/>
        <v>0</v>
      </c>
      <c r="P37" s="2690">
        <f t="shared" si="12"/>
        <v>6.75</v>
      </c>
      <c r="Q37" s="2686">
        <f t="shared" si="13"/>
        <v>0</v>
      </c>
      <c r="R37" s="2687">
        <f t="shared" si="14"/>
        <v>1</v>
      </c>
      <c r="S37" s="2695">
        <f t="shared" si="15"/>
        <v>0</v>
      </c>
      <c r="T37" s="2690">
        <f t="shared" si="16"/>
        <v>6.25</v>
      </c>
      <c r="U37" s="2686">
        <f t="shared" si="17"/>
        <v>0</v>
      </c>
      <c r="V37" s="2690">
        <f t="shared" si="18"/>
        <v>3.5</v>
      </c>
      <c r="W37" s="2694">
        <f t="shared" si="19"/>
        <v>5</v>
      </c>
      <c r="X37" s="2696" t="str">
        <f t="shared" si="20"/>
        <v/>
      </c>
      <c r="Y37" s="2697" t="str">
        <f t="shared" si="21"/>
        <v/>
      </c>
      <c r="Z37" s="2698" t="s">
        <v>1903</v>
      </c>
      <c r="AA37" s="2758" t="str">
        <f t="shared" si="22"/>
        <v/>
      </c>
      <c r="AB37" s="2683" t="str">
        <f t="shared" si="23"/>
        <v>G40</v>
      </c>
      <c r="AC37" s="2691" t="str">
        <f t="shared" si="24"/>
        <v>B</v>
      </c>
      <c r="AD37" s="2686">
        <f t="shared" ca="1" si="25"/>
        <v>3</v>
      </c>
      <c r="AE37" s="2690">
        <f t="shared" ca="1" si="26"/>
        <v>10</v>
      </c>
      <c r="AF37" s="2691">
        <f t="shared" ca="1" si="27"/>
        <v>5</v>
      </c>
      <c r="AG37" s="2686">
        <f t="shared" ca="1" si="28"/>
        <v>8</v>
      </c>
      <c r="AH37" s="2690">
        <f t="shared" ca="1" si="29"/>
        <v>0</v>
      </c>
      <c r="AI37" s="2686">
        <f t="shared" ca="1" si="30"/>
        <v>7</v>
      </c>
      <c r="AJ37" s="2690">
        <f t="shared" ca="1" si="31"/>
        <v>2</v>
      </c>
      <c r="AK37" s="2732" t="str">
        <f t="shared" si="32"/>
        <v/>
      </c>
      <c r="AL37" s="2733" t="str">
        <f t="shared" si="33"/>
        <v/>
      </c>
      <c r="AM37" s="2734">
        <f t="shared" si="32"/>
        <v>5</v>
      </c>
      <c r="AN37" s="2691">
        <f t="shared" si="32"/>
        <v>13</v>
      </c>
      <c r="AO37" s="2694">
        <f t="shared" si="32"/>
        <v>4</v>
      </c>
      <c r="AP37" s="2693" t="str">
        <f t="shared" si="34"/>
        <v/>
      </c>
      <c r="AQ37" s="2736" t="str">
        <f t="shared" si="34"/>
        <v/>
      </c>
      <c r="AR37" s="2689" t="str">
        <f t="shared" si="35"/>
        <v>P</v>
      </c>
      <c r="AS37" s="2690" t="str">
        <f t="shared" si="36"/>
        <v>#1</v>
      </c>
      <c r="AT37" s="2737" t="str">
        <f t="shared" si="37"/>
        <v/>
      </c>
      <c r="AU37" s="2738" t="str">
        <f t="shared" si="38"/>
        <v>B</v>
      </c>
      <c r="AV37" s="2695" t="str">
        <f t="shared" si="39"/>
        <v/>
      </c>
      <c r="AW37" s="2690" t="str">
        <f t="shared" si="40"/>
        <v/>
      </c>
      <c r="AX37" s="2737" t="str">
        <f t="shared" si="41"/>
        <v/>
      </c>
      <c r="AY37" s="2738" t="str">
        <f t="shared" si="42"/>
        <v/>
      </c>
      <c r="AZ37" s="2695" t="str">
        <f t="shared" si="43"/>
        <v/>
      </c>
      <c r="BA37" s="2690" t="str">
        <f t="shared" si="44"/>
        <v/>
      </c>
      <c r="BB37" s="2737" t="str">
        <f t="shared" si="45"/>
        <v/>
      </c>
      <c r="BC37" s="2738" t="str">
        <f t="shared" si="46"/>
        <v/>
      </c>
      <c r="BD37" s="2695" t="str">
        <f t="shared" si="47"/>
        <v/>
      </c>
      <c r="BE37" s="2690" t="str">
        <f t="shared" si="48"/>
        <v/>
      </c>
      <c r="BF37" s="2737" t="str">
        <f t="shared" si="49"/>
        <v/>
      </c>
      <c r="BG37" s="2738" t="str">
        <f t="shared" si="50"/>
        <v/>
      </c>
      <c r="BH37" s="1417"/>
      <c r="BJ37" s="995" t="str">
        <f t="shared" si="93"/>
        <v>G40</v>
      </c>
      <c r="BK37" s="993" t="b">
        <f t="shared" si="51"/>
        <v>0</v>
      </c>
      <c r="BL37" s="1784" t="b">
        <v>0</v>
      </c>
      <c r="BM37" s="989">
        <f t="shared" si="52"/>
        <v>52</v>
      </c>
      <c r="BN37" s="989" t="str">
        <f t="shared" si="53"/>
        <v>G</v>
      </c>
      <c r="BO37" s="989">
        <f t="shared" si="54"/>
        <v>7</v>
      </c>
      <c r="BP37" s="989" t="str">
        <f t="shared" si="55"/>
        <v>11/5</v>
      </c>
      <c r="BQ37" s="989">
        <f t="shared" si="56"/>
        <v>2.4</v>
      </c>
      <c r="BR37" s="989" t="b">
        <f t="shared" si="57"/>
        <v>1</v>
      </c>
      <c r="BS37" s="1303">
        <f t="shared" si="58"/>
        <v>7.75</v>
      </c>
      <c r="BT37" s="990" t="str">
        <f t="shared" si="59"/>
        <v>Yes</v>
      </c>
      <c r="BU37" s="1303">
        <f t="shared" si="60"/>
        <v>6</v>
      </c>
      <c r="BV37" s="990" t="str">
        <f t="shared" si="61"/>
        <v>Yes</v>
      </c>
      <c r="BW37" s="991">
        <f t="shared" ca="1" si="62"/>
        <v>15</v>
      </c>
      <c r="BX37" s="991" t="str">
        <f t="shared" ca="1" si="63"/>
        <v>G40</v>
      </c>
      <c r="BY37" s="991" t="b">
        <f t="shared" ca="1" si="64"/>
        <v>0</v>
      </c>
      <c r="BZ37" s="991" t="b">
        <f t="shared" si="86"/>
        <v>0</v>
      </c>
      <c r="CB37" s="672" t="s">
        <v>1436</v>
      </c>
      <c r="CC37" s="1685">
        <v>1</v>
      </c>
      <c r="CD37" s="699" t="s">
        <v>1722</v>
      </c>
      <c r="CE37" s="700">
        <v>51</v>
      </c>
      <c r="CF37" s="701">
        <v>3</v>
      </c>
      <c r="CG37" s="672">
        <v>6</v>
      </c>
      <c r="CH37" s="713"/>
      <c r="CI37" s="714"/>
      <c r="CJ37" s="713"/>
      <c r="CK37" s="714"/>
      <c r="CL37" s="715"/>
      <c r="CM37" s="743"/>
      <c r="CN37" s="738"/>
      <c r="CO37" s="1552"/>
      <c r="CP37" s="910"/>
      <c r="CQ37" s="672">
        <v>2</v>
      </c>
      <c r="CR37" s="713"/>
      <c r="CS37" s="714"/>
      <c r="CT37" s="713"/>
      <c r="CU37" s="714"/>
      <c r="CV37" s="715"/>
      <c r="CW37" s="743"/>
      <c r="CX37" s="738"/>
      <c r="CY37" s="1552"/>
      <c r="CZ37" s="910"/>
      <c r="DA37" s="717"/>
      <c r="DB37" s="702" t="s">
        <v>1724</v>
      </c>
      <c r="DC37" s="703" t="s">
        <v>1679</v>
      </c>
      <c r="DD37" s="725"/>
      <c r="DE37" s="726">
        <v>11.125</v>
      </c>
      <c r="DF37" s="141"/>
      <c r="DG37" s="141"/>
      <c r="DH37" s="672" t="s">
        <v>1436</v>
      </c>
      <c r="DI37" s="673" t="s">
        <v>35</v>
      </c>
      <c r="DJ37" s="692">
        <v>4</v>
      </c>
      <c r="DK37" s="1332">
        <v>0</v>
      </c>
      <c r="DL37" s="674">
        <v>5</v>
      </c>
      <c r="DM37" s="693">
        <v>8</v>
      </c>
      <c r="DN37" s="1335">
        <v>0</v>
      </c>
      <c r="DO37" s="675"/>
      <c r="DP37" s="676"/>
      <c r="DQ37" s="1420">
        <v>5</v>
      </c>
      <c r="DR37" s="677">
        <v>13</v>
      </c>
      <c r="DS37" s="1420">
        <v>4</v>
      </c>
      <c r="DT37" s="1422"/>
      <c r="DU37" s="1423"/>
      <c r="DV37" s="678" t="s">
        <v>1018</v>
      </c>
      <c r="DW37" s="1337" t="s">
        <v>1705</v>
      </c>
      <c r="DX37" s="679"/>
      <c r="DY37" s="674" t="s">
        <v>35</v>
      </c>
      <c r="DZ37" s="678"/>
      <c r="EA37" s="1337"/>
      <c r="EB37" s="679"/>
      <c r="EC37" s="674"/>
      <c r="ED37" s="678"/>
      <c r="EE37" s="1337"/>
      <c r="EF37" s="679"/>
      <c r="EG37" s="674"/>
      <c r="EH37" s="678"/>
      <c r="EI37" s="1337"/>
      <c r="EJ37" s="679"/>
      <c r="EK37" s="680"/>
      <c r="EL37" s="241"/>
      <c r="EM37" s="1632" t="str">
        <f t="shared" si="65"/>
        <v>G40</v>
      </c>
      <c r="EN37" s="1429" t="str">
        <f t="shared" si="66"/>
        <v/>
      </c>
      <c r="EO37" s="1430" t="str">
        <f t="shared" si="67"/>
        <v/>
      </c>
      <c r="EP37" s="1431" t="str">
        <f t="shared" si="68"/>
        <v/>
      </c>
      <c r="EQ37" s="1435" t="str">
        <f t="shared" si="69"/>
        <v/>
      </c>
      <c r="ER37" s="1441" t="str">
        <f t="shared" si="70"/>
        <v/>
      </c>
      <c r="ES37" s="1442" t="str">
        <f t="shared" si="71"/>
        <v/>
      </c>
      <c r="ET37" s="1443" t="str">
        <f t="shared" si="72"/>
        <v/>
      </c>
      <c r="EU37" s="1444" t="str">
        <f t="shared" si="87"/>
        <v/>
      </c>
      <c r="EX37" s="503" t="str">
        <f t="shared" ca="1" si="88"/>
        <v>G40B</v>
      </c>
      <c r="EY37" s="940" t="b">
        <f t="shared" ca="1" si="73"/>
        <v>1</v>
      </c>
      <c r="EZ37" s="940">
        <f t="shared" ca="1" si="89"/>
        <v>5</v>
      </c>
      <c r="FA37" s="958" t="b">
        <f t="shared" ca="1" si="94"/>
        <v>1</v>
      </c>
      <c r="FB37" s="134">
        <f t="shared" ca="1" si="90"/>
        <v>612</v>
      </c>
      <c r="FC37" s="134">
        <f t="shared" ca="1" si="74"/>
        <v>46</v>
      </c>
      <c r="FD37" s="134">
        <f t="shared" ca="1" si="75"/>
        <v>480</v>
      </c>
      <c r="FE37" s="134">
        <f t="shared" ca="1" si="76"/>
        <v>86</v>
      </c>
      <c r="FF37" s="134">
        <f t="shared" ca="1" si="91"/>
        <v>612</v>
      </c>
      <c r="FN37" s="754" t="b">
        <v>0</v>
      </c>
      <c r="FO37" s="754" t="b">
        <f t="shared" si="77"/>
        <v>1</v>
      </c>
      <c r="FP37" s="754" t="b">
        <v>0</v>
      </c>
      <c r="FQ37" s="754" t="b">
        <f t="shared" si="92"/>
        <v>1</v>
      </c>
      <c r="FW37" s="2"/>
      <c r="FX37" s="2"/>
      <c r="FZ37" s="2"/>
      <c r="GA37" s="581">
        <f t="shared" si="78"/>
        <v>51</v>
      </c>
      <c r="GB37" s="623">
        <f t="shared" si="79"/>
        <v>3</v>
      </c>
      <c r="GC37" s="625">
        <f t="shared" si="80"/>
        <v>-0.25</v>
      </c>
      <c r="GD37" s="626">
        <f t="shared" si="81"/>
        <v>-1</v>
      </c>
      <c r="GE37" s="624">
        <f t="shared" si="82"/>
        <v>0</v>
      </c>
      <c r="GF37" s="582" t="str">
        <f t="shared" si="83"/>
        <v>G40</v>
      </c>
      <c r="GG37" s="692">
        <v>0</v>
      </c>
      <c r="GH37" s="1136">
        <v>0</v>
      </c>
      <c r="GI37" s="692"/>
      <c r="GJ37" s="1136"/>
      <c r="GK37" s="1641">
        <f t="shared" si="84"/>
        <v>613.75</v>
      </c>
      <c r="GL37" s="1641">
        <f t="shared" si="85"/>
        <v>613.75</v>
      </c>
      <c r="GM37" s="1642">
        <f>IF(ABS(GK37-GL37)&gt;='Job Info.'!$L$22,ABS(GK37-GL37),0)</f>
        <v>0</v>
      </c>
      <c r="HA37" s="1242" t="s">
        <v>1436</v>
      </c>
      <c r="HB37" s="1243">
        <v>1</v>
      </c>
      <c r="HC37" s="1243" t="s">
        <v>1722</v>
      </c>
      <c r="HD37" s="1244">
        <v>51</v>
      </c>
      <c r="HE37" s="1245">
        <v>3</v>
      </c>
      <c r="HF37" s="1243">
        <v>6</v>
      </c>
      <c r="HG37" s="1243"/>
      <c r="HH37" s="1243"/>
      <c r="HI37" s="1243"/>
      <c r="HJ37" s="1243"/>
      <c r="HK37" s="1243"/>
      <c r="HL37" s="1243"/>
      <c r="HM37" s="1243"/>
      <c r="HN37" s="1243"/>
      <c r="HO37" s="1243"/>
      <c r="HP37" s="1243">
        <v>2</v>
      </c>
      <c r="HQ37" s="1243"/>
      <c r="HR37" s="1243"/>
      <c r="HS37" s="1243"/>
      <c r="HT37" s="1243"/>
      <c r="HU37" s="1243"/>
      <c r="HV37" s="1243"/>
      <c r="HW37" s="1243"/>
      <c r="HX37" s="1243"/>
      <c r="HY37" s="1247"/>
      <c r="HZ37" s="1247"/>
      <c r="IA37" s="1247" t="s">
        <v>1724</v>
      </c>
      <c r="IB37" s="1247" t="s">
        <v>1679</v>
      </c>
      <c r="IC37" s="1247"/>
      <c r="ID37" s="1262">
        <v>11.125</v>
      </c>
      <c r="IE37" s="1242" t="s">
        <v>1436</v>
      </c>
      <c r="IF37" s="1243" t="s">
        <v>35</v>
      </c>
      <c r="IG37" s="1244">
        <v>4</v>
      </c>
      <c r="IH37" s="1245">
        <v>0</v>
      </c>
      <c r="II37" s="1243">
        <v>5</v>
      </c>
      <c r="IJ37" s="1244">
        <v>8</v>
      </c>
      <c r="IK37" s="1245">
        <v>0</v>
      </c>
      <c r="IL37" s="1243"/>
      <c r="IM37" s="1243"/>
      <c r="IN37" s="1243">
        <v>5</v>
      </c>
      <c r="IO37" s="1243">
        <v>13</v>
      </c>
      <c r="IP37" s="1243">
        <v>4</v>
      </c>
      <c r="IQ37" s="1243"/>
      <c r="IR37" s="1243"/>
      <c r="IS37" s="1244" t="s">
        <v>1018</v>
      </c>
      <c r="IT37" s="1245" t="s">
        <v>1705</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5"/>
        <v>1</v>
      </c>
    </row>
    <row r="38" spans="1:272" ht="12.6" customHeight="1" x14ac:dyDescent="0.25">
      <c r="A38" s="2683" t="str">
        <f t="shared" si="0"/>
        <v>G41</v>
      </c>
      <c r="B38" s="2684">
        <f t="shared" si="0"/>
        <v>3</v>
      </c>
      <c r="C38" s="2685" t="s">
        <v>1729</v>
      </c>
      <c r="D38" s="2686">
        <f t="shared" si="1"/>
        <v>59</v>
      </c>
      <c r="E38" s="2687">
        <f t="shared" si="2"/>
        <v>1</v>
      </c>
      <c r="F38" s="2688">
        <f t="shared" si="3"/>
        <v>11.125</v>
      </c>
      <c r="G38" s="2689">
        <f t="shared" si="4"/>
        <v>0</v>
      </c>
      <c r="H38" s="2690">
        <f t="shared" si="5"/>
        <v>2.75</v>
      </c>
      <c r="I38" s="2691" t="str">
        <f t="shared" si="6"/>
        <v>R</v>
      </c>
      <c r="J38" s="2686" t="str">
        <f t="shared" si="7"/>
        <v/>
      </c>
      <c r="K38" s="2690" t="str">
        <f t="shared" si="8"/>
        <v/>
      </c>
      <c r="L38" s="2692" t="str">
        <f t="shared" si="9"/>
        <v/>
      </c>
      <c r="M38" s="2693">
        <f t="shared" si="10"/>
        <v>7.5</v>
      </c>
      <c r="N38" s="2694">
        <f t="shared" si="10"/>
        <v>7.5</v>
      </c>
      <c r="O38" s="2689">
        <f t="shared" si="11"/>
        <v>0</v>
      </c>
      <c r="P38" s="2690">
        <f t="shared" si="12"/>
        <v>7.75</v>
      </c>
      <c r="Q38" s="2686">
        <f t="shared" si="13"/>
        <v>0</v>
      </c>
      <c r="R38" s="2687">
        <f t="shared" si="14"/>
        <v>1</v>
      </c>
      <c r="S38" s="2695">
        <f t="shared" si="15"/>
        <v>0</v>
      </c>
      <c r="T38" s="2690">
        <f t="shared" si="16"/>
        <v>7.25</v>
      </c>
      <c r="U38" s="2686">
        <f t="shared" si="17"/>
        <v>0</v>
      </c>
      <c r="V38" s="2690">
        <f t="shared" si="18"/>
        <v>3.5</v>
      </c>
      <c r="W38" s="2694">
        <f t="shared" si="19"/>
        <v>5</v>
      </c>
      <c r="X38" s="2696" t="str">
        <f t="shared" si="20"/>
        <v/>
      </c>
      <c r="Y38" s="2697" t="str">
        <f t="shared" si="21"/>
        <v/>
      </c>
      <c r="Z38" s="2698" t="s">
        <v>1904</v>
      </c>
      <c r="AA38" s="2758" t="str">
        <f t="shared" si="22"/>
        <v/>
      </c>
      <c r="AB38" s="2683" t="str">
        <f t="shared" si="23"/>
        <v>G41</v>
      </c>
      <c r="AC38" s="2691" t="str">
        <f t="shared" si="24"/>
        <v>B</v>
      </c>
      <c r="AD38" s="2686">
        <f t="shared" ca="1" si="25"/>
        <v>3</v>
      </c>
      <c r="AE38" s="2690">
        <f t="shared" ca="1" si="26"/>
        <v>9</v>
      </c>
      <c r="AF38" s="2691">
        <f t="shared" ca="1" si="27"/>
        <v>6</v>
      </c>
      <c r="AG38" s="2686">
        <f t="shared" ca="1" si="28"/>
        <v>8</v>
      </c>
      <c r="AH38" s="2690">
        <f t="shared" ca="1" si="29"/>
        <v>0</v>
      </c>
      <c r="AI38" s="2686">
        <f t="shared" ca="1" si="30"/>
        <v>7</v>
      </c>
      <c r="AJ38" s="2690">
        <f t="shared" ca="1" si="31"/>
        <v>1.25</v>
      </c>
      <c r="AK38" s="2732" t="str">
        <f t="shared" si="32"/>
        <v/>
      </c>
      <c r="AL38" s="2733" t="str">
        <f t="shared" si="33"/>
        <v/>
      </c>
      <c r="AM38" s="2734">
        <f t="shared" si="32"/>
        <v>5</v>
      </c>
      <c r="AN38" s="2691">
        <f t="shared" si="32"/>
        <v>13</v>
      </c>
      <c r="AO38" s="2694">
        <f t="shared" si="32"/>
        <v>4</v>
      </c>
      <c r="AP38" s="2693" t="str">
        <f t="shared" si="34"/>
        <v/>
      </c>
      <c r="AQ38" s="2736" t="str">
        <f t="shared" si="34"/>
        <v/>
      </c>
      <c r="AR38" s="2689" t="str">
        <f t="shared" si="35"/>
        <v>P</v>
      </c>
      <c r="AS38" s="2690" t="str">
        <f t="shared" si="36"/>
        <v>#1</v>
      </c>
      <c r="AT38" s="2737" t="str">
        <f t="shared" si="37"/>
        <v/>
      </c>
      <c r="AU38" s="2738" t="str">
        <f t="shared" si="38"/>
        <v>B</v>
      </c>
      <c r="AV38" s="2695" t="str">
        <f t="shared" si="39"/>
        <v/>
      </c>
      <c r="AW38" s="2690" t="str">
        <f t="shared" si="40"/>
        <v/>
      </c>
      <c r="AX38" s="2737" t="str">
        <f t="shared" si="41"/>
        <v/>
      </c>
      <c r="AY38" s="2738" t="str">
        <f t="shared" si="42"/>
        <v/>
      </c>
      <c r="AZ38" s="2695" t="str">
        <f t="shared" si="43"/>
        <v/>
      </c>
      <c r="BA38" s="2690" t="str">
        <f t="shared" si="44"/>
        <v/>
      </c>
      <c r="BB38" s="2737" t="str">
        <f t="shared" si="45"/>
        <v/>
      </c>
      <c r="BC38" s="2738" t="str">
        <f t="shared" si="46"/>
        <v/>
      </c>
      <c r="BD38" s="2695" t="str">
        <f t="shared" si="47"/>
        <v/>
      </c>
      <c r="BE38" s="2690" t="str">
        <f t="shared" si="48"/>
        <v/>
      </c>
      <c r="BF38" s="2737" t="str">
        <f t="shared" si="49"/>
        <v/>
      </c>
      <c r="BG38" s="2738" t="str">
        <f t="shared" si="50"/>
        <v/>
      </c>
      <c r="BH38" s="1417"/>
      <c r="BJ38" s="995" t="str">
        <f t="shared" si="93"/>
        <v>G41</v>
      </c>
      <c r="BK38" s="993" t="b">
        <f t="shared" si="51"/>
        <v>0</v>
      </c>
      <c r="BL38" s="1784" t="b">
        <v>0</v>
      </c>
      <c r="BM38" s="989">
        <f t="shared" si="52"/>
        <v>52</v>
      </c>
      <c r="BN38" s="989" t="str">
        <f t="shared" si="53"/>
        <v>G</v>
      </c>
      <c r="BO38" s="989">
        <f t="shared" si="54"/>
        <v>8</v>
      </c>
      <c r="BP38" s="989" t="str">
        <f t="shared" si="55"/>
        <v>13/6</v>
      </c>
      <c r="BQ38" s="989">
        <f t="shared" si="56"/>
        <v>2.4</v>
      </c>
      <c r="BR38" s="989" t="b">
        <f t="shared" si="57"/>
        <v>1</v>
      </c>
      <c r="BS38" s="1303">
        <f t="shared" si="58"/>
        <v>8.75</v>
      </c>
      <c r="BT38" s="990" t="str">
        <f t="shared" si="59"/>
        <v>Yes</v>
      </c>
      <c r="BU38" s="1303">
        <f t="shared" si="60"/>
        <v>6</v>
      </c>
      <c r="BV38" s="990" t="str">
        <f t="shared" si="61"/>
        <v>Yes</v>
      </c>
      <c r="BW38" s="991">
        <f t="shared" ca="1" si="62"/>
        <v>15</v>
      </c>
      <c r="BX38" s="991" t="str">
        <f t="shared" ca="1" si="63"/>
        <v>G41</v>
      </c>
      <c r="BY38" s="991" t="b">
        <f t="shared" ca="1" si="64"/>
        <v>0</v>
      </c>
      <c r="BZ38" s="991" t="b">
        <f t="shared" si="86"/>
        <v>0</v>
      </c>
      <c r="CB38" s="672" t="s">
        <v>1437</v>
      </c>
      <c r="CC38" s="1685">
        <v>3</v>
      </c>
      <c r="CD38" s="699" t="s">
        <v>1729</v>
      </c>
      <c r="CE38" s="700">
        <v>59</v>
      </c>
      <c r="CF38" s="701">
        <v>2.25</v>
      </c>
      <c r="CG38" s="672">
        <v>7</v>
      </c>
      <c r="CH38" s="713"/>
      <c r="CI38" s="714"/>
      <c r="CJ38" s="713"/>
      <c r="CK38" s="714"/>
      <c r="CL38" s="715"/>
      <c r="CM38" s="743"/>
      <c r="CN38" s="738"/>
      <c r="CO38" s="1552"/>
      <c r="CP38" s="910"/>
      <c r="CQ38" s="672">
        <v>2</v>
      </c>
      <c r="CR38" s="713"/>
      <c r="CS38" s="714"/>
      <c r="CT38" s="713"/>
      <c r="CU38" s="714"/>
      <c r="CV38" s="715"/>
      <c r="CW38" s="743"/>
      <c r="CX38" s="738"/>
      <c r="CY38" s="1552"/>
      <c r="CZ38" s="910"/>
      <c r="DA38" s="717"/>
      <c r="DB38" s="702" t="s">
        <v>1730</v>
      </c>
      <c r="DC38" s="703" t="s">
        <v>1679</v>
      </c>
      <c r="DD38" s="725"/>
      <c r="DE38" s="726">
        <v>11.125</v>
      </c>
      <c r="DF38" s="141"/>
      <c r="DG38" s="141"/>
      <c r="DH38" s="672" t="s">
        <v>1437</v>
      </c>
      <c r="DI38" s="673" t="s">
        <v>35</v>
      </c>
      <c r="DJ38" s="692">
        <v>4</v>
      </c>
      <c r="DK38" s="1332">
        <v>0</v>
      </c>
      <c r="DL38" s="674">
        <v>6</v>
      </c>
      <c r="DM38" s="693">
        <v>8</v>
      </c>
      <c r="DN38" s="1335">
        <v>0</v>
      </c>
      <c r="DO38" s="675"/>
      <c r="DP38" s="676"/>
      <c r="DQ38" s="1420">
        <v>5</v>
      </c>
      <c r="DR38" s="677">
        <v>13</v>
      </c>
      <c r="DS38" s="1420">
        <v>4</v>
      </c>
      <c r="DT38" s="1422"/>
      <c r="DU38" s="1423"/>
      <c r="DV38" s="678" t="s">
        <v>1018</v>
      </c>
      <c r="DW38" s="1337" t="s">
        <v>1705</v>
      </c>
      <c r="DX38" s="679"/>
      <c r="DY38" s="674" t="s">
        <v>35</v>
      </c>
      <c r="DZ38" s="678"/>
      <c r="EA38" s="1337"/>
      <c r="EB38" s="679"/>
      <c r="EC38" s="674"/>
      <c r="ED38" s="678"/>
      <c r="EE38" s="1337"/>
      <c r="EF38" s="679"/>
      <c r="EG38" s="674"/>
      <c r="EH38" s="678"/>
      <c r="EI38" s="1337"/>
      <c r="EJ38" s="679"/>
      <c r="EK38" s="680"/>
      <c r="EL38" s="241"/>
      <c r="EM38" s="1632" t="str">
        <f t="shared" si="65"/>
        <v>G41</v>
      </c>
      <c r="EN38" s="1429" t="str">
        <f t="shared" si="66"/>
        <v/>
      </c>
      <c r="EO38" s="1430" t="str">
        <f t="shared" si="67"/>
        <v/>
      </c>
      <c r="EP38" s="1431" t="str">
        <f t="shared" si="68"/>
        <v/>
      </c>
      <c r="EQ38" s="1435" t="str">
        <f t="shared" si="69"/>
        <v/>
      </c>
      <c r="ER38" s="1441" t="str">
        <f t="shared" si="70"/>
        <v/>
      </c>
      <c r="ES38" s="1442" t="str">
        <f t="shared" si="71"/>
        <v/>
      </c>
      <c r="ET38" s="1443" t="str">
        <f t="shared" si="72"/>
        <v/>
      </c>
      <c r="EU38" s="1444" t="str">
        <f t="shared" si="87"/>
        <v/>
      </c>
      <c r="EX38" s="503" t="str">
        <f t="shared" ca="1" si="88"/>
        <v>G41B</v>
      </c>
      <c r="EY38" s="940" t="b">
        <f t="shared" ca="1" si="73"/>
        <v>1</v>
      </c>
      <c r="EZ38" s="940">
        <f t="shared" ca="1" si="89"/>
        <v>5</v>
      </c>
      <c r="FA38" s="958" t="b">
        <f t="shared" ca="1" si="94"/>
        <v>1</v>
      </c>
      <c r="FB38" s="134">
        <f t="shared" ca="1" si="90"/>
        <v>706.25</v>
      </c>
      <c r="FC38" s="134">
        <f t="shared" ca="1" si="74"/>
        <v>45</v>
      </c>
      <c r="FD38" s="134">
        <f t="shared" ca="1" si="75"/>
        <v>576</v>
      </c>
      <c r="FE38" s="134">
        <f t="shared" ca="1" si="76"/>
        <v>85.25</v>
      </c>
      <c r="FF38" s="134">
        <f t="shared" ca="1" si="91"/>
        <v>706.25</v>
      </c>
      <c r="FN38" s="754" t="b">
        <v>0</v>
      </c>
      <c r="FO38" s="754" t="b">
        <f t="shared" si="77"/>
        <v>1</v>
      </c>
      <c r="FP38" s="754" t="b">
        <v>0</v>
      </c>
      <c r="FQ38" s="754" t="b">
        <f t="shared" si="92"/>
        <v>1</v>
      </c>
      <c r="FW38" s="2"/>
      <c r="FX38" s="2"/>
      <c r="FZ38" s="2"/>
      <c r="GA38" s="581">
        <f t="shared" si="78"/>
        <v>59</v>
      </c>
      <c r="GB38" s="623">
        <f t="shared" si="79"/>
        <v>2.25</v>
      </c>
      <c r="GC38" s="625">
        <f t="shared" si="80"/>
        <v>-0.25</v>
      </c>
      <c r="GD38" s="626">
        <f t="shared" si="81"/>
        <v>-1</v>
      </c>
      <c r="GE38" s="624">
        <f t="shared" si="82"/>
        <v>0</v>
      </c>
      <c r="GF38" s="582" t="str">
        <f t="shared" si="83"/>
        <v>G41</v>
      </c>
      <c r="GG38" s="692">
        <v>0</v>
      </c>
      <c r="GH38" s="1136">
        <v>0</v>
      </c>
      <c r="GI38" s="692"/>
      <c r="GJ38" s="1136"/>
      <c r="GK38" s="1641">
        <f t="shared" si="84"/>
        <v>709</v>
      </c>
      <c r="GL38" s="1641">
        <f t="shared" si="85"/>
        <v>709</v>
      </c>
      <c r="GM38" s="1642">
        <f>IF(ABS(GK38-GL38)&gt;='Job Info.'!$L$22,ABS(GK38-GL38),0)</f>
        <v>0</v>
      </c>
      <c r="HA38" s="1242" t="s">
        <v>1437</v>
      </c>
      <c r="HB38" s="1243">
        <v>3</v>
      </c>
      <c r="HC38" s="1243" t="s">
        <v>1729</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1730</v>
      </c>
      <c r="IB38" s="1247" t="s">
        <v>1679</v>
      </c>
      <c r="IC38" s="1247"/>
      <c r="ID38" s="1262">
        <v>11.125</v>
      </c>
      <c r="IE38" s="1242" t="s">
        <v>1437</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5"/>
        <v>1</v>
      </c>
    </row>
    <row r="39" spans="1:272" ht="12.6" customHeight="1" x14ac:dyDescent="0.25">
      <c r="A39" s="2683" t="str">
        <f t="shared" si="0"/>
        <v>G42</v>
      </c>
      <c r="B39" s="2684">
        <f t="shared" si="0"/>
        <v>2</v>
      </c>
      <c r="C39" s="2685" t="s">
        <v>1729</v>
      </c>
      <c r="D39" s="2686">
        <f t="shared" si="1"/>
        <v>59</v>
      </c>
      <c r="E39" s="2687">
        <f t="shared" si="2"/>
        <v>0.25</v>
      </c>
      <c r="F39" s="2688">
        <f t="shared" si="3"/>
        <v>11.125</v>
      </c>
      <c r="G39" s="2689">
        <f t="shared" si="4"/>
        <v>0</v>
      </c>
      <c r="H39" s="2690">
        <f t="shared" si="5"/>
        <v>2.75</v>
      </c>
      <c r="I39" s="2691" t="str">
        <f t="shared" si="6"/>
        <v>R</v>
      </c>
      <c r="J39" s="2686" t="str">
        <f t="shared" si="7"/>
        <v/>
      </c>
      <c r="K39" s="2690" t="str">
        <f t="shared" si="8"/>
        <v/>
      </c>
      <c r="L39" s="2692" t="str">
        <f t="shared" si="9"/>
        <v/>
      </c>
      <c r="M39" s="2693">
        <f t="shared" si="10"/>
        <v>7.5</v>
      </c>
      <c r="N39" s="2694">
        <f t="shared" si="10"/>
        <v>7.5</v>
      </c>
      <c r="O39" s="2689">
        <f t="shared" si="11"/>
        <v>0</v>
      </c>
      <c r="P39" s="2690">
        <f t="shared" si="12"/>
        <v>7.75</v>
      </c>
      <c r="Q39" s="2686">
        <f t="shared" si="13"/>
        <v>0</v>
      </c>
      <c r="R39" s="2687">
        <f t="shared" si="14"/>
        <v>1.5</v>
      </c>
      <c r="S39" s="2695">
        <f t="shared" si="15"/>
        <v>0</v>
      </c>
      <c r="T39" s="2690">
        <f t="shared" si="16"/>
        <v>7.25</v>
      </c>
      <c r="U39" s="2686">
        <f t="shared" si="17"/>
        <v>0</v>
      </c>
      <c r="V39" s="2690">
        <f t="shared" si="18"/>
        <v>3</v>
      </c>
      <c r="W39" s="2694">
        <f t="shared" si="19"/>
        <v>5</v>
      </c>
      <c r="X39" s="2696" t="str">
        <f t="shared" si="20"/>
        <v/>
      </c>
      <c r="Y39" s="2697" t="str">
        <f t="shared" si="21"/>
        <v/>
      </c>
      <c r="Z39" s="2698" t="s">
        <v>1905</v>
      </c>
      <c r="AA39" s="2758" t="str">
        <f t="shared" si="22"/>
        <v/>
      </c>
      <c r="AB39" s="2683" t="str">
        <f t="shared" si="23"/>
        <v>G42</v>
      </c>
      <c r="AC39" s="2691" t="str">
        <f t="shared" si="24"/>
        <v>B</v>
      </c>
      <c r="AD39" s="2686">
        <f t="shared" ca="1" si="25"/>
        <v>3</v>
      </c>
      <c r="AE39" s="2690">
        <f t="shared" ca="1" si="26"/>
        <v>9</v>
      </c>
      <c r="AF39" s="2691">
        <f t="shared" ca="1" si="27"/>
        <v>6</v>
      </c>
      <c r="AG39" s="2686">
        <f t="shared" ca="1" si="28"/>
        <v>8</v>
      </c>
      <c r="AH39" s="2690">
        <f t="shared" ca="1" si="29"/>
        <v>0</v>
      </c>
      <c r="AI39" s="2686">
        <f t="shared" ca="1" si="30"/>
        <v>7</v>
      </c>
      <c r="AJ39" s="2690">
        <f t="shared" ca="1" si="31"/>
        <v>0.5</v>
      </c>
      <c r="AK39" s="2732" t="str">
        <f t="shared" si="32"/>
        <v/>
      </c>
      <c r="AL39" s="2733" t="str">
        <f t="shared" si="33"/>
        <v/>
      </c>
      <c r="AM39" s="2734">
        <f t="shared" si="32"/>
        <v>5</v>
      </c>
      <c r="AN39" s="2691">
        <f t="shared" si="32"/>
        <v>13</v>
      </c>
      <c r="AO39" s="2694">
        <f t="shared" si="32"/>
        <v>4</v>
      </c>
      <c r="AP39" s="2693" t="str">
        <f t="shared" si="34"/>
        <v/>
      </c>
      <c r="AQ39" s="2736" t="str">
        <f t="shared" si="34"/>
        <v/>
      </c>
      <c r="AR39" s="2689" t="str">
        <f t="shared" si="35"/>
        <v>P</v>
      </c>
      <c r="AS39" s="2690" t="str">
        <f t="shared" si="36"/>
        <v>#1</v>
      </c>
      <c r="AT39" s="2737" t="str">
        <f t="shared" si="37"/>
        <v/>
      </c>
      <c r="AU39" s="2738" t="str">
        <f t="shared" si="38"/>
        <v>B</v>
      </c>
      <c r="AV39" s="2695" t="str">
        <f t="shared" si="39"/>
        <v/>
      </c>
      <c r="AW39" s="2690" t="str">
        <f t="shared" si="40"/>
        <v/>
      </c>
      <c r="AX39" s="2737" t="str">
        <f t="shared" si="41"/>
        <v/>
      </c>
      <c r="AY39" s="2738" t="str">
        <f t="shared" si="42"/>
        <v/>
      </c>
      <c r="AZ39" s="2695" t="str">
        <f t="shared" si="43"/>
        <v/>
      </c>
      <c r="BA39" s="2690" t="str">
        <f t="shared" si="44"/>
        <v/>
      </c>
      <c r="BB39" s="2737" t="str">
        <f t="shared" si="45"/>
        <v/>
      </c>
      <c r="BC39" s="2738" t="str">
        <f t="shared" si="46"/>
        <v/>
      </c>
      <c r="BD39" s="2695" t="str">
        <f t="shared" si="47"/>
        <v/>
      </c>
      <c r="BE39" s="2690" t="str">
        <f t="shared" si="48"/>
        <v/>
      </c>
      <c r="BF39" s="2737" t="str">
        <f t="shared" si="49"/>
        <v/>
      </c>
      <c r="BG39" s="2738" t="str">
        <f t="shared" si="50"/>
        <v/>
      </c>
      <c r="BH39" s="1417"/>
      <c r="BJ39" s="995" t="str">
        <f t="shared" si="93"/>
        <v>G42</v>
      </c>
      <c r="BK39" s="993" t="b">
        <f t="shared" si="51"/>
        <v>0</v>
      </c>
      <c r="BL39" s="1784" t="b">
        <v>0</v>
      </c>
      <c r="BM39" s="989">
        <f t="shared" si="52"/>
        <v>52</v>
      </c>
      <c r="BN39" s="989" t="str">
        <f t="shared" si="53"/>
        <v>G</v>
      </c>
      <c r="BO39" s="989">
        <f t="shared" si="54"/>
        <v>8</v>
      </c>
      <c r="BP39" s="989" t="str">
        <f t="shared" si="55"/>
        <v>13/6</v>
      </c>
      <c r="BQ39" s="989">
        <f t="shared" si="56"/>
        <v>2.4</v>
      </c>
      <c r="BR39" s="989" t="b">
        <f t="shared" si="57"/>
        <v>1</v>
      </c>
      <c r="BS39" s="1303">
        <f t="shared" si="58"/>
        <v>8.75</v>
      </c>
      <c r="BT39" s="990" t="str">
        <f t="shared" si="59"/>
        <v>Yes</v>
      </c>
      <c r="BU39" s="1303">
        <f t="shared" si="60"/>
        <v>6</v>
      </c>
      <c r="BV39" s="990" t="str">
        <f t="shared" si="61"/>
        <v>Yes</v>
      </c>
      <c r="BW39" s="991">
        <f t="shared" ca="1" si="62"/>
        <v>15</v>
      </c>
      <c r="BX39" s="991" t="str">
        <f t="shared" ca="1" si="63"/>
        <v>G42</v>
      </c>
      <c r="BY39" s="991" t="b">
        <f t="shared" ca="1" si="64"/>
        <v>0</v>
      </c>
      <c r="BZ39" s="991" t="b">
        <f t="shared" si="86"/>
        <v>0</v>
      </c>
      <c r="CB39" s="672" t="s">
        <v>1438</v>
      </c>
      <c r="CC39" s="1685">
        <v>2</v>
      </c>
      <c r="CD39" s="699" t="s">
        <v>1729</v>
      </c>
      <c r="CE39" s="700">
        <v>59</v>
      </c>
      <c r="CF39" s="701">
        <v>7</v>
      </c>
      <c r="CG39" s="672">
        <v>7</v>
      </c>
      <c r="CH39" s="713"/>
      <c r="CI39" s="714"/>
      <c r="CJ39" s="713"/>
      <c r="CK39" s="714"/>
      <c r="CL39" s="715"/>
      <c r="CM39" s="743"/>
      <c r="CN39" s="738"/>
      <c r="CO39" s="1552"/>
      <c r="CP39" s="910"/>
      <c r="CQ39" s="672">
        <v>18</v>
      </c>
      <c r="CR39" s="713"/>
      <c r="CS39" s="714"/>
      <c r="CT39" s="713"/>
      <c r="CU39" s="714"/>
      <c r="CV39" s="715"/>
      <c r="CW39" s="743"/>
      <c r="CX39" s="738"/>
      <c r="CY39" s="1552"/>
      <c r="CZ39" s="910"/>
      <c r="DA39" s="717"/>
      <c r="DB39" s="702">
        <v>12</v>
      </c>
      <c r="DC39" s="703" t="s">
        <v>158</v>
      </c>
      <c r="DD39" s="725"/>
      <c r="DE39" s="726">
        <v>11.125</v>
      </c>
      <c r="DF39" s="141"/>
      <c r="DG39" s="141"/>
      <c r="DH39" s="672" t="s">
        <v>1438</v>
      </c>
      <c r="DI39" s="673" t="s">
        <v>35</v>
      </c>
      <c r="DJ39" s="692">
        <v>4</v>
      </c>
      <c r="DK39" s="1332">
        <v>0</v>
      </c>
      <c r="DL39" s="674">
        <v>6</v>
      </c>
      <c r="DM39" s="693">
        <v>8</v>
      </c>
      <c r="DN39" s="1335">
        <v>0</v>
      </c>
      <c r="DO39" s="675"/>
      <c r="DP39" s="676"/>
      <c r="DQ39" s="1420">
        <v>5</v>
      </c>
      <c r="DR39" s="677">
        <v>13</v>
      </c>
      <c r="DS39" s="1420">
        <v>4</v>
      </c>
      <c r="DT39" s="1422"/>
      <c r="DU39" s="1423"/>
      <c r="DV39" s="678" t="s">
        <v>1018</v>
      </c>
      <c r="DW39" s="1337" t="s">
        <v>1705</v>
      </c>
      <c r="DX39" s="679"/>
      <c r="DY39" s="674" t="s">
        <v>35</v>
      </c>
      <c r="DZ39" s="678"/>
      <c r="EA39" s="1337"/>
      <c r="EB39" s="679"/>
      <c r="EC39" s="674"/>
      <c r="ED39" s="678"/>
      <c r="EE39" s="1337"/>
      <c r="EF39" s="679"/>
      <c r="EG39" s="674"/>
      <c r="EH39" s="678"/>
      <c r="EI39" s="1337"/>
      <c r="EJ39" s="679"/>
      <c r="EK39" s="680"/>
      <c r="EL39" s="241"/>
      <c r="EM39" s="1632" t="str">
        <f t="shared" si="65"/>
        <v>G42</v>
      </c>
      <c r="EN39" s="1429" t="str">
        <f t="shared" si="66"/>
        <v/>
      </c>
      <c r="EO39" s="1430" t="str">
        <f t="shared" si="67"/>
        <v/>
      </c>
      <c r="EP39" s="1431" t="str">
        <f t="shared" si="68"/>
        <v/>
      </c>
      <c r="EQ39" s="1435" t="str">
        <f t="shared" si="69"/>
        <v/>
      </c>
      <c r="ER39" s="1441" t="str">
        <f t="shared" si="70"/>
        <v/>
      </c>
      <c r="ES39" s="1442" t="str">
        <f t="shared" si="71"/>
        <v/>
      </c>
      <c r="ET39" s="1443" t="str">
        <f t="shared" si="72"/>
        <v/>
      </c>
      <c r="EU39" s="1444" t="str">
        <f t="shared" si="87"/>
        <v/>
      </c>
      <c r="EX39" s="503" t="str">
        <f t="shared" ca="1" si="88"/>
        <v>G42B</v>
      </c>
      <c r="EY39" s="940" t="b">
        <f t="shared" ca="1" si="73"/>
        <v>1</v>
      </c>
      <c r="EZ39" s="940">
        <f t="shared" ca="1" si="89"/>
        <v>5</v>
      </c>
      <c r="FA39" s="958" t="b">
        <f t="shared" ca="1" si="94"/>
        <v>1</v>
      </c>
      <c r="FB39" s="134">
        <f t="shared" ca="1" si="90"/>
        <v>705.5</v>
      </c>
      <c r="FC39" s="134">
        <f t="shared" ca="1" si="74"/>
        <v>45</v>
      </c>
      <c r="FD39" s="134">
        <f t="shared" ca="1" si="75"/>
        <v>576</v>
      </c>
      <c r="FE39" s="134">
        <f t="shared" ca="1" si="76"/>
        <v>84.5</v>
      </c>
      <c r="FF39" s="134">
        <f t="shared" ca="1" si="91"/>
        <v>705.5</v>
      </c>
      <c r="FN39" s="754" t="b">
        <v>0</v>
      </c>
      <c r="FO39" s="754" t="b">
        <f t="shared" si="77"/>
        <v>1</v>
      </c>
      <c r="FP39" s="754" t="b">
        <v>0</v>
      </c>
      <c r="FQ39" s="754" t="b">
        <f t="shared" si="92"/>
        <v>1</v>
      </c>
      <c r="FW39" s="2"/>
      <c r="FX39" s="2"/>
      <c r="FZ39" s="2"/>
      <c r="GA39" s="581">
        <f t="shared" si="78"/>
        <v>59</v>
      </c>
      <c r="GB39" s="623">
        <f t="shared" si="79"/>
        <v>7</v>
      </c>
      <c r="GC39" s="625">
        <f t="shared" si="80"/>
        <v>-0.25</v>
      </c>
      <c r="GD39" s="626">
        <f t="shared" si="81"/>
        <v>-6.5</v>
      </c>
      <c r="GE39" s="624">
        <f t="shared" si="82"/>
        <v>0</v>
      </c>
      <c r="GF39" s="582" t="str">
        <f t="shared" si="83"/>
        <v>G42</v>
      </c>
      <c r="GG39" s="692">
        <v>0</v>
      </c>
      <c r="GH39" s="1136">
        <v>0</v>
      </c>
      <c r="GI39" s="692"/>
      <c r="GJ39" s="1136"/>
      <c r="GK39" s="1641">
        <f t="shared" si="84"/>
        <v>708.25</v>
      </c>
      <c r="GL39" s="1641">
        <f t="shared" si="85"/>
        <v>708.25</v>
      </c>
      <c r="GM39" s="1642">
        <f>IF(ABS(GK39-GL39)&gt;='Job Info.'!$L$22,ABS(GK39-GL39),0)</f>
        <v>0</v>
      </c>
      <c r="HA39" s="1242" t="s">
        <v>1438</v>
      </c>
      <c r="HB39" s="1243">
        <v>2</v>
      </c>
      <c r="HC39" s="1243" t="s">
        <v>1729</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c r="IA39" s="1247">
        <v>12</v>
      </c>
      <c r="IB39" s="1247" t="s">
        <v>158</v>
      </c>
      <c r="IC39" s="1247"/>
      <c r="ID39" s="1262">
        <v>11.125</v>
      </c>
      <c r="IE39" s="1242" t="s">
        <v>1438</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5"/>
        <v>1</v>
      </c>
    </row>
    <row r="40" spans="1:272" ht="12.6" customHeight="1" x14ac:dyDescent="0.25">
      <c r="A40" s="2683" t="str">
        <f t="shared" si="0"/>
        <v>G43</v>
      </c>
      <c r="B40" s="2684">
        <f t="shared" si="0"/>
        <v>2</v>
      </c>
      <c r="C40" s="2685" t="s">
        <v>1731</v>
      </c>
      <c r="D40" s="2686">
        <f t="shared" si="1"/>
        <v>55</v>
      </c>
      <c r="E40" s="2687">
        <f t="shared" si="2"/>
        <v>10.25</v>
      </c>
      <c r="F40" s="2688">
        <f t="shared" si="3"/>
        <v>11.125</v>
      </c>
      <c r="G40" s="2689">
        <f t="shared" si="4"/>
        <v>0</v>
      </c>
      <c r="H40" s="2690">
        <f t="shared" si="5"/>
        <v>2.75</v>
      </c>
      <c r="I40" s="2691" t="str">
        <f t="shared" si="6"/>
        <v>R</v>
      </c>
      <c r="J40" s="2686" t="str">
        <f t="shared" si="7"/>
        <v/>
      </c>
      <c r="K40" s="2690" t="str">
        <f t="shared" si="8"/>
        <v/>
      </c>
      <c r="L40" s="2692" t="str">
        <f t="shared" si="9"/>
        <v/>
      </c>
      <c r="M40" s="2693">
        <f t="shared" si="10"/>
        <v>7.5</v>
      </c>
      <c r="N40" s="2694">
        <f t="shared" si="10"/>
        <v>7.5</v>
      </c>
      <c r="O40" s="2689">
        <f t="shared" si="11"/>
        <v>0</v>
      </c>
      <c r="P40" s="2690">
        <f t="shared" si="12"/>
        <v>7.75</v>
      </c>
      <c r="Q40" s="2686">
        <f t="shared" si="13"/>
        <v>0</v>
      </c>
      <c r="R40" s="2687">
        <f t="shared" si="14"/>
        <v>1.5</v>
      </c>
      <c r="S40" s="2695">
        <f t="shared" si="15"/>
        <v>0</v>
      </c>
      <c r="T40" s="2690">
        <f t="shared" si="16"/>
        <v>7.25</v>
      </c>
      <c r="U40" s="2686">
        <f t="shared" si="17"/>
        <v>0</v>
      </c>
      <c r="V40" s="2690">
        <f t="shared" si="18"/>
        <v>3</v>
      </c>
      <c r="W40" s="2694">
        <f t="shared" si="19"/>
        <v>5</v>
      </c>
      <c r="X40" s="2696" t="str">
        <f t="shared" si="20"/>
        <v/>
      </c>
      <c r="Y40" s="2697" t="str">
        <f t="shared" si="21"/>
        <v/>
      </c>
      <c r="Z40" s="2698" t="s">
        <v>1906</v>
      </c>
      <c r="AA40" s="2758" t="str">
        <f t="shared" si="22"/>
        <v/>
      </c>
      <c r="AB40" s="2683" t="str">
        <f t="shared" si="23"/>
        <v>G43</v>
      </c>
      <c r="AC40" s="2691" t="str">
        <f t="shared" si="24"/>
        <v>B</v>
      </c>
      <c r="AD40" s="2686">
        <f t="shared" ca="1" si="25"/>
        <v>7</v>
      </c>
      <c r="AE40" s="2690">
        <f t="shared" ca="1" si="26"/>
        <v>9</v>
      </c>
      <c r="AF40" s="2691">
        <f t="shared" ca="1" si="27"/>
        <v>5</v>
      </c>
      <c r="AG40" s="2686">
        <f t="shared" ca="1" si="28"/>
        <v>8</v>
      </c>
      <c r="AH40" s="2690">
        <f t="shared" ca="1" si="29"/>
        <v>0</v>
      </c>
      <c r="AI40" s="2686">
        <f t="shared" ca="1" si="30"/>
        <v>7</v>
      </c>
      <c r="AJ40" s="2690">
        <f t="shared" ca="1" si="31"/>
        <v>10.5</v>
      </c>
      <c r="AK40" s="2732" t="str">
        <f t="shared" si="32"/>
        <v/>
      </c>
      <c r="AL40" s="2733" t="str">
        <f t="shared" si="33"/>
        <v/>
      </c>
      <c r="AM40" s="2734">
        <f t="shared" si="32"/>
        <v>5</v>
      </c>
      <c r="AN40" s="2691">
        <f t="shared" si="32"/>
        <v>13</v>
      </c>
      <c r="AO40" s="2694">
        <f t="shared" si="32"/>
        <v>4</v>
      </c>
      <c r="AP40" s="2693">
        <f t="shared" si="34"/>
        <v>1.75</v>
      </c>
      <c r="AQ40" s="2736" t="str">
        <f t="shared" si="34"/>
        <v/>
      </c>
      <c r="AR40" s="2689">
        <f t="shared" si="35"/>
        <v>1</v>
      </c>
      <c r="AS40" s="2690">
        <f t="shared" si="36"/>
        <v>0</v>
      </c>
      <c r="AT40" s="2737" t="str">
        <f t="shared" si="37"/>
        <v/>
      </c>
      <c r="AU40" s="2738" t="str">
        <f t="shared" si="38"/>
        <v>B</v>
      </c>
      <c r="AV40" s="2695" t="str">
        <f t="shared" si="39"/>
        <v/>
      </c>
      <c r="AW40" s="2690" t="str">
        <f t="shared" si="40"/>
        <v/>
      </c>
      <c r="AX40" s="2737" t="str">
        <f t="shared" si="41"/>
        <v/>
      </c>
      <c r="AY40" s="2738" t="str">
        <f t="shared" si="42"/>
        <v/>
      </c>
      <c r="AZ40" s="2695" t="str">
        <f t="shared" si="43"/>
        <v/>
      </c>
      <c r="BA40" s="2690" t="str">
        <f t="shared" si="44"/>
        <v/>
      </c>
      <c r="BB40" s="2737" t="str">
        <f t="shared" si="45"/>
        <v/>
      </c>
      <c r="BC40" s="2738" t="str">
        <f t="shared" si="46"/>
        <v/>
      </c>
      <c r="BD40" s="2695" t="str">
        <f t="shared" si="47"/>
        <v/>
      </c>
      <c r="BE40" s="2690" t="str">
        <f t="shared" si="48"/>
        <v/>
      </c>
      <c r="BF40" s="2737" t="str">
        <f t="shared" si="49"/>
        <v/>
      </c>
      <c r="BG40" s="2738" t="str">
        <f t="shared" si="50"/>
        <v/>
      </c>
      <c r="BH40" s="1417"/>
      <c r="BJ40" s="995" t="str">
        <f t="shared" si="93"/>
        <v>G43</v>
      </c>
      <c r="BK40" s="993" t="b">
        <f t="shared" si="51"/>
        <v>0</v>
      </c>
      <c r="BL40" s="1784" t="b">
        <v>0</v>
      </c>
      <c r="BM40" s="989">
        <f t="shared" si="52"/>
        <v>52</v>
      </c>
      <c r="BN40" s="989" t="str">
        <f t="shared" si="53"/>
        <v>G</v>
      </c>
      <c r="BO40" s="989">
        <f t="shared" si="54"/>
        <v>7</v>
      </c>
      <c r="BP40" s="989" t="str">
        <f t="shared" si="55"/>
        <v>13/6</v>
      </c>
      <c r="BQ40" s="989">
        <f t="shared" si="56"/>
        <v>2.4</v>
      </c>
      <c r="BR40" s="989" t="b">
        <f t="shared" si="57"/>
        <v>1</v>
      </c>
      <c r="BS40" s="1303">
        <f t="shared" si="58"/>
        <v>8.75</v>
      </c>
      <c r="BT40" s="990" t="str">
        <f t="shared" si="59"/>
        <v>Yes</v>
      </c>
      <c r="BU40" s="1303">
        <f t="shared" si="60"/>
        <v>6</v>
      </c>
      <c r="BV40" s="990" t="str">
        <f t="shared" si="61"/>
        <v>Yes</v>
      </c>
      <c r="BW40" s="991">
        <f t="shared" ca="1" si="62"/>
        <v>16</v>
      </c>
      <c r="BX40" s="991" t="str">
        <f t="shared" ca="1" si="63"/>
        <v>G43</v>
      </c>
      <c r="BY40" s="991" t="b">
        <f t="shared" ca="1" si="64"/>
        <v>0</v>
      </c>
      <c r="BZ40" s="991" t="b">
        <f t="shared" si="86"/>
        <v>0</v>
      </c>
      <c r="CB40" s="672" t="s">
        <v>1439</v>
      </c>
      <c r="CC40" s="1685">
        <v>2</v>
      </c>
      <c r="CD40" s="699" t="s">
        <v>1731</v>
      </c>
      <c r="CE40" s="700">
        <v>56</v>
      </c>
      <c r="CF40" s="701">
        <v>5</v>
      </c>
      <c r="CG40" s="672">
        <v>7</v>
      </c>
      <c r="CH40" s="713"/>
      <c r="CI40" s="714"/>
      <c r="CJ40" s="713"/>
      <c r="CK40" s="714"/>
      <c r="CL40" s="715"/>
      <c r="CM40" s="743"/>
      <c r="CN40" s="738"/>
      <c r="CO40" s="1552"/>
      <c r="CP40" s="910"/>
      <c r="CQ40" s="672">
        <v>18</v>
      </c>
      <c r="CR40" s="713"/>
      <c r="CS40" s="714"/>
      <c r="CT40" s="713"/>
      <c r="CU40" s="714"/>
      <c r="CV40" s="715"/>
      <c r="CW40" s="743"/>
      <c r="CX40" s="738"/>
      <c r="CY40" s="1552"/>
      <c r="CZ40" s="910"/>
      <c r="DA40" s="717"/>
      <c r="DB40" s="702" t="s">
        <v>1732</v>
      </c>
      <c r="DC40" s="703" t="s">
        <v>158</v>
      </c>
      <c r="DD40" s="725"/>
      <c r="DE40" s="726">
        <v>11.125</v>
      </c>
      <c r="DF40" s="141"/>
      <c r="DG40" s="141"/>
      <c r="DH40" s="672" t="s">
        <v>1439</v>
      </c>
      <c r="DI40" s="673" t="s">
        <v>35</v>
      </c>
      <c r="DJ40" s="692">
        <v>8</v>
      </c>
      <c r="DK40" s="1332">
        <v>0</v>
      </c>
      <c r="DL40" s="674">
        <v>5</v>
      </c>
      <c r="DM40" s="693">
        <v>8</v>
      </c>
      <c r="DN40" s="1335">
        <v>0</v>
      </c>
      <c r="DO40" s="675"/>
      <c r="DP40" s="676"/>
      <c r="DQ40" s="1420">
        <v>5</v>
      </c>
      <c r="DR40" s="677">
        <v>13</v>
      </c>
      <c r="DS40" s="1420">
        <v>4</v>
      </c>
      <c r="DT40" s="1422">
        <v>2</v>
      </c>
      <c r="DU40" s="1423"/>
      <c r="DV40" s="2661">
        <v>1</v>
      </c>
      <c r="DW40" s="2664">
        <v>0.25</v>
      </c>
      <c r="DX40" s="679"/>
      <c r="DY40" s="2665" t="s">
        <v>35</v>
      </c>
      <c r="DZ40" s="678"/>
      <c r="EA40" s="1337"/>
      <c r="EB40" s="679"/>
      <c r="EC40" s="674"/>
      <c r="ED40" s="678"/>
      <c r="EE40" s="1337"/>
      <c r="EF40" s="679"/>
      <c r="EG40" s="674"/>
      <c r="EH40" s="678"/>
      <c r="EI40" s="1337"/>
      <c r="EJ40" s="679"/>
      <c r="EK40" s="680"/>
      <c r="EL40" s="241"/>
      <c r="EM40" s="1632" t="str">
        <f t="shared" si="65"/>
        <v>G43</v>
      </c>
      <c r="EN40" s="1429" t="str">
        <f t="shared" si="66"/>
        <v/>
      </c>
      <c r="EO40" s="1430" t="str">
        <f t="shared" si="67"/>
        <v/>
      </c>
      <c r="EP40" s="1431" t="str">
        <f t="shared" si="68"/>
        <v/>
      </c>
      <c r="EQ40" s="1435" t="str">
        <f t="shared" si="69"/>
        <v/>
      </c>
      <c r="ER40" s="1441" t="str">
        <f t="shared" si="70"/>
        <v/>
      </c>
      <c r="ES40" s="1442" t="str">
        <f t="shared" si="71"/>
        <v/>
      </c>
      <c r="ET40" s="1443" t="str">
        <f t="shared" si="72"/>
        <v/>
      </c>
      <c r="EU40" s="1444" t="str">
        <f t="shared" si="87"/>
        <v/>
      </c>
      <c r="EX40" s="503" t="str">
        <f t="shared" ca="1" si="88"/>
        <v>G43B</v>
      </c>
      <c r="EY40" s="940" t="b">
        <f t="shared" ca="1" si="73"/>
        <v>1</v>
      </c>
      <c r="EZ40" s="940">
        <f t="shared" ca="1" si="89"/>
        <v>5</v>
      </c>
      <c r="FA40" s="958" t="b">
        <f t="shared" ca="1" si="94"/>
        <v>1</v>
      </c>
      <c r="FB40" s="134">
        <f t="shared" ca="1" si="90"/>
        <v>667.5</v>
      </c>
      <c r="FC40" s="134">
        <f t="shared" ca="1" si="74"/>
        <v>93</v>
      </c>
      <c r="FD40" s="134">
        <f t="shared" ca="1" si="75"/>
        <v>480</v>
      </c>
      <c r="FE40" s="134">
        <f t="shared" ca="1" si="76"/>
        <v>94.5</v>
      </c>
      <c r="FF40" s="134">
        <f t="shared" ca="1" si="91"/>
        <v>667.5</v>
      </c>
      <c r="FN40" s="754" t="b">
        <v>0</v>
      </c>
      <c r="FO40" s="754" t="b">
        <f t="shared" si="77"/>
        <v>1</v>
      </c>
      <c r="FP40" s="754" t="b">
        <v>0</v>
      </c>
      <c r="FQ40" s="754" t="b">
        <f t="shared" si="92"/>
        <v>1</v>
      </c>
      <c r="FW40" s="2"/>
      <c r="FX40" s="2"/>
      <c r="FZ40" s="2"/>
      <c r="GA40" s="581">
        <f t="shared" si="78"/>
        <v>56</v>
      </c>
      <c r="GB40" s="623">
        <f t="shared" si="79"/>
        <v>5</v>
      </c>
      <c r="GC40" s="625">
        <f t="shared" si="80"/>
        <v>-0.25</v>
      </c>
      <c r="GD40" s="626">
        <f t="shared" si="81"/>
        <v>-6.5</v>
      </c>
      <c r="GE40" s="624">
        <f t="shared" si="82"/>
        <v>0</v>
      </c>
      <c r="GF40" s="582" t="str">
        <f t="shared" si="83"/>
        <v>G43</v>
      </c>
      <c r="GG40" s="692">
        <v>0</v>
      </c>
      <c r="GH40" s="1136">
        <v>0</v>
      </c>
      <c r="GI40" s="692"/>
      <c r="GJ40" s="1136"/>
      <c r="GK40" s="1641">
        <f t="shared" si="84"/>
        <v>670.25</v>
      </c>
      <c r="GL40" s="1641">
        <f t="shared" si="85"/>
        <v>670.25</v>
      </c>
      <c r="GM40" s="1642">
        <f>IF(ABS(GK40-GL40)&gt;='Job Info.'!$L$22,ABS(GK40-GL40),0)</f>
        <v>0</v>
      </c>
      <c r="HA40" s="1242" t="s">
        <v>1439</v>
      </c>
      <c r="HB40" s="1243">
        <v>2</v>
      </c>
      <c r="HC40" s="1243" t="s">
        <v>1731</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1732</v>
      </c>
      <c r="IB40" s="1247" t="s">
        <v>158</v>
      </c>
      <c r="IC40" s="1247"/>
      <c r="ID40" s="1262">
        <v>11.125</v>
      </c>
      <c r="IE40" s="1242" t="s">
        <v>1439</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5"/>
        <v>1</v>
      </c>
    </row>
    <row r="41" spans="1:272" ht="12.6" customHeight="1" x14ac:dyDescent="0.25">
      <c r="A41" s="2683" t="str">
        <f t="shared" si="0"/>
        <v/>
      </c>
      <c r="B41" s="2684" t="str">
        <f t="shared" si="0"/>
        <v/>
      </c>
      <c r="C41" s="2685"/>
      <c r="D41" s="2686" t="str">
        <f t="shared" si="1"/>
        <v/>
      </c>
      <c r="E41" s="2687" t="str">
        <f t="shared" si="2"/>
        <v/>
      </c>
      <c r="F41" s="2688" t="str">
        <f t="shared" si="3"/>
        <v/>
      </c>
      <c r="G41" s="2689" t="str">
        <f t="shared" si="4"/>
        <v/>
      </c>
      <c r="H41" s="2690" t="str">
        <f t="shared" si="5"/>
        <v/>
      </c>
      <c r="I41" s="2691" t="str">
        <f t="shared" si="6"/>
        <v/>
      </c>
      <c r="J41" s="2686" t="str">
        <f t="shared" si="7"/>
        <v/>
      </c>
      <c r="K41" s="2690" t="str">
        <f t="shared" si="8"/>
        <v/>
      </c>
      <c r="L41" s="2692" t="str">
        <f t="shared" si="9"/>
        <v/>
      </c>
      <c r="M41" s="2693" t="str">
        <f t="shared" si="10"/>
        <v/>
      </c>
      <c r="N41" s="2694" t="str">
        <f t="shared" si="10"/>
        <v/>
      </c>
      <c r="O41" s="2689" t="str">
        <f t="shared" si="11"/>
        <v/>
      </c>
      <c r="P41" s="2690" t="str">
        <f t="shared" si="12"/>
        <v/>
      </c>
      <c r="Q41" s="2686" t="str">
        <f t="shared" si="13"/>
        <v/>
      </c>
      <c r="R41" s="2687" t="str">
        <f t="shared" si="14"/>
        <v/>
      </c>
      <c r="S41" s="2695" t="str">
        <f t="shared" si="15"/>
        <v/>
      </c>
      <c r="T41" s="2690" t="str">
        <f t="shared" si="16"/>
        <v/>
      </c>
      <c r="U41" s="2686" t="str">
        <f t="shared" si="17"/>
        <v/>
      </c>
      <c r="V41" s="2690" t="str">
        <f t="shared" si="18"/>
        <v/>
      </c>
      <c r="W41" s="2694">
        <f t="shared" si="19"/>
        <v>0</v>
      </c>
      <c r="X41" s="2696" t="str">
        <f t="shared" si="20"/>
        <v/>
      </c>
      <c r="Y41" s="2697" t="str">
        <f t="shared" si="21"/>
        <v/>
      </c>
      <c r="Z41" s="2698" t="s">
        <v>116</v>
      </c>
      <c r="AA41" s="2758" t="str">
        <f t="shared" si="22"/>
        <v/>
      </c>
      <c r="AB41" s="2683" t="str">
        <f t="shared" si="23"/>
        <v/>
      </c>
      <c r="AC41" s="2691" t="str">
        <f t="shared" si="24"/>
        <v/>
      </c>
      <c r="AD41" s="2686" t="str">
        <f t="shared" ca="1" si="25"/>
        <v/>
      </c>
      <c r="AE41" s="2690" t="str">
        <f t="shared" ca="1" si="26"/>
        <v/>
      </c>
      <c r="AF41" s="2691" t="str">
        <f t="shared" ca="1" si="27"/>
        <v/>
      </c>
      <c r="AG41" s="2686" t="str">
        <f t="shared" ca="1" si="28"/>
        <v/>
      </c>
      <c r="AH41" s="2690" t="str">
        <f t="shared" ca="1" si="29"/>
        <v/>
      </c>
      <c r="AI41" s="2686" t="str">
        <f t="shared" ca="1" si="30"/>
        <v/>
      </c>
      <c r="AJ41" s="2690" t="str">
        <f t="shared" ca="1" si="31"/>
        <v/>
      </c>
      <c r="AK41" s="2732" t="str">
        <f t="shared" si="32"/>
        <v/>
      </c>
      <c r="AL41" s="2733" t="str">
        <f t="shared" si="33"/>
        <v/>
      </c>
      <c r="AM41" s="2734" t="str">
        <f t="shared" si="32"/>
        <v/>
      </c>
      <c r="AN41" s="2691" t="str">
        <f t="shared" si="32"/>
        <v/>
      </c>
      <c r="AO41" s="2694" t="str">
        <f t="shared" si="32"/>
        <v/>
      </c>
      <c r="AP41" s="2693" t="str">
        <f t="shared" si="34"/>
        <v/>
      </c>
      <c r="AQ41" s="2736" t="str">
        <f t="shared" si="34"/>
        <v/>
      </c>
      <c r="AR41" s="2689" t="str">
        <f t="shared" si="35"/>
        <v/>
      </c>
      <c r="AS41" s="2690" t="str">
        <f t="shared" si="36"/>
        <v/>
      </c>
      <c r="AT41" s="2737" t="str">
        <f t="shared" si="37"/>
        <v/>
      </c>
      <c r="AU41" s="2738" t="str">
        <f t="shared" si="38"/>
        <v/>
      </c>
      <c r="AV41" s="2695" t="str">
        <f t="shared" si="39"/>
        <v/>
      </c>
      <c r="AW41" s="2690" t="str">
        <f t="shared" si="40"/>
        <v/>
      </c>
      <c r="AX41" s="2737" t="str">
        <f t="shared" si="41"/>
        <v/>
      </c>
      <c r="AY41" s="2738" t="str">
        <f t="shared" si="42"/>
        <v/>
      </c>
      <c r="AZ41" s="2695" t="str">
        <f t="shared" si="43"/>
        <v/>
      </c>
      <c r="BA41" s="2690" t="str">
        <f t="shared" si="44"/>
        <v/>
      </c>
      <c r="BB41" s="2737" t="str">
        <f t="shared" si="45"/>
        <v/>
      </c>
      <c r="BC41" s="2738" t="str">
        <f t="shared" si="46"/>
        <v/>
      </c>
      <c r="BD41" s="2695" t="str">
        <f t="shared" si="47"/>
        <v/>
      </c>
      <c r="BE41" s="2690" t="str">
        <f t="shared" si="48"/>
        <v/>
      </c>
      <c r="BF41" s="2737" t="str">
        <f t="shared" si="49"/>
        <v/>
      </c>
      <c r="BG41" s="2738" t="str">
        <f t="shared" si="50"/>
        <v/>
      </c>
      <c r="BH41" s="1417"/>
      <c r="BJ41" s="995" t="str">
        <f t="shared" si="93"/>
        <v/>
      </c>
      <c r="BK41" s="993" t="b">
        <f t="shared" si="51"/>
        <v>0</v>
      </c>
      <c r="BL41" s="1784" t="b">
        <v>0</v>
      </c>
      <c r="BM41" s="989">
        <f t="shared" si="52"/>
        <v>0</v>
      </c>
      <c r="BN41" s="989">
        <f t="shared" si="53"/>
        <v>0</v>
      </c>
      <c r="BO41" s="989">
        <f t="shared" si="54"/>
        <v>0</v>
      </c>
      <c r="BP41" s="989">
        <f t="shared" si="55"/>
        <v>0</v>
      </c>
      <c r="BQ41" s="989">
        <f t="shared" si="56"/>
        <v>0</v>
      </c>
      <c r="BR41" s="989" t="b">
        <f t="shared" si="57"/>
        <v>1</v>
      </c>
      <c r="BS41" s="1303">
        <f t="shared" si="58"/>
        <v>6</v>
      </c>
      <c r="BT41" s="990" t="str">
        <f t="shared" si="59"/>
        <v>No</v>
      </c>
      <c r="BU41" s="1303">
        <f t="shared" si="60"/>
        <v>6</v>
      </c>
      <c r="BV41" s="990" t="str">
        <f t="shared" si="61"/>
        <v>No</v>
      </c>
      <c r="BW41" s="991">
        <f t="shared" ca="1" si="62"/>
        <v>0</v>
      </c>
      <c r="BX41" s="991" t="str">
        <f t="shared" ca="1" si="63"/>
        <v/>
      </c>
      <c r="BY41" s="991" t="b">
        <f t="shared" ca="1" si="64"/>
        <v>0</v>
      </c>
      <c r="BZ41" s="991" t="b">
        <f t="shared" si="86"/>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5"/>
        <v/>
      </c>
      <c r="EN41" s="1429" t="str">
        <f t="shared" si="66"/>
        <v/>
      </c>
      <c r="EO41" s="1430" t="str">
        <f t="shared" si="67"/>
        <v/>
      </c>
      <c r="EP41" s="1431" t="str">
        <f t="shared" si="68"/>
        <v/>
      </c>
      <c r="EQ41" s="1435" t="str">
        <f t="shared" si="69"/>
        <v/>
      </c>
      <c r="ER41" s="1441" t="str">
        <f t="shared" si="70"/>
        <v/>
      </c>
      <c r="ES41" s="1442" t="str">
        <f t="shared" si="71"/>
        <v/>
      </c>
      <c r="ET41" s="1443" t="str">
        <f t="shared" si="72"/>
        <v/>
      </c>
      <c r="EU41" s="1444" t="str">
        <f t="shared" si="87"/>
        <v/>
      </c>
      <c r="EX41" s="503" t="str">
        <f t="shared" ca="1" si="88"/>
        <v/>
      </c>
      <c r="EY41" s="940" t="str">
        <f t="shared" si="73"/>
        <v/>
      </c>
      <c r="EZ41" s="940" t="str">
        <f t="shared" si="89"/>
        <v/>
      </c>
      <c r="FA41" s="958" t="str">
        <f t="shared" ca="1" si="94"/>
        <v/>
      </c>
      <c r="FB41" s="134" t="str">
        <f t="shared" ca="1" si="90"/>
        <v/>
      </c>
      <c r="FC41" s="134">
        <f t="shared" ca="1" si="74"/>
        <v>0</v>
      </c>
      <c r="FD41" s="134">
        <f t="shared" ca="1" si="75"/>
        <v>0</v>
      </c>
      <c r="FE41" s="134">
        <f t="shared" ca="1" si="76"/>
        <v>0</v>
      </c>
      <c r="FF41" s="134">
        <f t="shared" ca="1" si="91"/>
        <v>0</v>
      </c>
      <c r="FN41" s="754" t="b">
        <v>0</v>
      </c>
      <c r="FO41" s="754" t="b">
        <f t="shared" si="77"/>
        <v>1</v>
      </c>
      <c r="FP41" s="754" t="b">
        <v>0</v>
      </c>
      <c r="FQ41" s="754" t="b">
        <f t="shared" si="92"/>
        <v>1</v>
      </c>
      <c r="FW41" s="2"/>
      <c r="FX41" s="2"/>
      <c r="FZ41" s="2"/>
      <c r="GA41" s="581" t="str">
        <f t="shared" si="78"/>
        <v/>
      </c>
      <c r="GB41" s="623" t="str">
        <f t="shared" si="79"/>
        <v/>
      </c>
      <c r="GC41" s="625" t="str">
        <f t="shared" si="80"/>
        <v/>
      </c>
      <c r="GD41" s="626" t="str">
        <f t="shared" si="81"/>
        <v/>
      </c>
      <c r="GE41" s="624" t="str">
        <f t="shared" si="82"/>
        <v/>
      </c>
      <c r="GF41" s="582" t="str">
        <f t="shared" si="83"/>
        <v/>
      </c>
      <c r="GG41" s="692"/>
      <c r="GH41" s="1136"/>
      <c r="GI41" s="692"/>
      <c r="GJ41" s="1136"/>
      <c r="GK41" s="1641">
        <f t="shared" si="84"/>
        <v>0</v>
      </c>
      <c r="GL41" s="1641" t="e">
        <f t="shared" si="8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5"/>
        <v>0</v>
      </c>
    </row>
    <row r="42" spans="1:272" ht="12.6" customHeight="1" x14ac:dyDescent="0.25">
      <c r="A42" s="2683" t="str">
        <f t="shared" si="0"/>
        <v/>
      </c>
      <c r="B42" s="2684" t="str">
        <f t="shared" si="0"/>
        <v/>
      </c>
      <c r="C42" s="2685"/>
      <c r="D42" s="2686" t="str">
        <f t="shared" si="1"/>
        <v/>
      </c>
      <c r="E42" s="2687" t="str">
        <f t="shared" si="2"/>
        <v/>
      </c>
      <c r="F42" s="2688" t="str">
        <f t="shared" si="3"/>
        <v/>
      </c>
      <c r="G42" s="2689" t="str">
        <f t="shared" si="4"/>
        <v/>
      </c>
      <c r="H42" s="2690" t="str">
        <f t="shared" si="5"/>
        <v/>
      </c>
      <c r="I42" s="2691" t="str">
        <f t="shared" si="6"/>
        <v/>
      </c>
      <c r="J42" s="2686" t="str">
        <f t="shared" si="7"/>
        <v/>
      </c>
      <c r="K42" s="2690" t="str">
        <f t="shared" si="8"/>
        <v/>
      </c>
      <c r="L42" s="2692" t="str">
        <f t="shared" si="9"/>
        <v/>
      </c>
      <c r="M42" s="2693" t="str">
        <f t="shared" si="10"/>
        <v/>
      </c>
      <c r="N42" s="2694" t="str">
        <f t="shared" si="10"/>
        <v/>
      </c>
      <c r="O42" s="2689" t="str">
        <f t="shared" si="11"/>
        <v/>
      </c>
      <c r="P42" s="2690" t="str">
        <f t="shared" si="12"/>
        <v/>
      </c>
      <c r="Q42" s="2686" t="str">
        <f t="shared" si="13"/>
        <v/>
      </c>
      <c r="R42" s="2687" t="str">
        <f t="shared" si="14"/>
        <v/>
      </c>
      <c r="S42" s="2695" t="str">
        <f t="shared" si="15"/>
        <v/>
      </c>
      <c r="T42" s="2690" t="str">
        <f t="shared" si="16"/>
        <v/>
      </c>
      <c r="U42" s="2686" t="str">
        <f t="shared" si="17"/>
        <v/>
      </c>
      <c r="V42" s="2690" t="str">
        <f t="shared" si="18"/>
        <v/>
      </c>
      <c r="W42" s="2694">
        <f t="shared" si="19"/>
        <v>0</v>
      </c>
      <c r="X42" s="2696" t="str">
        <f t="shared" si="20"/>
        <v/>
      </c>
      <c r="Y42" s="2697" t="str">
        <f t="shared" si="21"/>
        <v/>
      </c>
      <c r="Z42" s="2698" t="s">
        <v>116</v>
      </c>
      <c r="AA42" s="2758" t="str">
        <f t="shared" si="22"/>
        <v/>
      </c>
      <c r="AB42" s="2683" t="str">
        <f t="shared" si="23"/>
        <v/>
      </c>
      <c r="AC42" s="2691" t="str">
        <f t="shared" si="24"/>
        <v/>
      </c>
      <c r="AD42" s="2686" t="str">
        <f t="shared" ca="1" si="25"/>
        <v/>
      </c>
      <c r="AE42" s="2690" t="str">
        <f t="shared" ca="1" si="26"/>
        <v/>
      </c>
      <c r="AF42" s="2691" t="str">
        <f t="shared" ca="1" si="27"/>
        <v/>
      </c>
      <c r="AG42" s="2686" t="str">
        <f t="shared" ca="1" si="28"/>
        <v/>
      </c>
      <c r="AH42" s="2690" t="str">
        <f t="shared" ca="1" si="29"/>
        <v/>
      </c>
      <c r="AI42" s="2686" t="str">
        <f t="shared" ca="1" si="30"/>
        <v/>
      </c>
      <c r="AJ42" s="2690" t="str">
        <f t="shared" ca="1" si="31"/>
        <v/>
      </c>
      <c r="AK42" s="2732" t="str">
        <f t="shared" si="32"/>
        <v/>
      </c>
      <c r="AL42" s="2733" t="str">
        <f t="shared" si="33"/>
        <v/>
      </c>
      <c r="AM42" s="2734" t="str">
        <f t="shared" si="32"/>
        <v/>
      </c>
      <c r="AN42" s="2691" t="str">
        <f t="shared" si="32"/>
        <v/>
      </c>
      <c r="AO42" s="2694" t="str">
        <f t="shared" si="32"/>
        <v/>
      </c>
      <c r="AP42" s="2693" t="str">
        <f t="shared" si="34"/>
        <v/>
      </c>
      <c r="AQ42" s="2736" t="str">
        <f t="shared" si="34"/>
        <v/>
      </c>
      <c r="AR42" s="2689" t="str">
        <f t="shared" si="35"/>
        <v/>
      </c>
      <c r="AS42" s="2690" t="str">
        <f t="shared" si="36"/>
        <v/>
      </c>
      <c r="AT42" s="2737" t="str">
        <f t="shared" si="37"/>
        <v/>
      </c>
      <c r="AU42" s="2738" t="str">
        <f t="shared" si="38"/>
        <v/>
      </c>
      <c r="AV42" s="2695" t="str">
        <f t="shared" si="39"/>
        <v/>
      </c>
      <c r="AW42" s="2690" t="str">
        <f t="shared" si="40"/>
        <v/>
      </c>
      <c r="AX42" s="2737" t="str">
        <f t="shared" si="41"/>
        <v/>
      </c>
      <c r="AY42" s="2738" t="str">
        <f t="shared" si="42"/>
        <v/>
      </c>
      <c r="AZ42" s="2695" t="str">
        <f t="shared" si="43"/>
        <v/>
      </c>
      <c r="BA42" s="2690" t="str">
        <f t="shared" si="44"/>
        <v/>
      </c>
      <c r="BB42" s="2737" t="str">
        <f t="shared" si="45"/>
        <v/>
      </c>
      <c r="BC42" s="2738" t="str">
        <f t="shared" si="46"/>
        <v/>
      </c>
      <c r="BD42" s="2695" t="str">
        <f t="shared" si="47"/>
        <v/>
      </c>
      <c r="BE42" s="2690" t="str">
        <f t="shared" si="48"/>
        <v/>
      </c>
      <c r="BF42" s="2737" t="str">
        <f t="shared" si="49"/>
        <v/>
      </c>
      <c r="BG42" s="2738" t="str">
        <f t="shared" si="50"/>
        <v/>
      </c>
      <c r="BH42" s="1417"/>
      <c r="BJ42" s="995" t="str">
        <f t="shared" si="93"/>
        <v/>
      </c>
      <c r="BK42" s="993" t="b">
        <f t="shared" si="51"/>
        <v>0</v>
      </c>
      <c r="BL42" s="1784" t="b">
        <v>0</v>
      </c>
      <c r="BM42" s="989">
        <f t="shared" si="52"/>
        <v>0</v>
      </c>
      <c r="BN42" s="989">
        <f t="shared" si="53"/>
        <v>0</v>
      </c>
      <c r="BO42" s="989">
        <f t="shared" si="54"/>
        <v>0</v>
      </c>
      <c r="BP42" s="989">
        <f t="shared" si="55"/>
        <v>0</v>
      </c>
      <c r="BQ42" s="989">
        <f t="shared" si="56"/>
        <v>0</v>
      </c>
      <c r="BR42" s="989" t="b">
        <f t="shared" si="57"/>
        <v>1</v>
      </c>
      <c r="BS42" s="1303">
        <f t="shared" si="58"/>
        <v>6</v>
      </c>
      <c r="BT42" s="990" t="str">
        <f t="shared" si="59"/>
        <v>No</v>
      </c>
      <c r="BU42" s="1303">
        <f t="shared" si="60"/>
        <v>6</v>
      </c>
      <c r="BV42" s="990" t="str">
        <f t="shared" si="61"/>
        <v>No</v>
      </c>
      <c r="BW42" s="991">
        <f t="shared" ca="1" si="62"/>
        <v>0</v>
      </c>
      <c r="BX42" s="991" t="str">
        <f t="shared" ca="1" si="63"/>
        <v/>
      </c>
      <c r="BY42" s="991" t="b">
        <f t="shared" ca="1" si="64"/>
        <v>0</v>
      </c>
      <c r="BZ42" s="991" t="b">
        <f t="shared" si="86"/>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5"/>
        <v/>
      </c>
      <c r="EN42" s="1429" t="str">
        <f t="shared" si="66"/>
        <v/>
      </c>
      <c r="EO42" s="1430" t="str">
        <f t="shared" si="67"/>
        <v/>
      </c>
      <c r="EP42" s="1431" t="str">
        <f t="shared" si="68"/>
        <v/>
      </c>
      <c r="EQ42" s="1435" t="str">
        <f t="shared" si="69"/>
        <v/>
      </c>
      <c r="ER42" s="1441" t="str">
        <f t="shared" si="70"/>
        <v/>
      </c>
      <c r="ES42" s="1442" t="str">
        <f t="shared" si="71"/>
        <v/>
      </c>
      <c r="ET42" s="1443" t="str">
        <f t="shared" si="72"/>
        <v/>
      </c>
      <c r="EU42" s="1444" t="str">
        <f t="shared" si="87"/>
        <v/>
      </c>
      <c r="EX42" s="503" t="str">
        <f t="shared" ca="1" si="88"/>
        <v/>
      </c>
      <c r="EY42" s="940" t="str">
        <f t="shared" si="73"/>
        <v/>
      </c>
      <c r="EZ42" s="940" t="str">
        <f t="shared" si="89"/>
        <v/>
      </c>
      <c r="FA42" s="958" t="str">
        <f t="shared" ca="1" si="94"/>
        <v/>
      </c>
      <c r="FB42" s="134" t="str">
        <f t="shared" ca="1" si="90"/>
        <v/>
      </c>
      <c r="FC42" s="134">
        <f t="shared" ca="1" si="74"/>
        <v>0</v>
      </c>
      <c r="FD42" s="134">
        <f t="shared" ca="1" si="75"/>
        <v>0</v>
      </c>
      <c r="FE42" s="134">
        <f t="shared" ca="1" si="76"/>
        <v>0</v>
      </c>
      <c r="FF42" s="134">
        <f t="shared" ca="1" si="91"/>
        <v>0</v>
      </c>
      <c r="FN42" s="754" t="b">
        <v>0</v>
      </c>
      <c r="FO42" s="754" t="b">
        <f t="shared" si="77"/>
        <v>1</v>
      </c>
      <c r="FP42" s="754" t="b">
        <v>0</v>
      </c>
      <c r="FQ42" s="754" t="b">
        <f t="shared" si="92"/>
        <v>1</v>
      </c>
      <c r="GA42" s="581" t="str">
        <f t="shared" si="78"/>
        <v/>
      </c>
      <c r="GB42" s="623" t="str">
        <f t="shared" si="79"/>
        <v/>
      </c>
      <c r="GC42" s="625" t="str">
        <f t="shared" si="80"/>
        <v/>
      </c>
      <c r="GD42" s="626" t="str">
        <f t="shared" si="81"/>
        <v/>
      </c>
      <c r="GE42" s="624" t="str">
        <f t="shared" si="82"/>
        <v/>
      </c>
      <c r="GF42" s="582" t="str">
        <f t="shared" si="83"/>
        <v/>
      </c>
      <c r="GG42" s="692"/>
      <c r="GH42" s="1136"/>
      <c r="GI42" s="692"/>
      <c r="GJ42" s="1136"/>
      <c r="GK42" s="1641">
        <f t="shared" si="84"/>
        <v>0</v>
      </c>
      <c r="GL42" s="1641" t="e">
        <f t="shared" si="8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5"/>
        <v>0</v>
      </c>
    </row>
    <row r="43" spans="1:272" ht="12.6" customHeight="1" x14ac:dyDescent="0.25">
      <c r="A43" s="2683" t="str">
        <f t="shared" si="0"/>
        <v/>
      </c>
      <c r="B43" s="2684" t="str">
        <f t="shared" si="0"/>
        <v/>
      </c>
      <c r="C43" s="2685"/>
      <c r="D43" s="2686" t="str">
        <f t="shared" si="1"/>
        <v/>
      </c>
      <c r="E43" s="2687" t="str">
        <f t="shared" si="2"/>
        <v/>
      </c>
      <c r="F43" s="2688" t="str">
        <f t="shared" si="3"/>
        <v/>
      </c>
      <c r="G43" s="2689" t="str">
        <f t="shared" si="4"/>
        <v/>
      </c>
      <c r="H43" s="2690" t="str">
        <f t="shared" si="5"/>
        <v/>
      </c>
      <c r="I43" s="2691" t="str">
        <f t="shared" si="6"/>
        <v/>
      </c>
      <c r="J43" s="2686" t="str">
        <f t="shared" si="7"/>
        <v/>
      </c>
      <c r="K43" s="2690" t="str">
        <f t="shared" si="8"/>
        <v/>
      </c>
      <c r="L43" s="2692" t="str">
        <f t="shared" si="9"/>
        <v/>
      </c>
      <c r="M43" s="2693" t="str">
        <f t="shared" si="10"/>
        <v/>
      </c>
      <c r="N43" s="2694" t="str">
        <f t="shared" si="10"/>
        <v/>
      </c>
      <c r="O43" s="2689" t="str">
        <f t="shared" si="11"/>
        <v/>
      </c>
      <c r="P43" s="2690" t="str">
        <f t="shared" si="12"/>
        <v/>
      </c>
      <c r="Q43" s="2686" t="str">
        <f t="shared" si="13"/>
        <v/>
      </c>
      <c r="R43" s="2687" t="str">
        <f t="shared" si="14"/>
        <v/>
      </c>
      <c r="S43" s="2695" t="str">
        <f t="shared" si="15"/>
        <v/>
      </c>
      <c r="T43" s="2690" t="str">
        <f t="shared" si="16"/>
        <v/>
      </c>
      <c r="U43" s="2686" t="str">
        <f t="shared" si="17"/>
        <v/>
      </c>
      <c r="V43" s="2690" t="str">
        <f t="shared" si="18"/>
        <v/>
      </c>
      <c r="W43" s="2694">
        <f t="shared" si="19"/>
        <v>0</v>
      </c>
      <c r="X43" s="2696" t="str">
        <f t="shared" si="20"/>
        <v/>
      </c>
      <c r="Y43" s="2697" t="str">
        <f t="shared" si="21"/>
        <v/>
      </c>
      <c r="Z43" s="2698" t="s">
        <v>116</v>
      </c>
      <c r="AA43" s="2758" t="str">
        <f t="shared" si="22"/>
        <v/>
      </c>
      <c r="AB43" s="2683" t="str">
        <f t="shared" si="23"/>
        <v/>
      </c>
      <c r="AC43" s="2691" t="str">
        <f t="shared" si="24"/>
        <v/>
      </c>
      <c r="AD43" s="2686" t="str">
        <f t="shared" ca="1" si="25"/>
        <v/>
      </c>
      <c r="AE43" s="2690" t="str">
        <f t="shared" ca="1" si="26"/>
        <v/>
      </c>
      <c r="AF43" s="2691" t="str">
        <f t="shared" ca="1" si="27"/>
        <v/>
      </c>
      <c r="AG43" s="2686" t="str">
        <f t="shared" ca="1" si="28"/>
        <v/>
      </c>
      <c r="AH43" s="2690" t="str">
        <f t="shared" ca="1" si="29"/>
        <v/>
      </c>
      <c r="AI43" s="2686" t="str">
        <f t="shared" ca="1" si="30"/>
        <v/>
      </c>
      <c r="AJ43" s="2690" t="str">
        <f t="shared" ca="1" si="31"/>
        <v/>
      </c>
      <c r="AK43" s="2732" t="str">
        <f t="shared" si="32"/>
        <v/>
      </c>
      <c r="AL43" s="2733" t="str">
        <f t="shared" si="33"/>
        <v/>
      </c>
      <c r="AM43" s="2734" t="str">
        <f t="shared" si="32"/>
        <v/>
      </c>
      <c r="AN43" s="2691" t="str">
        <f t="shared" si="32"/>
        <v/>
      </c>
      <c r="AO43" s="2694" t="str">
        <f t="shared" si="32"/>
        <v/>
      </c>
      <c r="AP43" s="2693" t="str">
        <f t="shared" si="34"/>
        <v/>
      </c>
      <c r="AQ43" s="2736" t="str">
        <f t="shared" si="34"/>
        <v/>
      </c>
      <c r="AR43" s="2689" t="str">
        <f t="shared" si="35"/>
        <v/>
      </c>
      <c r="AS43" s="2690" t="str">
        <f t="shared" si="36"/>
        <v/>
      </c>
      <c r="AT43" s="2737" t="str">
        <f t="shared" si="37"/>
        <v/>
      </c>
      <c r="AU43" s="2738" t="str">
        <f t="shared" si="38"/>
        <v/>
      </c>
      <c r="AV43" s="2695" t="str">
        <f t="shared" si="39"/>
        <v/>
      </c>
      <c r="AW43" s="2690" t="str">
        <f t="shared" si="40"/>
        <v/>
      </c>
      <c r="AX43" s="2737" t="str">
        <f t="shared" si="41"/>
        <v/>
      </c>
      <c r="AY43" s="2738" t="str">
        <f t="shared" si="42"/>
        <v/>
      </c>
      <c r="AZ43" s="2695" t="str">
        <f t="shared" si="43"/>
        <v/>
      </c>
      <c r="BA43" s="2690" t="str">
        <f t="shared" si="44"/>
        <v/>
      </c>
      <c r="BB43" s="2737" t="str">
        <f t="shared" si="45"/>
        <v/>
      </c>
      <c r="BC43" s="2738" t="str">
        <f t="shared" si="46"/>
        <v/>
      </c>
      <c r="BD43" s="2695" t="str">
        <f t="shared" si="47"/>
        <v/>
      </c>
      <c r="BE43" s="2690" t="str">
        <f t="shared" si="48"/>
        <v/>
      </c>
      <c r="BF43" s="2737" t="str">
        <f t="shared" si="49"/>
        <v/>
      </c>
      <c r="BG43" s="2738" t="str">
        <f t="shared" si="50"/>
        <v/>
      </c>
      <c r="BH43" s="1417"/>
      <c r="BJ43" s="995" t="str">
        <f t="shared" si="93"/>
        <v/>
      </c>
      <c r="BK43" s="993" t="b">
        <f t="shared" si="51"/>
        <v>0</v>
      </c>
      <c r="BL43" s="1784" t="b">
        <v>0</v>
      </c>
      <c r="BM43" s="989">
        <f t="shared" si="52"/>
        <v>0</v>
      </c>
      <c r="BN43" s="989">
        <f t="shared" si="53"/>
        <v>0</v>
      </c>
      <c r="BO43" s="989">
        <f t="shared" si="54"/>
        <v>0</v>
      </c>
      <c r="BP43" s="989">
        <f t="shared" si="55"/>
        <v>0</v>
      </c>
      <c r="BQ43" s="989">
        <f t="shared" si="56"/>
        <v>0</v>
      </c>
      <c r="BR43" s="989" t="b">
        <f t="shared" si="57"/>
        <v>1</v>
      </c>
      <c r="BS43" s="1303">
        <f t="shared" si="58"/>
        <v>6</v>
      </c>
      <c r="BT43" s="990" t="str">
        <f t="shared" si="59"/>
        <v>No</v>
      </c>
      <c r="BU43" s="1303">
        <f t="shared" si="60"/>
        <v>6</v>
      </c>
      <c r="BV43" s="990" t="str">
        <f t="shared" si="61"/>
        <v>No</v>
      </c>
      <c r="BW43" s="991">
        <f t="shared" ca="1" si="62"/>
        <v>0</v>
      </c>
      <c r="BX43" s="991" t="str">
        <f t="shared" ca="1" si="63"/>
        <v/>
      </c>
      <c r="BY43" s="991" t="b">
        <f t="shared" ca="1" si="64"/>
        <v>0</v>
      </c>
      <c r="BZ43" s="991" t="b">
        <f t="shared" si="86"/>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5"/>
        <v/>
      </c>
      <c r="EN43" s="1429" t="str">
        <f t="shared" si="66"/>
        <v/>
      </c>
      <c r="EO43" s="1430" t="str">
        <f t="shared" si="67"/>
        <v/>
      </c>
      <c r="EP43" s="1431" t="str">
        <f t="shared" si="68"/>
        <v/>
      </c>
      <c r="EQ43" s="1435" t="str">
        <f t="shared" si="69"/>
        <v/>
      </c>
      <c r="ER43" s="1441" t="str">
        <f t="shared" si="70"/>
        <v/>
      </c>
      <c r="ES43" s="1442" t="str">
        <f t="shared" si="71"/>
        <v/>
      </c>
      <c r="ET43" s="1443" t="str">
        <f t="shared" si="72"/>
        <v/>
      </c>
      <c r="EU43" s="1444" t="str">
        <f t="shared" si="87"/>
        <v/>
      </c>
      <c r="EX43" s="503" t="str">
        <f t="shared" ca="1" si="88"/>
        <v/>
      </c>
      <c r="EY43" s="940" t="str">
        <f t="shared" si="73"/>
        <v/>
      </c>
      <c r="EZ43" s="940" t="str">
        <f t="shared" si="89"/>
        <v/>
      </c>
      <c r="FA43" s="958" t="str">
        <f t="shared" ca="1" si="94"/>
        <v/>
      </c>
      <c r="FB43" s="134" t="str">
        <f t="shared" ca="1" si="90"/>
        <v/>
      </c>
      <c r="FC43" s="134">
        <f t="shared" ca="1" si="74"/>
        <v>0</v>
      </c>
      <c r="FD43" s="134">
        <f t="shared" ca="1" si="75"/>
        <v>0</v>
      </c>
      <c r="FE43" s="134">
        <f t="shared" ca="1" si="76"/>
        <v>0</v>
      </c>
      <c r="FF43" s="134">
        <f t="shared" ca="1" si="91"/>
        <v>0</v>
      </c>
      <c r="FN43" s="754" t="b">
        <v>0</v>
      </c>
      <c r="FO43" s="754" t="b">
        <f t="shared" si="77"/>
        <v>1</v>
      </c>
      <c r="FP43" s="754" t="b">
        <v>0</v>
      </c>
      <c r="FQ43" s="754" t="b">
        <f t="shared" si="92"/>
        <v>1</v>
      </c>
      <c r="GA43" s="581" t="str">
        <f t="shared" si="78"/>
        <v/>
      </c>
      <c r="GB43" s="623" t="str">
        <f t="shared" si="79"/>
        <v/>
      </c>
      <c r="GC43" s="625" t="str">
        <f t="shared" si="80"/>
        <v/>
      </c>
      <c r="GD43" s="626" t="str">
        <f t="shared" si="81"/>
        <v/>
      </c>
      <c r="GE43" s="624" t="str">
        <f t="shared" si="82"/>
        <v/>
      </c>
      <c r="GF43" s="582" t="str">
        <f t="shared" si="83"/>
        <v/>
      </c>
      <c r="GG43" s="692"/>
      <c r="GH43" s="1136"/>
      <c r="GI43" s="692"/>
      <c r="GJ43" s="1136"/>
      <c r="GK43" s="1641">
        <f t="shared" si="84"/>
        <v>0</v>
      </c>
      <c r="GL43" s="1641" t="e">
        <f t="shared" si="8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5"/>
        <v>0</v>
      </c>
    </row>
    <row r="44" spans="1:272" ht="12.6" customHeight="1" x14ac:dyDescent="0.25">
      <c r="A44" s="2683" t="str">
        <f t="shared" si="0"/>
        <v/>
      </c>
      <c r="B44" s="2684" t="str">
        <f t="shared" si="0"/>
        <v/>
      </c>
      <c r="C44" s="2685"/>
      <c r="D44" s="2686" t="str">
        <f t="shared" si="1"/>
        <v/>
      </c>
      <c r="E44" s="2687" t="str">
        <f t="shared" si="2"/>
        <v/>
      </c>
      <c r="F44" s="2688" t="str">
        <f t="shared" si="3"/>
        <v/>
      </c>
      <c r="G44" s="2689" t="str">
        <f t="shared" si="4"/>
        <v/>
      </c>
      <c r="H44" s="2690" t="str">
        <f t="shared" si="5"/>
        <v/>
      </c>
      <c r="I44" s="2691" t="str">
        <f t="shared" si="6"/>
        <v/>
      </c>
      <c r="J44" s="2686" t="str">
        <f t="shared" si="7"/>
        <v/>
      </c>
      <c r="K44" s="2690" t="str">
        <f t="shared" si="8"/>
        <v/>
      </c>
      <c r="L44" s="2692" t="str">
        <f t="shared" si="9"/>
        <v/>
      </c>
      <c r="M44" s="2693" t="str">
        <f t="shared" si="10"/>
        <v/>
      </c>
      <c r="N44" s="2694" t="str">
        <f t="shared" si="10"/>
        <v/>
      </c>
      <c r="O44" s="2689" t="str">
        <f t="shared" si="11"/>
        <v/>
      </c>
      <c r="P44" s="2690" t="str">
        <f t="shared" si="12"/>
        <v/>
      </c>
      <c r="Q44" s="2686" t="str">
        <f t="shared" si="13"/>
        <v/>
      </c>
      <c r="R44" s="2687" t="str">
        <f t="shared" si="14"/>
        <v/>
      </c>
      <c r="S44" s="2695" t="str">
        <f t="shared" si="15"/>
        <v/>
      </c>
      <c r="T44" s="2690" t="str">
        <f t="shared" si="16"/>
        <v/>
      </c>
      <c r="U44" s="2686" t="str">
        <f t="shared" si="17"/>
        <v/>
      </c>
      <c r="V44" s="2690" t="str">
        <f t="shared" si="18"/>
        <v/>
      </c>
      <c r="W44" s="2694">
        <f t="shared" si="19"/>
        <v>0</v>
      </c>
      <c r="X44" s="2696" t="str">
        <f t="shared" si="20"/>
        <v/>
      </c>
      <c r="Y44" s="2697" t="str">
        <f t="shared" si="21"/>
        <v/>
      </c>
      <c r="Z44" s="2698" t="s">
        <v>116</v>
      </c>
      <c r="AA44" s="2758" t="str">
        <f t="shared" si="22"/>
        <v/>
      </c>
      <c r="AB44" s="2683" t="str">
        <f t="shared" si="23"/>
        <v/>
      </c>
      <c r="AC44" s="2691" t="str">
        <f t="shared" si="24"/>
        <v/>
      </c>
      <c r="AD44" s="2686" t="str">
        <f t="shared" ca="1" si="25"/>
        <v/>
      </c>
      <c r="AE44" s="2690" t="str">
        <f t="shared" ca="1" si="26"/>
        <v/>
      </c>
      <c r="AF44" s="2691" t="str">
        <f t="shared" ca="1" si="27"/>
        <v/>
      </c>
      <c r="AG44" s="2686" t="str">
        <f t="shared" ca="1" si="28"/>
        <v/>
      </c>
      <c r="AH44" s="2690" t="str">
        <f t="shared" ca="1" si="29"/>
        <v/>
      </c>
      <c r="AI44" s="2686" t="str">
        <f t="shared" ca="1" si="30"/>
        <v/>
      </c>
      <c r="AJ44" s="2690" t="str">
        <f t="shared" ca="1" si="31"/>
        <v/>
      </c>
      <c r="AK44" s="2732" t="str">
        <f t="shared" si="32"/>
        <v/>
      </c>
      <c r="AL44" s="2733" t="str">
        <f t="shared" si="33"/>
        <v/>
      </c>
      <c r="AM44" s="2734" t="str">
        <f t="shared" si="32"/>
        <v/>
      </c>
      <c r="AN44" s="2691" t="str">
        <f t="shared" si="32"/>
        <v/>
      </c>
      <c r="AO44" s="2694" t="str">
        <f t="shared" si="32"/>
        <v/>
      </c>
      <c r="AP44" s="2693" t="str">
        <f t="shared" si="34"/>
        <v/>
      </c>
      <c r="AQ44" s="2736" t="str">
        <f t="shared" si="34"/>
        <v/>
      </c>
      <c r="AR44" s="2689" t="str">
        <f t="shared" si="35"/>
        <v/>
      </c>
      <c r="AS44" s="2690" t="str">
        <f t="shared" si="36"/>
        <v/>
      </c>
      <c r="AT44" s="2737" t="str">
        <f t="shared" si="37"/>
        <v/>
      </c>
      <c r="AU44" s="2738" t="str">
        <f t="shared" si="38"/>
        <v/>
      </c>
      <c r="AV44" s="2695" t="str">
        <f t="shared" si="39"/>
        <v/>
      </c>
      <c r="AW44" s="2690" t="str">
        <f t="shared" si="40"/>
        <v/>
      </c>
      <c r="AX44" s="2737" t="str">
        <f t="shared" si="41"/>
        <v/>
      </c>
      <c r="AY44" s="2738" t="str">
        <f t="shared" si="42"/>
        <v/>
      </c>
      <c r="AZ44" s="2695" t="str">
        <f t="shared" si="43"/>
        <v/>
      </c>
      <c r="BA44" s="2690" t="str">
        <f t="shared" si="44"/>
        <v/>
      </c>
      <c r="BB44" s="2737" t="str">
        <f t="shared" si="45"/>
        <v/>
      </c>
      <c r="BC44" s="2738" t="str">
        <f t="shared" si="46"/>
        <v/>
      </c>
      <c r="BD44" s="2695" t="str">
        <f t="shared" si="47"/>
        <v/>
      </c>
      <c r="BE44" s="2690" t="str">
        <f t="shared" si="48"/>
        <v/>
      </c>
      <c r="BF44" s="2737" t="str">
        <f t="shared" si="49"/>
        <v/>
      </c>
      <c r="BG44" s="2738" t="str">
        <f t="shared" si="50"/>
        <v/>
      </c>
      <c r="BH44" s="1417"/>
      <c r="BJ44" s="995" t="str">
        <f t="shared" si="93"/>
        <v/>
      </c>
      <c r="BK44" s="993" t="b">
        <f t="shared" si="51"/>
        <v>0</v>
      </c>
      <c r="BL44" s="1784" t="b">
        <v>0</v>
      </c>
      <c r="BM44" s="989">
        <f t="shared" si="52"/>
        <v>0</v>
      </c>
      <c r="BN44" s="989">
        <f t="shared" si="53"/>
        <v>0</v>
      </c>
      <c r="BO44" s="989">
        <f t="shared" si="54"/>
        <v>0</v>
      </c>
      <c r="BP44" s="989">
        <f t="shared" si="55"/>
        <v>0</v>
      </c>
      <c r="BQ44" s="989">
        <f t="shared" si="56"/>
        <v>0</v>
      </c>
      <c r="BR44" s="989" t="b">
        <f t="shared" si="57"/>
        <v>1</v>
      </c>
      <c r="BS44" s="1303">
        <f t="shared" si="58"/>
        <v>6</v>
      </c>
      <c r="BT44" s="990" t="str">
        <f t="shared" si="59"/>
        <v>No</v>
      </c>
      <c r="BU44" s="1303">
        <f t="shared" si="60"/>
        <v>6</v>
      </c>
      <c r="BV44" s="990" t="str">
        <f t="shared" si="61"/>
        <v>No</v>
      </c>
      <c r="BW44" s="991">
        <f t="shared" ca="1" si="62"/>
        <v>0</v>
      </c>
      <c r="BX44" s="991" t="str">
        <f t="shared" ca="1" si="63"/>
        <v/>
      </c>
      <c r="BY44" s="991" t="b">
        <f t="shared" ca="1" si="64"/>
        <v>0</v>
      </c>
      <c r="BZ44" s="991" t="b">
        <f t="shared" si="86"/>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5"/>
        <v/>
      </c>
      <c r="EN44" s="1429" t="str">
        <f t="shared" si="66"/>
        <v/>
      </c>
      <c r="EO44" s="1430" t="str">
        <f t="shared" si="67"/>
        <v/>
      </c>
      <c r="EP44" s="1431" t="str">
        <f t="shared" si="68"/>
        <v/>
      </c>
      <c r="EQ44" s="1435" t="str">
        <f t="shared" si="69"/>
        <v/>
      </c>
      <c r="ER44" s="1441" t="str">
        <f t="shared" si="70"/>
        <v/>
      </c>
      <c r="ES44" s="1442" t="str">
        <f t="shared" si="71"/>
        <v/>
      </c>
      <c r="ET44" s="1443" t="str">
        <f t="shared" si="72"/>
        <v/>
      </c>
      <c r="EU44" s="1444" t="str">
        <f t="shared" si="87"/>
        <v/>
      </c>
      <c r="EX44" s="503" t="str">
        <f t="shared" ca="1" si="88"/>
        <v/>
      </c>
      <c r="EY44" s="940" t="str">
        <f t="shared" si="73"/>
        <v/>
      </c>
      <c r="EZ44" s="940" t="str">
        <f t="shared" si="89"/>
        <v/>
      </c>
      <c r="FA44" s="958" t="str">
        <f t="shared" ca="1" si="94"/>
        <v/>
      </c>
      <c r="FB44" s="134" t="str">
        <f t="shared" ca="1" si="90"/>
        <v/>
      </c>
      <c r="FC44" s="134">
        <f t="shared" ca="1" si="74"/>
        <v>0</v>
      </c>
      <c r="FD44" s="134">
        <f t="shared" ca="1" si="75"/>
        <v>0</v>
      </c>
      <c r="FE44" s="134">
        <f t="shared" ca="1" si="76"/>
        <v>0</v>
      </c>
      <c r="FF44" s="134">
        <f t="shared" ca="1" si="91"/>
        <v>0</v>
      </c>
      <c r="FN44" s="754" t="b">
        <v>0</v>
      </c>
      <c r="FO44" s="754" t="b">
        <f t="shared" si="77"/>
        <v>1</v>
      </c>
      <c r="FP44" s="754" t="b">
        <v>0</v>
      </c>
      <c r="FQ44" s="754" t="b">
        <f t="shared" si="92"/>
        <v>1</v>
      </c>
      <c r="GA44" s="581" t="str">
        <f t="shared" si="78"/>
        <v/>
      </c>
      <c r="GB44" s="623" t="str">
        <f t="shared" si="79"/>
        <v/>
      </c>
      <c r="GC44" s="625" t="str">
        <f t="shared" si="80"/>
        <v/>
      </c>
      <c r="GD44" s="626" t="str">
        <f t="shared" si="81"/>
        <v/>
      </c>
      <c r="GE44" s="624" t="str">
        <f t="shared" si="82"/>
        <v/>
      </c>
      <c r="GF44" s="582" t="str">
        <f t="shared" si="83"/>
        <v/>
      </c>
      <c r="GG44" s="692"/>
      <c r="GH44" s="1136"/>
      <c r="GI44" s="692"/>
      <c r="GJ44" s="1136"/>
      <c r="GK44" s="1641">
        <f t="shared" si="84"/>
        <v>0</v>
      </c>
      <c r="GL44" s="1641" t="e">
        <f t="shared" si="85"/>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5"/>
        <v>0</v>
      </c>
    </row>
    <row r="45" spans="1:272" ht="12.6" customHeight="1" thickBot="1" x14ac:dyDescent="0.35">
      <c r="A45" s="2701" t="str">
        <f t="shared" si="0"/>
        <v/>
      </c>
      <c r="B45" s="2702" t="str">
        <f t="shared" si="0"/>
        <v/>
      </c>
      <c r="C45" s="2703"/>
      <c r="D45" s="2704" t="str">
        <f t="shared" si="1"/>
        <v/>
      </c>
      <c r="E45" s="2705" t="str">
        <f t="shared" si="2"/>
        <v/>
      </c>
      <c r="F45" s="2706" t="str">
        <f t="shared" si="3"/>
        <v/>
      </c>
      <c r="G45" s="2707" t="str">
        <f t="shared" si="4"/>
        <v/>
      </c>
      <c r="H45" s="2708" t="str">
        <f t="shared" si="5"/>
        <v/>
      </c>
      <c r="I45" s="2709" t="str">
        <f t="shared" si="6"/>
        <v/>
      </c>
      <c r="J45" s="2704" t="str">
        <f t="shared" si="7"/>
        <v/>
      </c>
      <c r="K45" s="2708" t="str">
        <f t="shared" si="8"/>
        <v/>
      </c>
      <c r="L45" s="2710" t="str">
        <f t="shared" si="9"/>
        <v/>
      </c>
      <c r="M45" s="2711" t="str">
        <f t="shared" si="10"/>
        <v/>
      </c>
      <c r="N45" s="2712" t="str">
        <f t="shared" si="10"/>
        <v/>
      </c>
      <c r="O45" s="2707" t="str">
        <f t="shared" si="11"/>
        <v/>
      </c>
      <c r="P45" s="2708" t="str">
        <f t="shared" si="12"/>
        <v/>
      </c>
      <c r="Q45" s="2704" t="str">
        <f t="shared" si="13"/>
        <v/>
      </c>
      <c r="R45" s="2705" t="str">
        <f t="shared" si="14"/>
        <v/>
      </c>
      <c r="S45" s="2713" t="str">
        <f t="shared" si="15"/>
        <v/>
      </c>
      <c r="T45" s="2708" t="str">
        <f t="shared" si="16"/>
        <v/>
      </c>
      <c r="U45" s="2704" t="str">
        <f t="shared" si="17"/>
        <v/>
      </c>
      <c r="V45" s="2708" t="str">
        <f t="shared" si="18"/>
        <v/>
      </c>
      <c r="W45" s="2712">
        <f t="shared" si="19"/>
        <v>0</v>
      </c>
      <c r="X45" s="2714" t="str">
        <f t="shared" si="20"/>
        <v/>
      </c>
      <c r="Y45" s="2715" t="str">
        <f t="shared" si="21"/>
        <v/>
      </c>
      <c r="Z45" s="2716" t="s">
        <v>116</v>
      </c>
      <c r="AA45" s="2759" t="str">
        <f t="shared" si="22"/>
        <v/>
      </c>
      <c r="AB45" s="2701" t="str">
        <f t="shared" si="23"/>
        <v/>
      </c>
      <c r="AC45" s="2709" t="str">
        <f t="shared" si="24"/>
        <v/>
      </c>
      <c r="AD45" s="2704" t="str">
        <f t="shared" ca="1" si="25"/>
        <v/>
      </c>
      <c r="AE45" s="2708" t="str">
        <f t="shared" ca="1" si="26"/>
        <v/>
      </c>
      <c r="AF45" s="2709" t="str">
        <f t="shared" ca="1" si="27"/>
        <v/>
      </c>
      <c r="AG45" s="2704" t="str">
        <f t="shared" ca="1" si="28"/>
        <v/>
      </c>
      <c r="AH45" s="2708" t="str">
        <f t="shared" ca="1" si="29"/>
        <v/>
      </c>
      <c r="AI45" s="2704" t="str">
        <f t="shared" ca="1" si="30"/>
        <v/>
      </c>
      <c r="AJ45" s="2708" t="str">
        <f t="shared" ca="1" si="31"/>
        <v/>
      </c>
      <c r="AK45" s="2739" t="str">
        <f t="shared" si="32"/>
        <v/>
      </c>
      <c r="AL45" s="2740" t="str">
        <f t="shared" si="33"/>
        <v/>
      </c>
      <c r="AM45" s="2741" t="str">
        <f t="shared" si="32"/>
        <v/>
      </c>
      <c r="AN45" s="2709" t="str">
        <f t="shared" si="32"/>
        <v/>
      </c>
      <c r="AO45" s="2712" t="str">
        <f t="shared" si="32"/>
        <v/>
      </c>
      <c r="AP45" s="2711" t="str">
        <f t="shared" si="34"/>
        <v/>
      </c>
      <c r="AQ45" s="2743" t="str">
        <f t="shared" si="34"/>
        <v/>
      </c>
      <c r="AR45" s="2707" t="str">
        <f t="shared" si="35"/>
        <v/>
      </c>
      <c r="AS45" s="2708" t="str">
        <f t="shared" si="36"/>
        <v/>
      </c>
      <c r="AT45" s="2744" t="str">
        <f t="shared" si="37"/>
        <v/>
      </c>
      <c r="AU45" s="2745" t="str">
        <f t="shared" si="38"/>
        <v/>
      </c>
      <c r="AV45" s="2713" t="str">
        <f t="shared" si="39"/>
        <v/>
      </c>
      <c r="AW45" s="2708" t="str">
        <f t="shared" si="40"/>
        <v/>
      </c>
      <c r="AX45" s="2744" t="str">
        <f t="shared" si="41"/>
        <v/>
      </c>
      <c r="AY45" s="2745" t="str">
        <f t="shared" si="42"/>
        <v/>
      </c>
      <c r="AZ45" s="2713" t="str">
        <f t="shared" si="43"/>
        <v/>
      </c>
      <c r="BA45" s="2708" t="str">
        <f t="shared" si="44"/>
        <v/>
      </c>
      <c r="BB45" s="2744" t="str">
        <f t="shared" si="45"/>
        <v/>
      </c>
      <c r="BC45" s="2745" t="str">
        <f t="shared" si="46"/>
        <v/>
      </c>
      <c r="BD45" s="2713" t="str">
        <f t="shared" si="47"/>
        <v/>
      </c>
      <c r="BE45" s="2708" t="str">
        <f t="shared" si="48"/>
        <v/>
      </c>
      <c r="BF45" s="2744" t="str">
        <f t="shared" si="49"/>
        <v/>
      </c>
      <c r="BG45" s="2745" t="str">
        <f t="shared" si="50"/>
        <v/>
      </c>
      <c r="BH45" s="1417"/>
      <c r="BJ45" s="995" t="str">
        <f t="shared" si="93"/>
        <v/>
      </c>
      <c r="BK45" s="993" t="b">
        <f t="shared" si="51"/>
        <v>0</v>
      </c>
      <c r="BL45" s="1784" t="b">
        <v>0</v>
      </c>
      <c r="BM45" s="989">
        <f t="shared" si="52"/>
        <v>0</v>
      </c>
      <c r="BN45" s="989">
        <f t="shared" si="53"/>
        <v>0</v>
      </c>
      <c r="BO45" s="989">
        <f t="shared" si="54"/>
        <v>0</v>
      </c>
      <c r="BP45" s="989">
        <f t="shared" si="55"/>
        <v>0</v>
      </c>
      <c r="BQ45" s="989">
        <f t="shared" si="56"/>
        <v>0</v>
      </c>
      <c r="BR45" s="989" t="b">
        <f t="shared" si="57"/>
        <v>1</v>
      </c>
      <c r="BS45" s="1303">
        <f t="shared" si="58"/>
        <v>6</v>
      </c>
      <c r="BT45" s="990" t="str">
        <f t="shared" si="59"/>
        <v>No</v>
      </c>
      <c r="BU45" s="1303">
        <f t="shared" si="60"/>
        <v>6</v>
      </c>
      <c r="BV45" s="990" t="str">
        <f t="shared" si="61"/>
        <v>No</v>
      </c>
      <c r="BW45" s="991">
        <f t="shared" ca="1" si="62"/>
        <v>0</v>
      </c>
      <c r="BX45" s="991" t="str">
        <f t="shared" ca="1" si="63"/>
        <v/>
      </c>
      <c r="BY45" s="991" t="b">
        <f t="shared" ca="1" si="64"/>
        <v>0</v>
      </c>
      <c r="BZ45" s="991" t="b">
        <f t="shared" si="86"/>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5"/>
        <v/>
      </c>
      <c r="EN45" s="1636" t="str">
        <f t="shared" si="66"/>
        <v/>
      </c>
      <c r="EO45" s="1432" t="str">
        <f t="shared" si="67"/>
        <v/>
      </c>
      <c r="EP45" s="1433" t="str">
        <f t="shared" si="68"/>
        <v/>
      </c>
      <c r="EQ45" s="1436" t="str">
        <f t="shared" si="69"/>
        <v/>
      </c>
      <c r="ER45" s="1445" t="str">
        <f t="shared" si="70"/>
        <v/>
      </c>
      <c r="ES45" s="1446" t="str">
        <f t="shared" si="71"/>
        <v/>
      </c>
      <c r="ET45" s="1447" t="str">
        <f t="shared" si="72"/>
        <v/>
      </c>
      <c r="EU45" s="1448" t="str">
        <f t="shared" si="87"/>
        <v/>
      </c>
      <c r="EX45" s="503" t="str">
        <f t="shared" ca="1" si="88"/>
        <v/>
      </c>
      <c r="EY45" s="940" t="str">
        <f t="shared" si="73"/>
        <v/>
      </c>
      <c r="EZ45" s="940" t="str">
        <f t="shared" si="89"/>
        <v/>
      </c>
      <c r="FA45" s="958" t="str">
        <f t="shared" ca="1" si="94"/>
        <v/>
      </c>
      <c r="FB45" s="134" t="str">
        <f t="shared" ca="1" si="90"/>
        <v/>
      </c>
      <c r="FC45" s="134">
        <f t="shared" ca="1" si="74"/>
        <v>0</v>
      </c>
      <c r="FD45" s="134">
        <f t="shared" ca="1" si="75"/>
        <v>0</v>
      </c>
      <c r="FE45" s="134">
        <f t="shared" ca="1" si="76"/>
        <v>0</v>
      </c>
      <c r="FF45" s="134">
        <f t="shared" ca="1" si="91"/>
        <v>0</v>
      </c>
      <c r="FN45" s="754" t="b">
        <v>0</v>
      </c>
      <c r="FO45" s="754" t="b">
        <f t="shared" si="77"/>
        <v>1</v>
      </c>
      <c r="FP45" s="754" t="b">
        <v>0</v>
      </c>
      <c r="FQ45" s="754" t="b">
        <f t="shared" si="92"/>
        <v>1</v>
      </c>
      <c r="FW45" s="102"/>
      <c r="FX45" s="102"/>
      <c r="FZ45" s="104"/>
      <c r="GA45" s="581" t="str">
        <f t="shared" si="78"/>
        <v/>
      </c>
      <c r="GB45" s="623" t="str">
        <f t="shared" si="79"/>
        <v/>
      </c>
      <c r="GC45" s="625" t="str">
        <f t="shared" si="80"/>
        <v/>
      </c>
      <c r="GD45" s="626" t="str">
        <f t="shared" si="81"/>
        <v/>
      </c>
      <c r="GE45" s="624" t="str">
        <f t="shared" si="82"/>
        <v/>
      </c>
      <c r="GF45" s="582" t="str">
        <f t="shared" si="83"/>
        <v/>
      </c>
      <c r="GG45" s="1137"/>
      <c r="GH45" s="1138"/>
      <c r="GI45" s="1137"/>
      <c r="GJ45" s="1138"/>
      <c r="GK45" s="1641">
        <f t="shared" si="84"/>
        <v>0</v>
      </c>
      <c r="GL45" s="1641" t="e">
        <f t="shared" si="8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5"/>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246"/>
      <c r="FM50" s="246"/>
      <c r="FN50" s="1993" t="s">
        <v>616</v>
      </c>
      <c r="FO50" s="1994"/>
      <c r="FP50" s="1994"/>
      <c r="FQ50" s="1994"/>
      <c r="FR50" s="1994"/>
      <c r="FS50" s="1995"/>
      <c r="FT50" s="2040" t="s">
        <v>617</v>
      </c>
      <c r="FU50" s="2041"/>
      <c r="FV50" s="2041"/>
      <c r="FW50" s="2041"/>
      <c r="FX50" s="2041"/>
      <c r="FY50" s="2041"/>
      <c r="FZ50" s="2042"/>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77"/>
      <c r="EQ51" s="1977"/>
      <c r="ER51" s="1977"/>
      <c r="ES51" s="1977"/>
      <c r="ET51" s="1977"/>
      <c r="EU51" s="1977"/>
      <c r="EV51" s="293"/>
      <c r="EW51" s="293"/>
      <c r="EX51" s="1980" t="s">
        <v>618</v>
      </c>
      <c r="EY51" s="1978" t="s">
        <v>619</v>
      </c>
      <c r="EZ51" s="293"/>
      <c r="FA51" s="293"/>
      <c r="FB51" s="293"/>
      <c r="FC51" s="293"/>
      <c r="FD51" s="293"/>
      <c r="FF51" s="2070" t="s">
        <v>947</v>
      </c>
      <c r="FG51" s="2071"/>
      <c r="FH51" s="2071"/>
      <c r="FI51" s="2071"/>
      <c r="FL51" s="246"/>
      <c r="FM51" s="246"/>
      <c r="FN51" s="1996"/>
      <c r="FO51" s="1997"/>
      <c r="FP51" s="1997"/>
      <c r="FQ51" s="1997"/>
      <c r="FR51" s="1997"/>
      <c r="FS51" s="1998"/>
      <c r="FT51" s="2043"/>
      <c r="FU51" s="2044"/>
      <c r="FV51" s="2044"/>
      <c r="FW51" s="2044"/>
      <c r="FX51" s="2044"/>
      <c r="FY51" s="2044"/>
      <c r="FZ51" s="2045"/>
      <c r="GA51" s="245"/>
      <c r="GB51" s="245"/>
      <c r="GC51" s="245"/>
      <c r="GD51" s="245"/>
      <c r="GE51" s="245"/>
      <c r="GF51" s="245"/>
      <c r="GG51" s="245"/>
      <c r="GH51" s="245"/>
      <c r="GI51" s="245"/>
      <c r="GJ51" s="245"/>
      <c r="GK51" s="2"/>
    </row>
    <row r="52" spans="1:193" ht="12.6"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509</v>
      </c>
      <c r="DA52" s="2087"/>
      <c r="DB52" s="2140" t="s">
        <v>510</v>
      </c>
      <c r="DC52" s="2006" t="s">
        <v>513</v>
      </c>
      <c r="DD52" s="2006" t="s">
        <v>514</v>
      </c>
      <c r="DE52" s="2140" t="s">
        <v>544</v>
      </c>
      <c r="DF52" s="2086" t="s">
        <v>511</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77"/>
      <c r="EQ52" s="1977"/>
      <c r="ER52" s="1977"/>
      <c r="ES52" s="1977"/>
      <c r="ET52" s="1977"/>
      <c r="EU52" s="1977"/>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282" t="s">
        <v>493</v>
      </c>
      <c r="FP52" s="2271" t="s">
        <v>494</v>
      </c>
      <c r="FQ52" s="2271" t="s">
        <v>495</v>
      </c>
      <c r="FR52" s="2279" t="s">
        <v>496</v>
      </c>
      <c r="FS52" s="2276"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c r="GK52" s="2"/>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77"/>
      <c r="EQ53" s="1977"/>
      <c r="ER53" s="1977"/>
      <c r="ES53" s="1977"/>
      <c r="ET53" s="1977"/>
      <c r="EU53" s="1977"/>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272"/>
      <c r="FP53" s="2272"/>
      <c r="FQ53" s="2272"/>
      <c r="FR53" s="2272"/>
      <c r="FS53" s="2277"/>
      <c r="FT53" s="2278"/>
      <c r="FU53" s="2270"/>
      <c r="FV53" s="2270"/>
      <c r="FW53" s="2270"/>
      <c r="FX53" s="2270"/>
      <c r="FY53" s="2270"/>
      <c r="FZ53" s="2270"/>
      <c r="GA53" s="2273"/>
      <c r="GB53" s="2275"/>
      <c r="GC53" s="2269"/>
      <c r="GD53" s="208" t="s">
        <v>623</v>
      </c>
      <c r="GE53" s="142" t="s">
        <v>624</v>
      </c>
      <c r="GF53" s="135" t="s">
        <v>626</v>
      </c>
      <c r="GG53" s="135" t="s">
        <v>627</v>
      </c>
      <c r="GH53" s="135" t="s">
        <v>628</v>
      </c>
      <c r="GI53" s="136" t="s">
        <v>629</v>
      </c>
      <c r="GJ53" s="1986"/>
      <c r="GK53" s="757" t="s">
        <v>953</v>
      </c>
    </row>
    <row r="54" spans="1:193" ht="12.6" hidden="1" customHeight="1" thickTop="1" x14ac:dyDescent="0.2">
      <c r="BZ54" s="293"/>
      <c r="CA54" s="293"/>
      <c r="CB54" s="365" t="str">
        <f t="shared" ref="CB54:CB85" si="100">IF(CB14="","",CB14)</f>
        <v>G17</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-7</v>
      </c>
      <c r="CH54" s="1306">
        <f>IF(CG14="","",IF(VLOOKUP(CG14,SectInfo!$B:$N,7,FALSE)="","",(VLOOKUP(CG14,SectInfo!$B:$N,7,FALSE)*-1)))</f>
        <v>-6.5</v>
      </c>
      <c r="CI54" s="1306">
        <f>IF(CG14="","",IF(VLOOKUP(CG14,SectInfo!$B:$N,8,FALSE)="",$FC$4,(VLOOKUP(CG14,SectInfo!$B:$N,8,FALSE))))</f>
        <v>5</v>
      </c>
      <c r="CJ54" s="1306">
        <f>IF(CG14="","",VLOOKUP(CG14,SectInfo!$B:$N,9,FALSE))</f>
        <v>8</v>
      </c>
      <c r="CK54" s="1307">
        <f t="shared" ref="CK54:CK85" si="101">CM14*-1</f>
        <v>0</v>
      </c>
      <c r="CL54" s="1305" t="str">
        <f>IF(CQ14="","",VLOOKUP(CQ14,SectInfo!$B:$N,12,FALSE))</f>
        <v>C</v>
      </c>
      <c r="CM54" s="1306">
        <f>IF(ISBLANK(CX14),IF(CQ14="","",VLOOKUP(CQ14,SectInfo!$B:$N,13,FALSE)),CX14)</f>
        <v>-5.5</v>
      </c>
      <c r="CN54" s="1306" t="str">
        <f>IF(CQ14="","",IF(VLOOKUP(CQ14,SectInfo!$B:$N,5,FALSE)="","R",UPPER(VLOOKUP(CQ14,SectInfo!$B:$N,5,FALSE))))</f>
        <v>R</v>
      </c>
      <c r="CO54" s="1306">
        <f>IF(ISBLANK(CZ14),IF(CQ14="","",VLOOKUP(CQ14,SectInfo!$B:$N,6,FALSE)),CZ14)</f>
        <v>7.5</v>
      </c>
      <c r="CP54" s="1306">
        <f>IF(CQ14="","",IF(VLOOKUP(CQ14,SectInfo!$B:$N,10,FALSE)="","",(VLOOKUP(CQ14,SectInfo!$B:$N,10,FALSE)*-1)))</f>
        <v>-7</v>
      </c>
      <c r="CQ54" s="1306">
        <f>IF(CQ14="","",IF(VLOOKUP(CQ14,SectInfo!$B:$N,7,FALSE)="","",(VLOOKUP(CQ14,SectInfo!$B:$N,7,FALSE)*-1)))</f>
        <v>-8.5</v>
      </c>
      <c r="CR54" s="1306">
        <f>IF(CQ14="","",IF(VLOOKUP(CQ14,SectInfo!$B:$N,8,FALSE)="",$FC$4,(VLOOKUP(CQ14,SectInfo!$B:$N,8,FALSE))))</f>
        <v>5</v>
      </c>
      <c r="CS54" s="1306">
        <f>IF(CQ14="","",VLOOKUP(CQ14,SectInfo!$B:$N,9,FALSE))</f>
        <v>11</v>
      </c>
      <c r="CT54" s="1307">
        <f t="shared" ref="CT54:CT85" si="102">CW14*-1</f>
        <v>0</v>
      </c>
      <c r="CU54" s="1317">
        <f t="shared" ref="CU54:CU85" si="103">IF(DA14="",0,ATAN(DA14/12))</f>
        <v>0</v>
      </c>
      <c r="CV54" s="1311">
        <f t="shared" ref="CV54:CV85" si="104">IF(OR(CD54="",CE14="",CM54=""),"",CEILING(IF(AND(CE14="",CF14=""),"",((CE14*12+CF14)+CD54+CM54)/COS(EU54))-0.0625,0.125))</f>
        <v>622.75</v>
      </c>
      <c r="CW54" s="1311">
        <f t="shared" ref="CW54:CW85" si="105">IF(CF54="","",IF(ABS(EM54)&lt;ABS($FA$2),CF54,IF(EM54=0,CF54,CEILING((CF54+((DC54-CD54)/12)*EM54)-0.0625,0.125))))</f>
        <v>7.5</v>
      </c>
      <c r="CX54" s="1311">
        <f t="shared" ref="CX54:CX85" si="106">IF(CO54="","",IF(ABS(ER54)&lt;ABS($FA$2),CO54,IF(ER54=0,CO54,CEILING((CO54+((DI54-CM54)/12)*ER54)-0.0625,0.125))))</f>
        <v>7.5</v>
      </c>
      <c r="CY54" s="1313">
        <f t="shared" ref="CY54:CY85" si="107">RADIANS(ABS(CL14))</f>
        <v>0</v>
      </c>
      <c r="CZ54" s="1313">
        <f t="shared" ref="CZ54:CZ85" si="108">MIN(IF(CH14&gt;0,CH14/2,MAX(CI14/2,CJ54)),IF(CI14&gt;0,CI14/2,MAX(CH14/2,CJ54)),IF(CJ54&gt;0,CJ54,MAX(CI14/2,CH14/2)))/IF(OR(CC54="C",AND(CC54="M",$FG$1="N")),1,COS(CY54))</f>
        <v>8</v>
      </c>
      <c r="DA54" s="1313">
        <f t="shared" ref="DA54:DA85" si="109">IF(CD54="","",IF(CJ54&gt;=0,MAX(CH14/2,CI14/2,CJ54),CJ54)/IF(OR(CC54="C",AND(CC54="M",$FG$1="N")),1,COS(CY54)))</f>
        <v>8</v>
      </c>
      <c r="DB54" s="1311">
        <f>IF(CD54="","",CD54+DA54+($EY$4*TAN(CY54)))</f>
        <v>7.75</v>
      </c>
      <c r="DC54" s="1311">
        <f t="shared" ref="DC54:DC85" si="110">IF(CD54="","",IF(NOT(ISBLANK(CO14)),CD54-CO14,MAX(IF(AND(CZ54&gt;=$FB$4,DA54&lt;=$FA$4,OR($FA$1=1,$FA$1=4)),CD54,IF(OR($FA$1=3,$FA$1=4),DB54-$FA$4,DB54+MAX(($FA$4-$FB$4)-(DA54-CZ54)-$EY$4/2*TAN(CY54),0)-$FA$4))-EO54,0)))</f>
        <v>1.75</v>
      </c>
      <c r="DD54" s="875">
        <f>IF(CD54="",0,IF(DC54/COS(EU54)&lt;0.0625,0,CEILING(DC54/COS(EU54)-0.03125,0.125)))</f>
        <v>1.75</v>
      </c>
      <c r="DE54" s="873">
        <f t="shared" ref="DE54:DE85" si="111">RADIANS(ABS(CV14))</f>
        <v>0</v>
      </c>
      <c r="DF54" s="874">
        <f t="shared" ref="DF54:DF85" si="112">MIN(IF(CR14&gt;0,CR14/2,MAX(CS14/2,CS54)),IF(CS14&gt;0,CS14/2,MAX(CR14/2,CS54)),IF(CS54&gt;0,CS54,MAX(CS14/2,CR14/2)))/IF(OR(CL54="C",AND(CL54="M",$FG$1="N")),1,COS(DE54))</f>
        <v>11</v>
      </c>
      <c r="DG54" s="874">
        <f t="shared" ref="DG54:DG85" si="113">IF(CM54="","",IF(CS54&gt;=0,MAX(CR14/2,CS14/2,CS54),CS54)/IF(OR(CL54="C",AND(CL54="M",$FG$1="N")),1,COS(DE54)))</f>
        <v>11</v>
      </c>
      <c r="DH54" s="1311">
        <f>IF(CM54="","",CM54+DG54+($EY$4*TAN(DE54)))</f>
        <v>5.5</v>
      </c>
      <c r="DI54" s="1311">
        <f t="shared" ref="DI54:DI85" si="114">IF(CM54="","",IF(NOT(ISBLANK(CY14)),CM54-CY14,MAX(IF(AND(DF54&gt;=$FB$4,DG54&lt;=$FA$4,OR($FA$1=1,$FA$1=4)),CM54,IF(OR($FA$1=3,$FA$1=4),DH54-$FA$4,DH54+MAX(($FA$4-$FB$4)-(DG54-DF54)-$EY$4/2*TAN(DE54),0)-$FA$4))-ET54,0)-CY14))</f>
        <v>0</v>
      </c>
      <c r="DJ54" s="1312">
        <f>IF(CM54="",0,IF(DI54/COS(EU54)&lt;0.0625,0,CEILING(DI54/COS(EU54)-0.03125,0.125)))</f>
        <v>0</v>
      </c>
      <c r="DK54" s="1311">
        <f t="shared" ref="DK54:DK85" si="115">IF(CV54="","",CEILING(CV54-DD54-DJ54-0.0625,0.125))</f>
        <v>621</v>
      </c>
      <c r="DL54" s="1311">
        <f t="shared" ref="DL54:DL85" si="116">IF(AND(EG54="",CH54=""),"",IF(EG54="ERR","ERR",IF(ISNUMBER(EG54),(EG54/2)*-1,CH54)))</f>
        <v>-6.5</v>
      </c>
      <c r="DM54" s="1311">
        <f t="shared" ref="DM54:DM85" si="117">IF(DL54="ERR","ERR",IF(DL54="","",IF(CR54*TAN(CY54)&lt;=($FE$4-($FD$4-0.0625)),CD54-(DL54-EO54)/IF(OR(CC54="C",AND(CC54="M",$FG$1="N")),1,COS(CY54))-IF(MID(CE54,1,1)="R",0,DC54),(ABS(DL54-EO54)/IF(OR(CC54="C",AND(CC54="M",$FG$1="N")),1,COS(CY54))+CD54)-((CR54/2)*TAN(CY54))-IF(MID(CE54,1,1)="R",0,DC54))))</f>
        <v>6.25</v>
      </c>
      <c r="DN54" s="1311">
        <f t="shared" ref="DN54:DN85" si="118">IF(DL54="ERR","ERR",IF(DL54="","",IF(CI54*TAN(CY54)&lt;=($FE$4-($FD$4-0.0625)),CD54-(DL54-EO54)/IF(OR(CC54="C",AND(CC54="M",$FG$1="N")),1,COS(CY54))-IF(MID(CE54,1,1)="R",0,DC54),(ABS(DL54-EO54)/IF(OR(CC54="C",AND(CC54="M",$FG$1="N")),1,COS(CY54))+CD54)+((CI54/2)*TAN(CY54))-IF(MID(CE54,1,1)="R",0,DC54))))</f>
        <v>6.25</v>
      </c>
      <c r="DO54" s="889">
        <f t="shared" ref="DO54:DO85" si="119">IF(ISBLANK(CO14),IF(DM54&lt;$EX$6+($FD$4-0.0625)/2,"ERR",IF(DM54&lt;$EX$6+$FE$4/2,($FE$4/2+$EX$6),IF(DM54&lt;$FA$4+IF(MID(CE54,1,1)="R",DC54+CO14,0)-$FE$4/2-$EX$6,DM54,IF(DM54&lt;=$FA$4+IF(MID(CE54,1,1)="R",DC54,0)-($FD$4-0.0625)/2-$EX$6,$FA$4+IF(MID(CE54,1,1)="R",DC54,0)-($FE$4/2+$EX$6),"ERR")))),DM54)</f>
        <v>6.25</v>
      </c>
      <c r="DP54" s="889">
        <f t="shared" ref="DP54:DP85" si="120">IF(ISBLANK(CO14),IF(DN54&lt;$EX$6+($FD$4-0.0625)/2,"ERR",IF(DN54&lt;0.5+$FE$4/2,($FE$4/2+$EX$6),IF(DN54&lt;$FA$4+IF(MID(CE54,1,1)="R",DC54+CO14,0)-$FE$4/2-$EX$6,DN54,IF(DN54&lt;=$FA$4+IF(MID(CE54,1,1)="R",DC54,0)-($FD$4-0.0625)/2-$EX$6,$FA$4+IF(MID(CE54,1,1)="R",DC54,0)-($FE$4/2+$EX$6),"ERR")))),DN54)</f>
        <v>6.25</v>
      </c>
      <c r="DQ54" s="1311">
        <f t="shared" ref="DQ54:DR85" si="121">IF(ISERROR(DM54),"ERR",IF(DM54="","",IF(DO54="ERR","ERR",CEILING(DO54-0.0625,0.125))))</f>
        <v>6.25</v>
      </c>
      <c r="DR54" s="1311">
        <f t="shared" si="121"/>
        <v>6.25</v>
      </c>
      <c r="DS54" s="1311">
        <f t="shared" ref="DS54:DS85" si="122">IF(AND(EJ54="",CQ54=""),"",IF(EJ54="ERR","ERR",IF(ISNUMBER(EJ54),(EJ54/2)*-1,CQ54)))</f>
        <v>-8.5</v>
      </c>
      <c r="DT54" s="1311">
        <f t="shared" ref="DT54:DT85" si="123">IF(DS54="ERR","ERR",IF(DS54="","",IF(CR54*TAN(DE54)&lt;=($FE$4-($FD$4-0.0625)),CM54-(DS54-ET54)/IF(OR(CL54="C",AND(CL54="M",$FG$1="N")),1,COS(DE54))-IF(MID(CN54,1,1)="R",0,DI54),(ABS(DS54-ET54)/IF(OR(CL54="C",AND(CL54="M",$FG$1="N")),1,COS(DE54))+CM54)-((CR54/2)*TAN(DE54))-IF(MID(CN54,1,1)="R",0,DI54))))</f>
        <v>3</v>
      </c>
      <c r="DU54" s="1311">
        <f t="shared" ref="DU54:DU85" si="124">IF(DS54="ERR","ERR",IF(DS54="","",IF(CR54*TAN(DE54)&lt;=($FE$4-($FD$4-0.0625)),CM54-(DS54-ET54)/IF(OR(CL54="C",AND(CL54="M",$FG$1="N")),1,COS(DE54))-IF(MID(CN54,1,1)="R",0,DI54),(ABS(DS54-ET54)/IF(OR(CL54="C",AND(CL54="M",$FG$1="N")),1,COS(DE54))+CM54)+((CR54/2)*TAN(DE54))-IF(MID(CN54,1,1)="R",0,DI54))))</f>
        <v>3</v>
      </c>
      <c r="DV54" s="889">
        <f t="shared" ref="DV54:DV85" si="125">IF(ISBLANK(CY14),IF(DT54&lt;$EX$6+($FD$4-0.0625)/2,"ERR",IF(DT54&lt;$EX$6+$FE$4/2,($FE$4/2+$EX$6),IF(DT54&lt;$FA$4+IF(MID(CN54,1,1)="R",DI54+CY14,0)-$FE$4/2-$EX$6,DT54,IF(DT54&lt;=$FA$4+IF(MID(CN54,1,1)="R",DI54,0)-($FD$4-0.0625)/2-$EX$6,$FA$4+IF(MID(CN54,1,1)="R",DI54,0)-($FE$4/2+$EX$6),"ERR")))),DT54)</f>
        <v>3</v>
      </c>
      <c r="DW54" s="889">
        <f t="shared" ref="DW54:DW85" si="126">IF(ISBLANK(CY14),IF(DU54&lt;$EX$6+($FD$4-0.0625)/2,"ERR",IF(DU54&lt;0.5+$FE$4/2,($FE$4/2+$EX$6),IF(DU54&lt;$FA$4+IF(MID(CN54,1,1)="R",DI54+CY14,0)-$FE$4/2-$EX$6,DU54,IF(DU54&lt;=$FA$4+IF(MID(CN54,1,1)="R",DI54,0)-($FD$4-0.0625)/2-$EX$6,$FA$4+IF(MID(CN54,1,1)="R",DI54,0)-($FE$4/2+$EX$6),"ERR")))),DU54)</f>
        <v>3</v>
      </c>
      <c r="DX54" s="873">
        <f t="shared" ref="DX54:DY74" si="127">IF(ISERROR(DT54),"ERR",IF(DT54="","",IF(DV54="ERR","ERR",CEILING(DV54-0.0625,0.125))))</f>
        <v>3</v>
      </c>
      <c r="DY54" s="873">
        <f t="shared" si="127"/>
        <v>3</v>
      </c>
      <c r="DZ54" s="873">
        <f t="shared" ref="DZ54:DZ84" si="128">IF(CG54="","",IF((CD54-CG54)/COS(CU54)-FB54&lt;=-0.0625,CEILING((CD54-CG54)/COS(CU54)-FB54+0.0625,-0.125),IF((CD54-CG54)/COS(CU54)-FB54&gt;=0.0625,CEILING((CD54-CG54)/COS(CU54)-FB54-0.0625,0.125),0)))</f>
        <v>6.75</v>
      </c>
      <c r="EA54" s="873">
        <f t="shared" ref="EA54:EA84" si="129">IF(CP54="","",IF((CM54-CP54)/COS(CU54)-FC54&lt;=-0.0625,CEILING((CM54-CP54)/COS(CU54)-FC54+0.0625,-0.125),IF((CM54-CP54)/COS(CU54)-FC54&gt;=0.0625,CEILING((CM54-CP54)/COS(CU54)-FC54-0.0625,0.125),0)))</f>
        <v>1.5</v>
      </c>
      <c r="EB54" s="876">
        <f t="shared" ref="EB54:EB85" si="130">IF(CD14="","",$FC$4)</f>
        <v>5</v>
      </c>
      <c r="EC54" s="877">
        <f t="shared" ref="EC54:EC85" si="131">IF(AND(DR54="",DY54=""),"",IF(OR(CI54=EB54,CR54=EB54),EB54,CI54))</f>
        <v>5</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f t="shared" ref="EO54:EO85" si="143">IF(CF54="","",CF54*TAN(EK54))</f>
        <v>0</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f t="shared" ref="ET54:ET85" si="148">IF(CO54="","",CO54*TAN(EP54))</f>
        <v>0</v>
      </c>
      <c r="EU54" s="873">
        <f t="shared" ref="EU54:EU85" si="149">IF((CE14*12+CF14)/COS(CU54)-(CE14*12+CF14)&lt;$FE$2,0,CU54)</f>
        <v>0</v>
      </c>
      <c r="EV54" s="876">
        <f t="shared" ref="EV54:EV85" si="150">MIN(IF(CH14&gt;0,CH14/2,MAX(CI14/2,CJ54)),IF(CI14&gt;0,CI14/2,MAX(CH14/2,CJ54)),IF(CJ54&gt;0,CJ54,MAX(CI14/2,CH14/2)))/COS(CY54)+CD54-DC54</f>
        <v>6</v>
      </c>
      <c r="EW54" s="876">
        <f t="shared" ref="EW54:EW85" si="151">MIN(IF(CR14&gt;0,CR14/2,MAX(CS14/2,CS54)),IF(CS14&gt;0,CS14/2,MAX(CR14/2,CS54)),IF(CS54&gt;0,CS54,MAX(CS14/2,CR14/2)))/COS(DE54)+CM54-DI54</f>
        <v>5.5</v>
      </c>
      <c r="EX54" s="878" t="str">
        <f t="shared" ref="EX54:EX85" si="152">IF(CD14="","",IF(EZ54&lt;1.2,5+$EX$4,IF(EZ54&lt;1.79,6+$EX$4,IF(EZ54&lt;2.3,7+$EX$4,IF(EZ54&lt;3.76,8+$EX$4,IF(EZ54&lt;4.76,10+$EX$4,IF(EZ54&lt;8.45,12+$EX$4,"ERR")))))))</f>
        <v>ERR</v>
      </c>
      <c r="EY54" s="879" t="e">
        <f t="shared" ref="EY54:EY85" si="153">TRUNC(IF(FA54&lt;1.03,25.667,IF(FA54&lt;1.2,29.667,IF(FA54&lt;1.79,33.583,IF(FA54&lt;2.3,37.75,IF(FA54&lt;3.76,42,IF(FA54&lt;4.76,50.167,IF(FA54&lt;8.45,58.167,"ERR"))))))))</f>
        <v>#VALUE!</v>
      </c>
      <c r="EZ54" s="959">
        <f t="shared" ref="EZ54:EZ85" si="154">(0.03*BP14*((CE14+CF14/12)/BO14)*(BO14^2-IF(ISEVEN(BO14),0,1)))/BM14</f>
        <v>8122.9135714285694</v>
      </c>
      <c r="FA54" s="960">
        <f t="shared" ref="FA54:FA85" si="155">(0.026*BP14*((CE14+CF14/12)/BO14)*(BO14^2-IF(ISEVEN(BO14),0,1)))/BM14</f>
        <v>7039.8584285714278</v>
      </c>
      <c r="FB54" s="880">
        <f t="shared" ref="FB54:FB85" si="156">IF(CG54="","",IF(ABS(DA14*((BM14-IF(DA14&gt;0,$FF$4,0))/12))&gt;$CX$2,DA14*((BM14-IF(DA14&gt;0,$FF$4,0))/12),0))</f>
        <v>0</v>
      </c>
      <c r="FC54" s="881">
        <f t="shared" ref="FC54:FC85" si="157">IF(CP54="","",IF(ABS(DA14*((BM14-IF(DA14&lt;0,$FF$4,0))/12))&gt;$CX$2,DA14*((BM14-IF(DA14&lt;0,$FF$4,0))/12)*-1,0))</f>
        <v>0</v>
      </c>
      <c r="FD54" s="890">
        <f t="shared" ref="FD54:FD85" si="158">IF(CF54="",0,MAX(0,DB54-$FA$4))</f>
        <v>1.75</v>
      </c>
      <c r="FE54" s="833">
        <f t="shared" ref="FE54:FE85" si="159">IF(CO54="",0,MAX(0,DH54-$FA$4))</f>
        <v>0</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G17</v>
      </c>
      <c r="FL54" s="311">
        <f>VLOOKUP(DH14,$CB$54:$DK$85,36,FALSE)</f>
        <v>621</v>
      </c>
      <c r="FM54" s="312" t="str">
        <f t="shared" ref="FM54:FM85" si="164">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100.5</v>
      </c>
      <c r="FR54" s="313">
        <f>IF(FS54="",0,IF(OR(FS54=0,DL14=""),0,FS54-(FN54+FO54*FP54+FQ54)))</f>
        <v>0</v>
      </c>
      <c r="FS54" s="314">
        <f>IF(SUM(DJ14:DN14)=0,"",VLOOKUP(DH14,CB14:CF45,4,FALSE)*12+VLOOKUP(DH14,CB14:CF45,5,FALSE))</f>
        <v>628.5</v>
      </c>
      <c r="FT54" s="263">
        <f>IF(SUM(DJ14:DN14)=0,"",IF(FU54="","",FL54))</f>
        <v>621</v>
      </c>
      <c r="FU54" s="266">
        <f>IF(SUM(DJ14:DN14)=0,"",1)</f>
        <v>1</v>
      </c>
      <c r="FV54" s="315">
        <f t="shared" ref="FV54:FV85" si="165">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95</v>
      </c>
      <c r="FZ54" s="276">
        <f>IF(FY54="","",CEILING(FT54-IF(FV54="",0,FV54)-(FO54*FX54)-0.0625,0.125))</f>
        <v>95</v>
      </c>
      <c r="GA54" s="267">
        <f>IF(SUM(DJ14:DN14)=0,"",IF(FW54="",0,FW54)+FO54*FX54+IF(FY54="",0,FY54))</f>
        <v>621</v>
      </c>
      <c r="GB54" s="268">
        <f ca="1">IF(SUM(DJ14:DN14)=0,"",IF(FY54="","",2+SUM(FO54:OFFSET(FO54,(FU54-1)*-1,0))))</f>
        <v>7</v>
      </c>
      <c r="GC54" s="316">
        <f>VLOOKUP(DH14,$CB$54:$CD$85,3,FALSE)</f>
        <v>-0.25</v>
      </c>
      <c r="GD54" s="317" t="str">
        <f t="shared" ref="GD54:GD85" si="166">IF(ISBLANK(DT14),"",MAX(0,DT14+VLOOKUP(FK54,$CB$54:$CD$85,3,FALSE)))</f>
        <v/>
      </c>
      <c r="GE54" s="318" t="str">
        <f t="shared" ref="GE54:GE85" si="167">IF(ISBLANK(DU14),"",MAX(0,DU14+VLOOKUP(FK54,$CB$54:$CM$85,12,FALSE)))</f>
        <v/>
      </c>
      <c r="GF54" s="269" t="str">
        <f t="shared" ref="GF54:GF85" si="168">IF(AND(ISBLANK(DV14),ISBLANK(DW14)),"",IF(DV14="P",IF(ISNUMBER(DW14),CONCATENATE("#", DW14),DW14),CEILING((DV14*12+DW14+GC54)/COS(VLOOKUP(FK54,$CB$54:$EU$85,72,FALSE))-0.0625,0.125)))</f>
        <v>#1</v>
      </c>
      <c r="GG54" s="270" t="str">
        <f t="shared" ref="GG54:GG85" si="169">IF(AND(ISBLANK(DZ14),ISBLANK(EA14)),"",IF(DZ14="P",IF(ISNUMBER(EA14),CONCATENATE("#", EA14),EA14),CEILING((DZ14*12+EA14+GC54)/COS(VLOOKUP(FK54,$CB$54:$EU$85,72,FALSE))-0.0625,0.125)))</f>
        <v/>
      </c>
      <c r="GH54" s="270" t="str">
        <f t="shared" ref="GH54:GH85" si="170">IF(AND(ISBLANK(ED14),ISBLANK(EE14)),"",IF(ED14="P",IF(ISNUMBER(EE14),CONCATENATE("#", EE14),EE14),CEILING((ED14*12+EE14+GC54)/COS(VLOOKUP(FK54,$CB$54:$EU$85,72,FALSE))-0.0625,0.125)))</f>
        <v/>
      </c>
      <c r="GI54" s="271" t="str">
        <f t="shared" ref="GI54:GI85" si="171">IF(AND(ISBLANK(EH14),ISBLANK(EI14)),"",IF(EH14="P",IF(ISNUMBER(EI14),CONCATENATE("#", EI14),EI14),CEILING((EH14*12+EI14+GC54)/COS(VLOOKUP(FK54,$CB$54:$EU$85,72,FALSE))-0.0625,0.125)))</f>
        <v/>
      </c>
      <c r="GJ54" s="529">
        <f t="shared" ref="GJ54:GJ84"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A</v>
      </c>
    </row>
    <row r="55" spans="1:193" ht="12.6" hidden="1" customHeight="1" x14ac:dyDescent="0.2">
      <c r="BZ55" s="293"/>
      <c r="CA55" s="293"/>
      <c r="CB55" s="365" t="str">
        <f t="shared" si="100"/>
        <v>G18</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-7</v>
      </c>
      <c r="CH55" s="1306">
        <f>IF(CG15="","",IF(VLOOKUP(CG15,SectInfo!$B:$N,7,FALSE)="","",(VLOOKUP(CG15,SectInfo!$B:$N,7,FALSE)*-1)))</f>
        <v>-6.5</v>
      </c>
      <c r="CI55" s="1306">
        <f>IF(CG15="","",IF(VLOOKUP(CG15,SectInfo!$B:$N,8,FALSE)="",$FC$4,(VLOOKUP(CG15,SectInfo!$B:$N,8,FALSE))))</f>
        <v>5</v>
      </c>
      <c r="CJ55" s="1306">
        <f>IF(CG15="","",VLOOKUP(CG15,SectInfo!$B:$N,9,FALSE))</f>
        <v>8</v>
      </c>
      <c r="CK55" s="1307">
        <f t="shared" si="101"/>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-7</v>
      </c>
      <c r="CQ55" s="1306">
        <f>IF(CQ15="","",IF(VLOOKUP(CQ15,SectInfo!$B:$N,7,FALSE)="","",(VLOOKUP(CQ15,SectInfo!$B:$N,7,FALSE)*-1)))</f>
        <v>-6.5</v>
      </c>
      <c r="CR55" s="1306">
        <f>IF(CQ15="","",IF(VLOOKUP(CQ15,SectInfo!$B:$N,8,FALSE)="",$FC$4,(VLOOKUP(CQ15,SectInfo!$B:$N,8,FALSE))))</f>
        <v>5</v>
      </c>
      <c r="CS55" s="1306">
        <f>IF(CQ15="","",VLOOKUP(CQ15,SectInfo!$B:$N,9,FALSE))</f>
        <v>8</v>
      </c>
      <c r="CT55" s="1307">
        <f t="shared" si="102"/>
        <v>0</v>
      </c>
      <c r="CU55" s="1317">
        <f t="shared" si="103"/>
        <v>0</v>
      </c>
      <c r="CV55" s="1311">
        <f t="shared" si="104"/>
        <v>623.5</v>
      </c>
      <c r="CW55" s="1311">
        <f t="shared" si="105"/>
        <v>7.5</v>
      </c>
      <c r="CX55" s="1311">
        <f t="shared" si="106"/>
        <v>7.5</v>
      </c>
      <c r="CY55" s="1313">
        <f t="shared" si="107"/>
        <v>0</v>
      </c>
      <c r="CZ55" s="1313">
        <f t="shared" si="108"/>
        <v>8</v>
      </c>
      <c r="DA55" s="1313">
        <f t="shared" si="109"/>
        <v>8</v>
      </c>
      <c r="DB55" s="1311">
        <f t="shared" ref="DB55:DB85" si="173">IF(CD55="","",CD55+DA55+($EY$4*TAN(CY55)))</f>
        <v>7.75</v>
      </c>
      <c r="DC55" s="1311">
        <f t="shared" si="110"/>
        <v>1.75</v>
      </c>
      <c r="DD55" s="875">
        <f t="shared" ref="DD55:DD85" si="174">IF(CD55="",0,IF(DC55/COS(EU55)&lt;0.0625,0,CEILING(DC55/COS(EU55)-0.03125,0.125)))</f>
        <v>1.75</v>
      </c>
      <c r="DE55" s="873">
        <f t="shared" si="111"/>
        <v>0</v>
      </c>
      <c r="DF55" s="874">
        <f t="shared" si="112"/>
        <v>8</v>
      </c>
      <c r="DG55" s="874">
        <f t="shared" si="113"/>
        <v>8</v>
      </c>
      <c r="DH55" s="1311">
        <f t="shared" ref="DH55:DH85" si="175">IF(CM55="","",CM55+DG55+($EY$4*TAN(DE55)))</f>
        <v>7.75</v>
      </c>
      <c r="DI55" s="1311">
        <f t="shared" si="114"/>
        <v>1.75</v>
      </c>
      <c r="DJ55" s="1312">
        <f t="shared" ref="DJ55:DJ85" si="176">IF(CM55="",0,IF(DI55/COS(EU55)&lt;0.0625,0,CEILING(DI55/COS(EU55)-0.03125,0.125)))</f>
        <v>1.75</v>
      </c>
      <c r="DK55" s="1311">
        <f t="shared" si="115"/>
        <v>620</v>
      </c>
      <c r="DL55" s="1311">
        <f t="shared" si="116"/>
        <v>-6.5</v>
      </c>
      <c r="DM55" s="1311">
        <f t="shared" si="117"/>
        <v>6.25</v>
      </c>
      <c r="DN55" s="1311">
        <f t="shared" si="118"/>
        <v>6.25</v>
      </c>
      <c r="DO55" s="889">
        <f t="shared" si="119"/>
        <v>6.25</v>
      </c>
      <c r="DP55" s="889">
        <f t="shared" si="120"/>
        <v>6.25</v>
      </c>
      <c r="DQ55" s="1311">
        <f t="shared" si="121"/>
        <v>6.25</v>
      </c>
      <c r="DR55" s="1311">
        <f t="shared" si="121"/>
        <v>6.25</v>
      </c>
      <c r="DS55" s="1311">
        <f t="shared" si="122"/>
        <v>-6.5</v>
      </c>
      <c r="DT55" s="1311">
        <f t="shared" si="123"/>
        <v>6.25</v>
      </c>
      <c r="DU55" s="1311">
        <f t="shared" si="124"/>
        <v>6.25</v>
      </c>
      <c r="DV55" s="889">
        <f t="shared" si="125"/>
        <v>6.25</v>
      </c>
      <c r="DW55" s="889">
        <f t="shared" si="126"/>
        <v>6.25</v>
      </c>
      <c r="DX55" s="873">
        <f t="shared" si="127"/>
        <v>6.25</v>
      </c>
      <c r="DY55" s="873">
        <f t="shared" si="127"/>
        <v>6.25</v>
      </c>
      <c r="DZ55" s="873">
        <f t="shared" si="128"/>
        <v>6.75</v>
      </c>
      <c r="EA55" s="873">
        <f t="shared" si="129"/>
        <v>6.75</v>
      </c>
      <c r="EB55" s="876">
        <f t="shared" si="130"/>
        <v>5</v>
      </c>
      <c r="EC55" s="877">
        <f t="shared" si="131"/>
        <v>5</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f t="shared" si="143"/>
        <v>0</v>
      </c>
      <c r="EP55" s="874">
        <f t="shared" si="144"/>
        <v>0</v>
      </c>
      <c r="EQ55" s="874">
        <f t="shared" si="145"/>
        <v>0</v>
      </c>
      <c r="ER55" s="874">
        <f t="shared" si="146"/>
        <v>0</v>
      </c>
      <c r="ES55" s="874" t="str">
        <f t="shared" si="147"/>
        <v/>
      </c>
      <c r="ET55" s="873">
        <f t="shared" si="148"/>
        <v>0</v>
      </c>
      <c r="EU55" s="873">
        <f t="shared" si="149"/>
        <v>0</v>
      </c>
      <c r="EV55" s="876">
        <f t="shared" si="150"/>
        <v>6</v>
      </c>
      <c r="EW55" s="876">
        <f t="shared" si="151"/>
        <v>6</v>
      </c>
      <c r="EX55" s="878" t="str">
        <f t="shared" si="152"/>
        <v>ERR</v>
      </c>
      <c r="EY55" s="879" t="e">
        <f t="shared" si="153"/>
        <v>#VALUE!</v>
      </c>
      <c r="EZ55" s="959">
        <f t="shared" si="154"/>
        <v>8064.7542857142862</v>
      </c>
      <c r="FA55" s="960">
        <f t="shared" si="155"/>
        <v>6989.4537142857134</v>
      </c>
      <c r="FB55" s="880">
        <f t="shared" si="156"/>
        <v>0</v>
      </c>
      <c r="FC55" s="881">
        <f t="shared" si="157"/>
        <v>0</v>
      </c>
      <c r="FD55" s="890">
        <f t="shared" si="158"/>
        <v>1.75</v>
      </c>
      <c r="FE55" s="833">
        <f t="shared" si="159"/>
        <v>1.75</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G18</v>
      </c>
      <c r="FL55" s="320">
        <f t="shared" ref="FL55:FL85" si="179">IF(ISERROR(VLOOKUP(DH15,$CB$54:$DK$85,36,FALSE)),FL54,VLOOKUP(DH15,$CB$54:$DK$85,36,FALSE))</f>
        <v>620</v>
      </c>
      <c r="FM55" s="312" t="str">
        <f t="shared" si="164"/>
        <v/>
      </c>
      <c r="FN55" s="272">
        <f t="shared" ref="FN55:FN85" ca="1" si="180">IF(OR(FS55=0,DL15=""),"",IF(UPPER(FM54)="X",0,CEILING(IF(AND(DJ15="",DK15=""),IF(UPPER(FM55)="X",FP55,IF(AND(DM15="",DN15=""),(FS55-FO55*FP55)/2,(DJ15*12+DK15+(DL15*(DM15*12+DN15)))-FO55*FP55)),(DJ15*12+DK15))-0.0625,0.125)))</f>
        <v>48</v>
      </c>
      <c r="FO55" s="273">
        <f t="shared" ref="FO55:FO85" ca="1" si="181">IF(OR(FS55=0,DL15=""),"",DL15-IF(AND(DJ15="",DK15="",FM54&lt;&gt;"X"),1,0)-IF(AND(DM15="",DN15="",FM55=""),1,0))</f>
        <v>5</v>
      </c>
      <c r="FP55" s="274">
        <f t="shared" ref="FP55:FP85" ca="1" si="182">IF(OR(FS55=0,DL15=""),"",CEILING(IF(AND(DM15="",DN15=""),IF(DL15=FO55,(FS55-FN55-FQ55)/FO55,(FS55-IF(AND(DJ15="",DK15=""),0,FN55)-IF(FM55="",0,FQ55))/DL15),DM15*12+DN15)-0.0625,0.125))</f>
        <v>96</v>
      </c>
      <c r="FQ55" s="274">
        <f t="shared" ref="FQ55:FQ85" ca="1" si="183">IF(OR(FS55=0,DL15=""),"",IF(UPPER(FM55)="X",0,FS55-FN55-FO55*FP55))</f>
        <v>96</v>
      </c>
      <c r="FR55" s="321">
        <f t="shared" ref="FR55:FR85" ca="1" si="184">IF(OR(FS55=0,DL15=""),0,FS55-(FN55+FO55*FP55+FQ55))</f>
        <v>0</v>
      </c>
      <c r="FS55" s="322">
        <f t="shared" ref="FS55:FS85" ca="1" si="185">IF(ISBLANK(DH15),IF(FR54=0,IF(OR(DI15="F",DI15="N"),OFFSET(FS54,(-1*(FU54-1)),0),0),FR54),VLOOKUP(DH15,$CB$14:$CF$45,4,FALSE)*12+VLOOKUP(DH15,$CB$14:$CF$45,5,FALSE))</f>
        <v>624</v>
      </c>
      <c r="FT55" s="272">
        <f t="shared" ref="FT55:FT85" ca="1" si="186">IF(FU55="","",IF(FU55=1,IF(FL55="",OFFSET(FL55,(-1*FU54),0),FL55),FT54-GA54))</f>
        <v>620</v>
      </c>
      <c r="FU55" s="275">
        <f t="shared" ref="FU55:FU85" ca="1" si="187">IF(FS55=0,"",IF(FR54=0,1,FU54+1))</f>
        <v>1</v>
      </c>
      <c r="FV55" s="323">
        <f t="shared" ca="1" si="165"/>
        <v>46</v>
      </c>
      <c r="FW55" s="276">
        <f t="shared" ref="FW55:FW85" ca="1" si="188">IF(OR(FN55=0,FN55=""),"",(FN55+VLOOKUP(FK55,$CB$54:$CD$85,3,FALSE)-VLOOKUP(FK55,$CB$54:$DD$85,29,FALSE))/COS(VLOOKUP(FK55,$CB$54:$EU$85,72,FALSE)))</f>
        <v>46</v>
      </c>
      <c r="FX55" s="276">
        <f t="shared" ref="FX55:FX85" ca="1" si="189">IF(FO55=0,0,IF(FP55="","",CEILING(FP55/COS(VLOOKUP(FK55,$CB$54:$EU$85,72,FALSE))-0.0625,0.125)))</f>
        <v>96</v>
      </c>
      <c r="FY55" s="276">
        <f t="shared" ref="FY55:FY85" ca="1" si="190">IF(OR(FQ55=0,FQ55=""),"",FT55-IF(FW55="",0,FW55)-FO55*FX55)</f>
        <v>94</v>
      </c>
      <c r="FZ55" s="276">
        <f t="shared" ref="FZ55:FZ85" ca="1" si="191">IF(FY55="","",CEILING(FT55-IF(FV55="",0,FV55)-(FO55*FX55)-0.0625,0.125))</f>
        <v>94</v>
      </c>
      <c r="GA55" s="276">
        <f t="shared" ref="GA55:GA85" ca="1" si="192">IF(FP55="","",IF(FW55="",0,FW55)+FO55*FX55+IF(FY55="",0,FY55))</f>
        <v>620</v>
      </c>
      <c r="GB55" s="277">
        <f ca="1">IF(FY55="","",2+SUM(FO55:OFFSET(FO55,(FU55-1)*-1,0)))</f>
        <v>7</v>
      </c>
      <c r="GC55" s="316">
        <f t="shared" ref="GC55:GC85" si="193">IF(ISERROR(VLOOKUP(DH15,$CB$54:$CD$85,3,FALSE)),GC54,VLOOKUP(DH15,$CB$54:$CD$85,3,FALSE))</f>
        <v>-0.25</v>
      </c>
      <c r="GD55" s="324" t="str">
        <f t="shared" si="166"/>
        <v/>
      </c>
      <c r="GE55" s="325">
        <f t="shared" si="167"/>
        <v>1.75</v>
      </c>
      <c r="GF55" s="278" t="str">
        <f t="shared" si="168"/>
        <v>#1</v>
      </c>
      <c r="GG55" s="279">
        <f t="shared" si="169"/>
        <v>612</v>
      </c>
      <c r="GH55" s="279" t="str">
        <f t="shared" si="170"/>
        <v/>
      </c>
      <c r="GI55" s="280" t="str">
        <f t="shared" si="171"/>
        <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A</v>
      </c>
    </row>
    <row r="56" spans="1:193" ht="12.6" hidden="1" customHeight="1" x14ac:dyDescent="0.2">
      <c r="BZ56" s="293"/>
      <c r="CA56" s="293"/>
      <c r="CB56" s="365" t="str">
        <f t="shared" si="100"/>
        <v>G19</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-7</v>
      </c>
      <c r="CH56" s="1306">
        <f>IF(CG16="","",IF(VLOOKUP(CG16,SectInfo!$B:$N,7,FALSE)="","",(VLOOKUP(CG16,SectInfo!$B:$N,7,FALSE)*-1)))</f>
        <v>-6.5</v>
      </c>
      <c r="CI56" s="1306">
        <f>IF(CG16="","",IF(VLOOKUP(CG16,SectInfo!$B:$N,8,FALSE)="",$FC$4,(VLOOKUP(CG16,SectInfo!$B:$N,8,FALSE))))</f>
        <v>5</v>
      </c>
      <c r="CJ56" s="1306">
        <f>IF(CG16="","",VLOOKUP(CG16,SectInfo!$B:$N,9,FALSE))</f>
        <v>8</v>
      </c>
      <c r="CK56" s="1307">
        <f t="shared" si="101"/>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-7</v>
      </c>
      <c r="CQ56" s="1306">
        <f>IF(CQ16="","",IF(VLOOKUP(CQ16,SectInfo!$B:$N,7,FALSE)="","",(VLOOKUP(CQ16,SectInfo!$B:$N,7,FALSE)*-1)))</f>
        <v>-6.5</v>
      </c>
      <c r="CR56" s="1306">
        <f>IF(CQ16="","",IF(VLOOKUP(CQ16,SectInfo!$B:$N,8,FALSE)="",$FC$4,(VLOOKUP(CQ16,SectInfo!$B:$N,8,FALSE))))</f>
        <v>5</v>
      </c>
      <c r="CS56" s="1306">
        <f>IF(CQ16="","",VLOOKUP(CQ16,SectInfo!$B:$N,9,FALSE))</f>
        <v>8</v>
      </c>
      <c r="CT56" s="1307">
        <f t="shared" si="102"/>
        <v>0</v>
      </c>
      <c r="CU56" s="1317">
        <f t="shared" si="103"/>
        <v>0</v>
      </c>
      <c r="CV56" s="1311">
        <f t="shared" si="104"/>
        <v>623.5</v>
      </c>
      <c r="CW56" s="1311">
        <f t="shared" si="105"/>
        <v>7.5</v>
      </c>
      <c r="CX56" s="1311">
        <f t="shared" si="106"/>
        <v>7.5</v>
      </c>
      <c r="CY56" s="1313">
        <f t="shared" si="107"/>
        <v>0</v>
      </c>
      <c r="CZ56" s="1313">
        <f t="shared" si="108"/>
        <v>8</v>
      </c>
      <c r="DA56" s="1313">
        <f t="shared" si="109"/>
        <v>8</v>
      </c>
      <c r="DB56" s="1311">
        <f t="shared" si="173"/>
        <v>7.75</v>
      </c>
      <c r="DC56" s="1311">
        <f t="shared" si="110"/>
        <v>1.75</v>
      </c>
      <c r="DD56" s="875">
        <f t="shared" si="174"/>
        <v>1.75</v>
      </c>
      <c r="DE56" s="873">
        <f t="shared" si="111"/>
        <v>0</v>
      </c>
      <c r="DF56" s="874">
        <f t="shared" si="112"/>
        <v>8</v>
      </c>
      <c r="DG56" s="874">
        <f t="shared" si="113"/>
        <v>8</v>
      </c>
      <c r="DH56" s="1311">
        <f t="shared" si="175"/>
        <v>7.75</v>
      </c>
      <c r="DI56" s="1311">
        <f t="shared" si="114"/>
        <v>1.75</v>
      </c>
      <c r="DJ56" s="1312">
        <f t="shared" si="176"/>
        <v>1.75</v>
      </c>
      <c r="DK56" s="1311">
        <f t="shared" si="115"/>
        <v>620</v>
      </c>
      <c r="DL56" s="1311">
        <f t="shared" si="116"/>
        <v>-6.5</v>
      </c>
      <c r="DM56" s="1311">
        <f t="shared" si="117"/>
        <v>6.25</v>
      </c>
      <c r="DN56" s="1311">
        <f t="shared" si="118"/>
        <v>6.25</v>
      </c>
      <c r="DO56" s="889">
        <f t="shared" si="119"/>
        <v>6.25</v>
      </c>
      <c r="DP56" s="889">
        <f t="shared" si="120"/>
        <v>6.25</v>
      </c>
      <c r="DQ56" s="1311">
        <f t="shared" si="121"/>
        <v>6.25</v>
      </c>
      <c r="DR56" s="1311">
        <f t="shared" si="121"/>
        <v>6.25</v>
      </c>
      <c r="DS56" s="1311">
        <f t="shared" si="122"/>
        <v>-6.5</v>
      </c>
      <c r="DT56" s="1311">
        <f t="shared" si="123"/>
        <v>6.25</v>
      </c>
      <c r="DU56" s="1311">
        <f t="shared" si="124"/>
        <v>6.25</v>
      </c>
      <c r="DV56" s="889">
        <f t="shared" si="125"/>
        <v>6.25</v>
      </c>
      <c r="DW56" s="889">
        <f t="shared" si="126"/>
        <v>6.25</v>
      </c>
      <c r="DX56" s="873">
        <f t="shared" si="127"/>
        <v>6.25</v>
      </c>
      <c r="DY56" s="873">
        <f t="shared" si="127"/>
        <v>6.25</v>
      </c>
      <c r="DZ56" s="873">
        <f t="shared" si="128"/>
        <v>6.75</v>
      </c>
      <c r="EA56" s="873">
        <f t="shared" si="129"/>
        <v>6.75</v>
      </c>
      <c r="EB56" s="876">
        <f t="shared" si="130"/>
        <v>5</v>
      </c>
      <c r="EC56" s="877">
        <f t="shared" si="131"/>
        <v>5</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f t="shared" si="143"/>
        <v>0</v>
      </c>
      <c r="EP56" s="874">
        <f t="shared" si="144"/>
        <v>0</v>
      </c>
      <c r="EQ56" s="874">
        <f t="shared" si="145"/>
        <v>0</v>
      </c>
      <c r="ER56" s="874">
        <f t="shared" si="146"/>
        <v>0</v>
      </c>
      <c r="ES56" s="874" t="str">
        <f t="shared" si="147"/>
        <v/>
      </c>
      <c r="ET56" s="873">
        <f t="shared" si="148"/>
        <v>0</v>
      </c>
      <c r="EU56" s="873">
        <f t="shared" si="149"/>
        <v>0</v>
      </c>
      <c r="EV56" s="876">
        <f t="shared" si="150"/>
        <v>6</v>
      </c>
      <c r="EW56" s="876">
        <f t="shared" si="151"/>
        <v>6</v>
      </c>
      <c r="EX56" s="878" t="str">
        <f t="shared" si="152"/>
        <v>ERR</v>
      </c>
      <c r="EY56" s="879" t="e">
        <f t="shared" si="153"/>
        <v>#VALUE!</v>
      </c>
      <c r="EZ56" s="959">
        <f t="shared" si="154"/>
        <v>8064.7542857142862</v>
      </c>
      <c r="FA56" s="960">
        <f t="shared" si="155"/>
        <v>6989.4537142857134</v>
      </c>
      <c r="FB56" s="880">
        <f t="shared" si="156"/>
        <v>0</v>
      </c>
      <c r="FC56" s="881">
        <f t="shared" si="157"/>
        <v>0</v>
      </c>
      <c r="FD56" s="890">
        <f t="shared" si="158"/>
        <v>1.75</v>
      </c>
      <c r="FE56" s="833">
        <f t="shared" si="159"/>
        <v>1.75</v>
      </c>
      <c r="FF56" s="754" t="b">
        <f t="shared" si="160"/>
        <v>0</v>
      </c>
      <c r="FG56" s="754" t="b">
        <f t="shared" si="161"/>
        <v>0</v>
      </c>
      <c r="FH56" s="754" t="b">
        <f t="shared" si="162"/>
        <v>0</v>
      </c>
      <c r="FI56" s="754" t="b">
        <f t="shared" si="163"/>
        <v>0</v>
      </c>
      <c r="FJ56" s="920" t="str">
        <f t="shared" si="177"/>
        <v/>
      </c>
      <c r="FK56" s="919" t="str">
        <f t="shared" si="178"/>
        <v>G19</v>
      </c>
      <c r="FL56" s="320">
        <f t="shared" si="179"/>
        <v>620</v>
      </c>
      <c r="FM56" s="312" t="str">
        <f t="shared" si="164"/>
        <v/>
      </c>
      <c r="FN56" s="272">
        <f t="shared" ca="1" si="180"/>
        <v>96</v>
      </c>
      <c r="FO56" s="273">
        <f t="shared" ca="1" si="181"/>
        <v>5</v>
      </c>
      <c r="FP56" s="274">
        <f t="shared" ca="1" si="182"/>
        <v>96</v>
      </c>
      <c r="FQ56" s="274">
        <f t="shared" ca="1" si="183"/>
        <v>48</v>
      </c>
      <c r="FR56" s="321">
        <f t="shared" ca="1" si="184"/>
        <v>0</v>
      </c>
      <c r="FS56" s="322">
        <f t="shared" ca="1" si="185"/>
        <v>624</v>
      </c>
      <c r="FT56" s="272">
        <f t="shared" ca="1" si="186"/>
        <v>620</v>
      </c>
      <c r="FU56" s="275">
        <f t="shared" ca="1" si="187"/>
        <v>1</v>
      </c>
      <c r="FV56" s="323">
        <f t="shared" ca="1" si="165"/>
        <v>94</v>
      </c>
      <c r="FW56" s="276">
        <f t="shared" ca="1" si="188"/>
        <v>94</v>
      </c>
      <c r="FX56" s="276">
        <f t="shared" ca="1" si="189"/>
        <v>96</v>
      </c>
      <c r="FY56" s="276">
        <f t="shared" ca="1" si="190"/>
        <v>46</v>
      </c>
      <c r="FZ56" s="276">
        <f t="shared" ca="1" si="191"/>
        <v>46</v>
      </c>
      <c r="GA56" s="276">
        <f t="shared" ca="1" si="192"/>
        <v>620</v>
      </c>
      <c r="GB56" s="277">
        <f ca="1">IF(FY56="","",2+SUM(FO56:OFFSET(FO56,(FU56-1)*-1,0)))</f>
        <v>7</v>
      </c>
      <c r="GC56" s="316">
        <f t="shared" si="193"/>
        <v>-0.25</v>
      </c>
      <c r="GD56" s="324">
        <f t="shared" si="166"/>
        <v>1.75</v>
      </c>
      <c r="GE56" s="325" t="str">
        <f t="shared" si="167"/>
        <v/>
      </c>
      <c r="GF56" s="278" t="str">
        <f t="shared" si="168"/>
        <v>#6</v>
      </c>
      <c r="GG56" s="279">
        <f t="shared" si="169"/>
        <v>12</v>
      </c>
      <c r="GH56" s="279" t="str">
        <f t="shared" si="170"/>
        <v/>
      </c>
      <c r="GI56" s="280" t="str">
        <f t="shared" si="171"/>
        <v/>
      </c>
      <c r="GJ56" s="530">
        <f t="shared" ca="1" si="172"/>
        <v>0</v>
      </c>
      <c r="GK56" s="895" t="str">
        <f t="shared" ca="1" si="194"/>
        <v>B</v>
      </c>
    </row>
    <row r="57" spans="1:193" ht="12.6" hidden="1" customHeight="1" x14ac:dyDescent="0.2">
      <c r="BZ57" s="293"/>
      <c r="CA57" s="293"/>
      <c r="CB57" s="365" t="str">
        <f t="shared" si="100"/>
        <v>G20</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-7</v>
      </c>
      <c r="CH57" s="1306">
        <f>IF(CG17="","",IF(VLOOKUP(CG17,SectInfo!$B:$N,7,FALSE)="","",(VLOOKUP(CG17,SectInfo!$B:$N,7,FALSE)*-1)))</f>
        <v>-6.5</v>
      </c>
      <c r="CI57" s="1306">
        <f>IF(CG17="","",IF(VLOOKUP(CG17,SectInfo!$B:$N,8,FALSE)="",$FC$4,(VLOOKUP(CG17,SectInfo!$B:$N,8,FALSE))))</f>
        <v>5</v>
      </c>
      <c r="CJ57" s="1306">
        <f>IF(CG17="","",VLOOKUP(CG17,SectInfo!$B:$N,9,FALSE))</f>
        <v>8</v>
      </c>
      <c r="CK57" s="1307">
        <f t="shared" si="101"/>
        <v>0</v>
      </c>
      <c r="CL57" s="1305" t="str">
        <f>IF(CQ17="","",VLOOKUP(CQ17,SectInfo!$B:$N,12,FALSE))</f>
        <v>C</v>
      </c>
      <c r="CM57" s="1306">
        <f>IF(ISBLANK(CX17),IF(CQ17="","",VLOOKUP(CQ17,SectInfo!$B:$N,13,FALSE)),CX17)</f>
        <v>-0.25</v>
      </c>
      <c r="CN57" s="1306" t="str">
        <f>IF(CQ17="","",IF(VLOOKUP(CQ17,SectInfo!$B:$N,5,FALSE)="","R",UPPER(VLOOKUP(CQ17,SectInfo!$B:$N,5,FALSE))))</f>
        <v>R</v>
      </c>
      <c r="CO57" s="1306">
        <f>IF(ISBLANK(CZ17),IF(CQ17="","",VLOOKUP(CQ17,SectInfo!$B:$N,6,FALSE)),CZ17)</f>
        <v>7.5</v>
      </c>
      <c r="CP57" s="1306">
        <f>IF(CQ17="","",IF(VLOOKUP(CQ17,SectInfo!$B:$N,10,FALSE)="","",(VLOOKUP(CQ17,SectInfo!$B:$N,10,FALSE)*-1)))</f>
        <v>-7</v>
      </c>
      <c r="CQ57" s="1306">
        <f>IF(CQ17="","",IF(VLOOKUP(CQ17,SectInfo!$B:$N,7,FALSE)="","",(VLOOKUP(CQ17,SectInfo!$B:$N,7,FALSE)*-1)))</f>
        <v>-6.5</v>
      </c>
      <c r="CR57" s="1306">
        <f>IF(CQ17="","",IF(VLOOKUP(CQ17,SectInfo!$B:$N,8,FALSE)="",$FC$4,(VLOOKUP(CQ17,SectInfo!$B:$N,8,FALSE))))</f>
        <v>5</v>
      </c>
      <c r="CS57" s="1306">
        <f>IF(CQ17="","",VLOOKUP(CQ17,SectInfo!$B:$N,9,FALSE))</f>
        <v>8</v>
      </c>
      <c r="CT57" s="1307">
        <f t="shared" si="102"/>
        <v>0</v>
      </c>
      <c r="CU57" s="1317">
        <f t="shared" si="103"/>
        <v>0</v>
      </c>
      <c r="CV57" s="1311">
        <f t="shared" si="104"/>
        <v>623.5</v>
      </c>
      <c r="CW57" s="1311">
        <f t="shared" si="105"/>
        <v>7.5</v>
      </c>
      <c r="CX57" s="1311">
        <f t="shared" si="106"/>
        <v>7.5</v>
      </c>
      <c r="CY57" s="1313">
        <f t="shared" si="107"/>
        <v>0</v>
      </c>
      <c r="CZ57" s="1313">
        <f t="shared" si="108"/>
        <v>8</v>
      </c>
      <c r="DA57" s="1313">
        <f t="shared" si="109"/>
        <v>8</v>
      </c>
      <c r="DB57" s="1311">
        <f t="shared" si="173"/>
        <v>7.75</v>
      </c>
      <c r="DC57" s="1311">
        <f t="shared" si="110"/>
        <v>1.75</v>
      </c>
      <c r="DD57" s="875">
        <f t="shared" si="174"/>
        <v>1.75</v>
      </c>
      <c r="DE57" s="873">
        <f t="shared" si="111"/>
        <v>0</v>
      </c>
      <c r="DF57" s="874">
        <f t="shared" si="112"/>
        <v>8</v>
      </c>
      <c r="DG57" s="874">
        <f t="shared" si="113"/>
        <v>8</v>
      </c>
      <c r="DH57" s="1311">
        <f t="shared" si="175"/>
        <v>7.75</v>
      </c>
      <c r="DI57" s="1311">
        <f t="shared" si="114"/>
        <v>1.75</v>
      </c>
      <c r="DJ57" s="1312">
        <f t="shared" si="176"/>
        <v>1.75</v>
      </c>
      <c r="DK57" s="1311">
        <f t="shared" si="115"/>
        <v>620</v>
      </c>
      <c r="DL57" s="1311">
        <f t="shared" si="116"/>
        <v>-6.5</v>
      </c>
      <c r="DM57" s="1311">
        <f t="shared" si="117"/>
        <v>6.25</v>
      </c>
      <c r="DN57" s="1311">
        <f t="shared" si="118"/>
        <v>6.25</v>
      </c>
      <c r="DO57" s="889">
        <f t="shared" si="119"/>
        <v>6.25</v>
      </c>
      <c r="DP57" s="889">
        <f t="shared" si="120"/>
        <v>6.25</v>
      </c>
      <c r="DQ57" s="1311">
        <f t="shared" si="121"/>
        <v>6.25</v>
      </c>
      <c r="DR57" s="1311">
        <f t="shared" si="121"/>
        <v>6.25</v>
      </c>
      <c r="DS57" s="1311">
        <f t="shared" si="122"/>
        <v>-6.5</v>
      </c>
      <c r="DT57" s="1311">
        <f t="shared" si="123"/>
        <v>6.25</v>
      </c>
      <c r="DU57" s="1311">
        <f t="shared" si="124"/>
        <v>6.25</v>
      </c>
      <c r="DV57" s="889">
        <f t="shared" si="125"/>
        <v>6.25</v>
      </c>
      <c r="DW57" s="889">
        <f t="shared" si="126"/>
        <v>6.25</v>
      </c>
      <c r="DX57" s="873">
        <f t="shared" si="127"/>
        <v>6.25</v>
      </c>
      <c r="DY57" s="873">
        <f t="shared" si="127"/>
        <v>6.25</v>
      </c>
      <c r="DZ57" s="873">
        <f t="shared" si="128"/>
        <v>6.75</v>
      </c>
      <c r="EA57" s="873">
        <f t="shared" si="129"/>
        <v>6.75</v>
      </c>
      <c r="EB57" s="876">
        <f t="shared" si="130"/>
        <v>5</v>
      </c>
      <c r="EC57" s="877">
        <f t="shared" si="131"/>
        <v>5</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f t="shared" si="143"/>
        <v>0</v>
      </c>
      <c r="EP57" s="874">
        <f t="shared" si="144"/>
        <v>0</v>
      </c>
      <c r="EQ57" s="874">
        <f t="shared" si="145"/>
        <v>0</v>
      </c>
      <c r="ER57" s="874">
        <f t="shared" si="146"/>
        <v>0</v>
      </c>
      <c r="ES57" s="874" t="str">
        <f t="shared" si="147"/>
        <v/>
      </c>
      <c r="ET57" s="873">
        <f t="shared" si="148"/>
        <v>0</v>
      </c>
      <c r="EU57" s="873">
        <f t="shared" si="149"/>
        <v>0</v>
      </c>
      <c r="EV57" s="876">
        <f t="shared" si="150"/>
        <v>6</v>
      </c>
      <c r="EW57" s="876">
        <f t="shared" si="151"/>
        <v>6</v>
      </c>
      <c r="EX57" s="878" t="str">
        <f t="shared" si="152"/>
        <v>ERR</v>
      </c>
      <c r="EY57" s="879" t="e">
        <f t="shared" si="153"/>
        <v>#VALUE!</v>
      </c>
      <c r="EZ57" s="959">
        <f t="shared" si="154"/>
        <v>8064.7542857142862</v>
      </c>
      <c r="FA57" s="960">
        <f t="shared" si="155"/>
        <v>6989.4537142857134</v>
      </c>
      <c r="FB57" s="880">
        <f t="shared" si="156"/>
        <v>0</v>
      </c>
      <c r="FC57" s="881">
        <f t="shared" si="157"/>
        <v>0</v>
      </c>
      <c r="FD57" s="890">
        <f t="shared" si="158"/>
        <v>1.75</v>
      </c>
      <c r="FE57" s="833">
        <f t="shared" si="159"/>
        <v>1.75</v>
      </c>
      <c r="FF57" s="754" t="b">
        <f t="shared" si="160"/>
        <v>0</v>
      </c>
      <c r="FG57" s="754" t="b">
        <f t="shared" si="161"/>
        <v>0</v>
      </c>
      <c r="FH57" s="754" t="b">
        <f t="shared" si="162"/>
        <v>0</v>
      </c>
      <c r="FI57" s="754" t="b">
        <f t="shared" si="163"/>
        <v>0</v>
      </c>
      <c r="FJ57" s="920" t="str">
        <f t="shared" si="177"/>
        <v/>
      </c>
      <c r="FK57" s="919" t="str">
        <f t="shared" si="178"/>
        <v>G20</v>
      </c>
      <c r="FL57" s="320">
        <f t="shared" si="179"/>
        <v>620</v>
      </c>
      <c r="FM57" s="312" t="str">
        <f t="shared" si="164"/>
        <v/>
      </c>
      <c r="FN57" s="272">
        <f t="shared" ca="1" si="180"/>
        <v>48</v>
      </c>
      <c r="FO57" s="273">
        <f t="shared" ca="1" si="181"/>
        <v>5</v>
      </c>
      <c r="FP57" s="274">
        <f t="shared" ca="1" si="182"/>
        <v>96</v>
      </c>
      <c r="FQ57" s="274">
        <f t="shared" ca="1" si="183"/>
        <v>96</v>
      </c>
      <c r="FR57" s="321">
        <f t="shared" ca="1" si="184"/>
        <v>0</v>
      </c>
      <c r="FS57" s="322">
        <f t="shared" ca="1" si="185"/>
        <v>624</v>
      </c>
      <c r="FT57" s="272">
        <f t="shared" ca="1" si="186"/>
        <v>620</v>
      </c>
      <c r="FU57" s="275">
        <f t="shared" ca="1" si="187"/>
        <v>1</v>
      </c>
      <c r="FV57" s="323">
        <f t="shared" ca="1" si="165"/>
        <v>46</v>
      </c>
      <c r="FW57" s="276">
        <f t="shared" ca="1" si="188"/>
        <v>46</v>
      </c>
      <c r="FX57" s="276">
        <f t="shared" ca="1" si="189"/>
        <v>96</v>
      </c>
      <c r="FY57" s="276">
        <f t="shared" ca="1" si="190"/>
        <v>94</v>
      </c>
      <c r="FZ57" s="276">
        <f t="shared" ca="1" si="191"/>
        <v>94</v>
      </c>
      <c r="GA57" s="276">
        <f t="shared" ca="1" si="192"/>
        <v>620</v>
      </c>
      <c r="GB57" s="277">
        <f ca="1">IF(FY57="","",2+SUM(FO57:OFFSET(FO57,(FU57-1)*-1,0)))</f>
        <v>7</v>
      </c>
      <c r="GC57" s="316">
        <f t="shared" si="193"/>
        <v>-0.25</v>
      </c>
      <c r="GD57" s="324" t="str">
        <f t="shared" si="166"/>
        <v/>
      </c>
      <c r="GE57" s="325">
        <f t="shared" si="167"/>
        <v>1.75</v>
      </c>
      <c r="GF57" s="278" t="str">
        <f t="shared" si="168"/>
        <v>#1</v>
      </c>
      <c r="GG57" s="279">
        <f t="shared" si="169"/>
        <v>612</v>
      </c>
      <c r="GH57" s="279" t="str">
        <f t="shared" si="170"/>
        <v/>
      </c>
      <c r="GI57" s="280" t="str">
        <f t="shared" si="171"/>
        <v/>
      </c>
      <c r="GJ57" s="530">
        <f t="shared" ca="1" si="172"/>
        <v>0</v>
      </c>
      <c r="GK57" s="895" t="str">
        <f t="shared" ca="1" si="194"/>
        <v>A</v>
      </c>
    </row>
    <row r="58" spans="1:193" ht="12.6" hidden="1" customHeight="1" x14ac:dyDescent="0.2">
      <c r="BZ58" s="293"/>
      <c r="CA58" s="293"/>
      <c r="CB58" s="365" t="str">
        <f t="shared" si="100"/>
        <v>G21</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-7</v>
      </c>
      <c r="CH58" s="1306">
        <f>IF(CG18="","",IF(VLOOKUP(CG18,SectInfo!$B:$N,7,FALSE)="","",(VLOOKUP(CG18,SectInfo!$B:$N,7,FALSE)*-1)))</f>
        <v>-6.5</v>
      </c>
      <c r="CI58" s="1306">
        <f>IF(CG18="","",IF(VLOOKUP(CG18,SectInfo!$B:$N,8,FALSE)="",$FC$4,(VLOOKUP(CG18,SectInfo!$B:$N,8,FALSE))))</f>
        <v>5</v>
      </c>
      <c r="CJ58" s="1306">
        <f>IF(CG18="","",VLOOKUP(CG18,SectInfo!$B:$N,9,FALSE))</f>
        <v>8</v>
      </c>
      <c r="CK58" s="1307">
        <f t="shared" si="101"/>
        <v>0</v>
      </c>
      <c r="CL58" s="1305" t="str">
        <f>IF(CQ18="","",VLOOKUP(CQ18,SectInfo!$B:$N,12,FALSE))</f>
        <v>C</v>
      </c>
      <c r="CM58" s="1306">
        <f>IF(ISBLANK(CX18),IF(CQ18="","",VLOOKUP(CQ18,SectInfo!$B:$N,13,FALSE)),CX18)</f>
        <v>-0.25</v>
      </c>
      <c r="CN58" s="1306" t="str">
        <f>IF(CQ18="","",IF(VLOOKUP(CQ18,SectInfo!$B:$N,5,FALSE)="","R",UPPER(VLOOKUP(CQ18,SectInfo!$B:$N,5,FALSE))))</f>
        <v>R</v>
      </c>
      <c r="CO58" s="1306">
        <f>IF(ISBLANK(CZ18),IF(CQ18="","",VLOOKUP(CQ18,SectInfo!$B:$N,6,FALSE)),CZ18)</f>
        <v>7.5</v>
      </c>
      <c r="CP58" s="1306">
        <f>IF(CQ18="","",IF(VLOOKUP(CQ18,SectInfo!$B:$N,10,FALSE)="","",(VLOOKUP(CQ18,SectInfo!$B:$N,10,FALSE)*-1)))</f>
        <v>-7</v>
      </c>
      <c r="CQ58" s="1306">
        <f>IF(CQ18="","",IF(VLOOKUP(CQ18,SectInfo!$B:$N,7,FALSE)="","",(VLOOKUP(CQ18,SectInfo!$B:$N,7,FALSE)*-1)))</f>
        <v>-6.5</v>
      </c>
      <c r="CR58" s="1306">
        <f>IF(CQ18="","",IF(VLOOKUP(CQ18,SectInfo!$B:$N,8,FALSE)="",$FC$4,(VLOOKUP(CQ18,SectInfo!$B:$N,8,FALSE))))</f>
        <v>5</v>
      </c>
      <c r="CS58" s="1306">
        <f>IF(CQ18="","",VLOOKUP(CQ18,SectInfo!$B:$N,9,FALSE))</f>
        <v>8</v>
      </c>
      <c r="CT58" s="1307">
        <f t="shared" si="102"/>
        <v>0</v>
      </c>
      <c r="CU58" s="1317">
        <f t="shared" si="103"/>
        <v>0</v>
      </c>
      <c r="CV58" s="1311">
        <f t="shared" si="104"/>
        <v>623.5</v>
      </c>
      <c r="CW58" s="1311">
        <f t="shared" si="105"/>
        <v>7.5</v>
      </c>
      <c r="CX58" s="1311">
        <f t="shared" si="106"/>
        <v>7.5</v>
      </c>
      <c r="CY58" s="1313">
        <f t="shared" si="107"/>
        <v>0</v>
      </c>
      <c r="CZ58" s="1313">
        <f t="shared" si="108"/>
        <v>8</v>
      </c>
      <c r="DA58" s="1313">
        <f t="shared" si="109"/>
        <v>8</v>
      </c>
      <c r="DB58" s="1311">
        <f t="shared" si="173"/>
        <v>7.75</v>
      </c>
      <c r="DC58" s="1311">
        <f t="shared" si="110"/>
        <v>1.75</v>
      </c>
      <c r="DD58" s="875">
        <f t="shared" si="174"/>
        <v>1.75</v>
      </c>
      <c r="DE58" s="873">
        <f t="shared" si="111"/>
        <v>0</v>
      </c>
      <c r="DF58" s="874">
        <f t="shared" si="112"/>
        <v>8</v>
      </c>
      <c r="DG58" s="874">
        <f t="shared" si="113"/>
        <v>8</v>
      </c>
      <c r="DH58" s="1311">
        <f t="shared" si="175"/>
        <v>7.75</v>
      </c>
      <c r="DI58" s="1311">
        <f t="shared" si="114"/>
        <v>1.75</v>
      </c>
      <c r="DJ58" s="1312">
        <f t="shared" si="176"/>
        <v>1.75</v>
      </c>
      <c r="DK58" s="1311">
        <f t="shared" si="115"/>
        <v>620</v>
      </c>
      <c r="DL58" s="1311">
        <f t="shared" si="116"/>
        <v>-6.5</v>
      </c>
      <c r="DM58" s="1311">
        <f t="shared" si="117"/>
        <v>6.25</v>
      </c>
      <c r="DN58" s="1311">
        <f t="shared" si="118"/>
        <v>6.25</v>
      </c>
      <c r="DO58" s="889">
        <f t="shared" si="119"/>
        <v>6.25</v>
      </c>
      <c r="DP58" s="889">
        <f t="shared" si="120"/>
        <v>6.25</v>
      </c>
      <c r="DQ58" s="1311">
        <f t="shared" si="121"/>
        <v>6.25</v>
      </c>
      <c r="DR58" s="1311">
        <f t="shared" si="121"/>
        <v>6.25</v>
      </c>
      <c r="DS58" s="1311">
        <f t="shared" si="122"/>
        <v>-6.5</v>
      </c>
      <c r="DT58" s="1311">
        <f t="shared" si="123"/>
        <v>6.25</v>
      </c>
      <c r="DU58" s="1311">
        <f t="shared" si="124"/>
        <v>6.25</v>
      </c>
      <c r="DV58" s="889">
        <f t="shared" si="125"/>
        <v>6.25</v>
      </c>
      <c r="DW58" s="889">
        <f t="shared" si="126"/>
        <v>6.25</v>
      </c>
      <c r="DX58" s="873">
        <f t="shared" si="127"/>
        <v>6.25</v>
      </c>
      <c r="DY58" s="873">
        <f t="shared" si="127"/>
        <v>6.25</v>
      </c>
      <c r="DZ58" s="873">
        <f t="shared" si="128"/>
        <v>6.75</v>
      </c>
      <c r="EA58" s="873">
        <f t="shared" si="129"/>
        <v>6.75</v>
      </c>
      <c r="EB58" s="876">
        <f t="shared" si="130"/>
        <v>5</v>
      </c>
      <c r="EC58" s="877">
        <f t="shared" si="131"/>
        <v>5</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f t="shared" si="143"/>
        <v>0</v>
      </c>
      <c r="EP58" s="874">
        <f t="shared" si="144"/>
        <v>0</v>
      </c>
      <c r="EQ58" s="874">
        <f t="shared" si="145"/>
        <v>0</v>
      </c>
      <c r="ER58" s="874">
        <f t="shared" si="146"/>
        <v>0</v>
      </c>
      <c r="ES58" s="874" t="str">
        <f t="shared" si="147"/>
        <v/>
      </c>
      <c r="ET58" s="873">
        <f t="shared" si="148"/>
        <v>0</v>
      </c>
      <c r="EU58" s="873">
        <f t="shared" si="149"/>
        <v>0</v>
      </c>
      <c r="EV58" s="876">
        <f t="shared" si="150"/>
        <v>6</v>
      </c>
      <c r="EW58" s="876">
        <f t="shared" si="151"/>
        <v>6</v>
      </c>
      <c r="EX58" s="878" t="str">
        <f t="shared" si="152"/>
        <v>ERR</v>
      </c>
      <c r="EY58" s="879" t="e">
        <f t="shared" si="153"/>
        <v>#VALUE!</v>
      </c>
      <c r="EZ58" s="959">
        <f t="shared" si="154"/>
        <v>8064.7542857142862</v>
      </c>
      <c r="FA58" s="960">
        <f t="shared" si="155"/>
        <v>6989.4537142857134</v>
      </c>
      <c r="FB58" s="880">
        <f t="shared" si="156"/>
        <v>0</v>
      </c>
      <c r="FC58" s="881">
        <f t="shared" si="157"/>
        <v>0</v>
      </c>
      <c r="FD58" s="890">
        <f t="shared" si="158"/>
        <v>1.75</v>
      </c>
      <c r="FE58" s="833">
        <f t="shared" si="159"/>
        <v>1.75</v>
      </c>
      <c r="FF58" s="754" t="b">
        <f t="shared" si="160"/>
        <v>0</v>
      </c>
      <c r="FG58" s="754" t="b">
        <f t="shared" si="161"/>
        <v>0</v>
      </c>
      <c r="FH58" s="754" t="b">
        <f t="shared" si="162"/>
        <v>0</v>
      </c>
      <c r="FI58" s="754" t="b">
        <f t="shared" si="163"/>
        <v>0</v>
      </c>
      <c r="FJ58" s="920" t="str">
        <f t="shared" si="177"/>
        <v/>
      </c>
      <c r="FK58" s="919" t="str">
        <f t="shared" si="178"/>
        <v>G21</v>
      </c>
      <c r="FL58" s="320">
        <f t="shared" si="179"/>
        <v>620</v>
      </c>
      <c r="FM58" s="312" t="str">
        <f t="shared" si="164"/>
        <v/>
      </c>
      <c r="FN58" s="272">
        <f t="shared" ca="1" si="180"/>
        <v>96</v>
      </c>
      <c r="FO58" s="273">
        <f t="shared" ca="1" si="181"/>
        <v>5</v>
      </c>
      <c r="FP58" s="274">
        <f t="shared" ca="1" si="182"/>
        <v>96</v>
      </c>
      <c r="FQ58" s="274">
        <f t="shared" ca="1" si="183"/>
        <v>48</v>
      </c>
      <c r="FR58" s="321">
        <f t="shared" ca="1" si="184"/>
        <v>0</v>
      </c>
      <c r="FS58" s="322">
        <f t="shared" ca="1" si="185"/>
        <v>624</v>
      </c>
      <c r="FT58" s="272">
        <f t="shared" ca="1" si="186"/>
        <v>620</v>
      </c>
      <c r="FU58" s="275">
        <f t="shared" ca="1" si="187"/>
        <v>1</v>
      </c>
      <c r="FV58" s="323">
        <f t="shared" ca="1" si="165"/>
        <v>94</v>
      </c>
      <c r="FW58" s="276">
        <f t="shared" ca="1" si="188"/>
        <v>94</v>
      </c>
      <c r="FX58" s="276">
        <f t="shared" ca="1" si="189"/>
        <v>96</v>
      </c>
      <c r="FY58" s="276">
        <f t="shared" ca="1" si="190"/>
        <v>46</v>
      </c>
      <c r="FZ58" s="276">
        <f t="shared" ca="1" si="191"/>
        <v>46</v>
      </c>
      <c r="GA58" s="276">
        <f t="shared" ca="1" si="192"/>
        <v>620</v>
      </c>
      <c r="GB58" s="277">
        <f ca="1">IF(FY58="","",2+SUM(FO58:OFFSET(FO58,(FU58-1)*-1,0)))</f>
        <v>7</v>
      </c>
      <c r="GC58" s="316">
        <f t="shared" si="193"/>
        <v>-0.25</v>
      </c>
      <c r="GD58" s="324">
        <f t="shared" si="166"/>
        <v>1.75</v>
      </c>
      <c r="GE58" s="325" t="str">
        <f t="shared" si="167"/>
        <v/>
      </c>
      <c r="GF58" s="278" t="str">
        <f t="shared" si="168"/>
        <v>#6</v>
      </c>
      <c r="GG58" s="279">
        <f t="shared" si="169"/>
        <v>12</v>
      </c>
      <c r="GH58" s="279" t="str">
        <f t="shared" si="170"/>
        <v/>
      </c>
      <c r="GI58" s="280" t="str">
        <f t="shared" si="171"/>
        <v/>
      </c>
      <c r="GJ58" s="530">
        <f t="shared" ca="1" si="172"/>
        <v>0</v>
      </c>
      <c r="GK58" s="895" t="str">
        <f t="shared" ca="1" si="194"/>
        <v>B</v>
      </c>
    </row>
    <row r="59" spans="1:193" ht="12.6" hidden="1" customHeight="1" x14ac:dyDescent="0.2">
      <c r="BZ59" s="293"/>
      <c r="CA59" s="293"/>
      <c r="CB59" s="365" t="str">
        <f t="shared" si="100"/>
        <v>G22</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-7</v>
      </c>
      <c r="CH59" s="1306">
        <f>IF(CG19="","",IF(VLOOKUP(CG19,SectInfo!$B:$N,7,FALSE)="","",(VLOOKUP(CG19,SectInfo!$B:$N,7,FALSE)*-1)))</f>
        <v>-6.5</v>
      </c>
      <c r="CI59" s="1306">
        <f>IF(CG19="","",IF(VLOOKUP(CG19,SectInfo!$B:$N,8,FALSE)="",$FC$4,(VLOOKUP(CG19,SectInfo!$B:$N,8,FALSE))))</f>
        <v>5</v>
      </c>
      <c r="CJ59" s="1306">
        <f>IF(CG19="","",VLOOKUP(CG19,SectInfo!$B:$N,9,FALSE))</f>
        <v>8</v>
      </c>
      <c r="CK59" s="1307">
        <f t="shared" si="101"/>
        <v>0</v>
      </c>
      <c r="CL59" s="1305" t="str">
        <f>IF(CQ19="","",VLOOKUP(CQ19,SectInfo!$B:$N,12,FALSE))</f>
        <v>C</v>
      </c>
      <c r="CM59" s="1306">
        <f>IF(ISBLANK(CX19),IF(CQ19="","",VLOOKUP(CQ19,SectInfo!$B:$N,13,FALSE)),CX19)</f>
        <v>-8.375</v>
      </c>
      <c r="CN59" s="1306" t="str">
        <f>IF(CQ19="","",IF(VLOOKUP(CQ19,SectInfo!$B:$N,5,FALSE)="","R",UPPER(VLOOKUP(CQ19,SectInfo!$B:$N,5,FALSE))))</f>
        <v>R</v>
      </c>
      <c r="CO59" s="1306">
        <f>IF(ISBLANK(CZ19),IF(CQ19="","",VLOOKUP(CQ19,SectInfo!$B:$N,6,FALSE)),CZ19)</f>
        <v>7.5</v>
      </c>
      <c r="CP59" s="1306">
        <f>IF(CQ19="","",IF(VLOOKUP(CQ19,SectInfo!$B:$N,10,FALSE)="","",(VLOOKUP(CQ19,SectInfo!$B:$N,10,FALSE)*-1)))</f>
        <v>-9.375</v>
      </c>
      <c r="CQ59" s="1306">
        <f>IF(CQ19="","",IF(VLOOKUP(CQ19,SectInfo!$B:$N,7,FALSE)="","",(VLOOKUP(CQ19,SectInfo!$B:$N,7,FALSE)*-1)))</f>
        <v>-9.875</v>
      </c>
      <c r="CR59" s="1306">
        <f>IF(CQ19="","",IF(VLOOKUP(CQ19,SectInfo!$B:$N,8,FALSE)="",$FC$4,(VLOOKUP(CQ19,SectInfo!$B:$N,8,FALSE))))</f>
        <v>5</v>
      </c>
      <c r="CS59" s="1306">
        <f>IF(CQ19="","",VLOOKUP(CQ19,SectInfo!$B:$N,9,FALSE))</f>
        <v>13.375</v>
      </c>
      <c r="CT59" s="1307">
        <f t="shared" si="102"/>
        <v>0</v>
      </c>
      <c r="CU59" s="1317">
        <f t="shared" si="103"/>
        <v>0</v>
      </c>
      <c r="CV59" s="1311">
        <f t="shared" si="104"/>
        <v>615.375</v>
      </c>
      <c r="CW59" s="1311">
        <f t="shared" si="105"/>
        <v>7.5</v>
      </c>
      <c r="CX59" s="1311">
        <f t="shared" si="106"/>
        <v>7.5</v>
      </c>
      <c r="CY59" s="1313">
        <f t="shared" si="107"/>
        <v>0</v>
      </c>
      <c r="CZ59" s="1313">
        <f t="shared" si="108"/>
        <v>8</v>
      </c>
      <c r="DA59" s="1313">
        <f t="shared" si="109"/>
        <v>8</v>
      </c>
      <c r="DB59" s="1311">
        <f t="shared" si="173"/>
        <v>7.75</v>
      </c>
      <c r="DC59" s="1311">
        <f t="shared" si="110"/>
        <v>1.75</v>
      </c>
      <c r="DD59" s="875">
        <f t="shared" si="174"/>
        <v>1.75</v>
      </c>
      <c r="DE59" s="873">
        <f t="shared" si="111"/>
        <v>0</v>
      </c>
      <c r="DF59" s="874">
        <f t="shared" si="112"/>
        <v>13.375</v>
      </c>
      <c r="DG59" s="874">
        <f t="shared" si="113"/>
        <v>13.375</v>
      </c>
      <c r="DH59" s="1311">
        <f t="shared" si="175"/>
        <v>5</v>
      </c>
      <c r="DI59" s="1311">
        <f t="shared" si="114"/>
        <v>0</v>
      </c>
      <c r="DJ59" s="1312">
        <f t="shared" si="176"/>
        <v>0</v>
      </c>
      <c r="DK59" s="1311">
        <f t="shared" si="115"/>
        <v>613.625</v>
      </c>
      <c r="DL59" s="1311">
        <f t="shared" si="116"/>
        <v>-6.5</v>
      </c>
      <c r="DM59" s="1311">
        <f t="shared" si="117"/>
        <v>6.25</v>
      </c>
      <c r="DN59" s="1311">
        <f t="shared" si="118"/>
        <v>6.25</v>
      </c>
      <c r="DO59" s="889">
        <f t="shared" si="119"/>
        <v>6.25</v>
      </c>
      <c r="DP59" s="889">
        <f t="shared" si="120"/>
        <v>6.25</v>
      </c>
      <c r="DQ59" s="1311">
        <f t="shared" si="121"/>
        <v>6.25</v>
      </c>
      <c r="DR59" s="1311">
        <f t="shared" si="121"/>
        <v>6.25</v>
      </c>
      <c r="DS59" s="1311">
        <f t="shared" si="122"/>
        <v>-9.875</v>
      </c>
      <c r="DT59" s="1311">
        <f t="shared" si="123"/>
        <v>1.5</v>
      </c>
      <c r="DU59" s="1311">
        <f t="shared" si="124"/>
        <v>1.5</v>
      </c>
      <c r="DV59" s="889">
        <f t="shared" si="125"/>
        <v>1.5</v>
      </c>
      <c r="DW59" s="889">
        <f t="shared" si="126"/>
        <v>1.5</v>
      </c>
      <c r="DX59" s="873">
        <f t="shared" si="127"/>
        <v>1.5</v>
      </c>
      <c r="DY59" s="873">
        <f t="shared" si="127"/>
        <v>1.5</v>
      </c>
      <c r="DZ59" s="873">
        <f t="shared" si="128"/>
        <v>6.75</v>
      </c>
      <c r="EA59" s="873">
        <f t="shared" si="129"/>
        <v>1</v>
      </c>
      <c r="EB59" s="876">
        <f t="shared" si="130"/>
        <v>5</v>
      </c>
      <c r="EC59" s="877">
        <f t="shared" si="131"/>
        <v>5</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f t="shared" si="143"/>
        <v>0</v>
      </c>
      <c r="EP59" s="874">
        <f t="shared" si="144"/>
        <v>0</v>
      </c>
      <c r="EQ59" s="874">
        <f t="shared" si="145"/>
        <v>0</v>
      </c>
      <c r="ER59" s="874">
        <f t="shared" si="146"/>
        <v>0</v>
      </c>
      <c r="ES59" s="874" t="str">
        <f t="shared" si="147"/>
        <v/>
      </c>
      <c r="ET59" s="873">
        <f t="shared" si="148"/>
        <v>0</v>
      </c>
      <c r="EU59" s="873">
        <f t="shared" si="149"/>
        <v>0</v>
      </c>
      <c r="EV59" s="876">
        <f t="shared" si="150"/>
        <v>6</v>
      </c>
      <c r="EW59" s="876">
        <f t="shared" si="151"/>
        <v>5</v>
      </c>
      <c r="EX59" s="878" t="str">
        <f t="shared" si="152"/>
        <v>ERR</v>
      </c>
      <c r="EY59" s="879" t="e">
        <f t="shared" si="153"/>
        <v>#VALUE!</v>
      </c>
      <c r="EZ59" s="959">
        <f t="shared" si="154"/>
        <v>8064.7542857142862</v>
      </c>
      <c r="FA59" s="960">
        <f t="shared" si="155"/>
        <v>6989.4537142857134</v>
      </c>
      <c r="FB59" s="880">
        <f t="shared" si="156"/>
        <v>0</v>
      </c>
      <c r="FC59" s="881">
        <f t="shared" si="157"/>
        <v>0</v>
      </c>
      <c r="FD59" s="890">
        <f t="shared" si="158"/>
        <v>1.75</v>
      </c>
      <c r="FE59" s="833">
        <f t="shared" si="159"/>
        <v>0</v>
      </c>
      <c r="FF59" s="754" t="b">
        <f t="shared" si="160"/>
        <v>0</v>
      </c>
      <c r="FG59" s="754" t="b">
        <f t="shared" si="161"/>
        <v>0</v>
      </c>
      <c r="FH59" s="754" t="b">
        <f t="shared" si="162"/>
        <v>0</v>
      </c>
      <c r="FI59" s="754" t="b">
        <f t="shared" si="163"/>
        <v>0</v>
      </c>
      <c r="FJ59" s="920" t="str">
        <f t="shared" si="177"/>
        <v/>
      </c>
      <c r="FK59" s="919" t="str">
        <f t="shared" si="178"/>
        <v>G22</v>
      </c>
      <c r="FL59" s="320">
        <f t="shared" si="179"/>
        <v>613.625</v>
      </c>
      <c r="FM59" s="312" t="str">
        <f t="shared" si="164"/>
        <v/>
      </c>
      <c r="FN59" s="272">
        <f t="shared" ca="1" si="180"/>
        <v>96</v>
      </c>
      <c r="FO59" s="273">
        <f t="shared" ca="1" si="181"/>
        <v>5</v>
      </c>
      <c r="FP59" s="274">
        <f t="shared" ca="1" si="182"/>
        <v>96</v>
      </c>
      <c r="FQ59" s="274">
        <f t="shared" ca="1" si="183"/>
        <v>48</v>
      </c>
      <c r="FR59" s="321">
        <f t="shared" ca="1" si="184"/>
        <v>0</v>
      </c>
      <c r="FS59" s="322">
        <f t="shared" ca="1" si="185"/>
        <v>624</v>
      </c>
      <c r="FT59" s="272">
        <f t="shared" ca="1" si="186"/>
        <v>613.625</v>
      </c>
      <c r="FU59" s="275">
        <f t="shared" ca="1" si="187"/>
        <v>1</v>
      </c>
      <c r="FV59" s="323">
        <f t="shared" ca="1" si="165"/>
        <v>94</v>
      </c>
      <c r="FW59" s="276">
        <f t="shared" ca="1" si="188"/>
        <v>94</v>
      </c>
      <c r="FX59" s="276">
        <f t="shared" ca="1" si="189"/>
        <v>96</v>
      </c>
      <c r="FY59" s="276">
        <f t="shared" ca="1" si="190"/>
        <v>39.625</v>
      </c>
      <c r="FZ59" s="276">
        <f t="shared" ca="1" si="191"/>
        <v>39.625</v>
      </c>
      <c r="GA59" s="276">
        <f t="shared" ca="1" si="192"/>
        <v>613.625</v>
      </c>
      <c r="GB59" s="277">
        <f ca="1">IF(FY59="","",2+SUM(FO59:OFFSET(FO59,(FU59-1)*-1,0)))</f>
        <v>7</v>
      </c>
      <c r="GC59" s="316">
        <f t="shared" si="193"/>
        <v>-0.25</v>
      </c>
      <c r="GD59" s="324">
        <f t="shared" si="166"/>
        <v>1.75</v>
      </c>
      <c r="GE59" s="325" t="str">
        <f t="shared" si="167"/>
        <v/>
      </c>
      <c r="GF59" s="278">
        <f t="shared" si="168"/>
        <v>12</v>
      </c>
      <c r="GG59" s="279" t="str">
        <f t="shared" si="169"/>
        <v/>
      </c>
      <c r="GH59" s="279" t="str">
        <f t="shared" si="170"/>
        <v/>
      </c>
      <c r="GI59" s="280" t="str">
        <f t="shared" si="171"/>
        <v/>
      </c>
      <c r="GJ59" s="530">
        <f t="shared" ca="1" si="172"/>
        <v>0</v>
      </c>
      <c r="GK59" s="895" t="str">
        <f t="shared" ca="1" si="194"/>
        <v>B</v>
      </c>
    </row>
    <row r="60" spans="1:193" ht="12.6" hidden="1" customHeight="1" x14ac:dyDescent="0.2">
      <c r="A60" s="892" t="s">
        <v>1177</v>
      </c>
      <c r="BZ60" s="293"/>
      <c r="CA60" s="293"/>
      <c r="CB60" s="365" t="str">
        <f t="shared" si="100"/>
        <v>G23</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-7</v>
      </c>
      <c r="CH60" s="1306">
        <f>IF(CG20="","",IF(VLOOKUP(CG20,SectInfo!$B:$N,7,FALSE)="","",(VLOOKUP(CG20,SectInfo!$B:$N,7,FALSE)*-1)))</f>
        <v>-6.5</v>
      </c>
      <c r="CI60" s="1306">
        <f>IF(CG20="","",IF(VLOOKUP(CG20,SectInfo!$B:$N,8,FALSE)="",$FC$4,(VLOOKUP(CG20,SectInfo!$B:$N,8,FALSE))))</f>
        <v>5</v>
      </c>
      <c r="CJ60" s="1306">
        <f>IF(CG20="","",VLOOKUP(CG20,SectInfo!$B:$N,9,FALSE))</f>
        <v>8</v>
      </c>
      <c r="CK60" s="1307">
        <f t="shared" si="101"/>
        <v>0</v>
      </c>
      <c r="CL60" s="1305" t="str">
        <f>IF(CQ20="","",VLOOKUP(CQ20,SectInfo!$B:$N,12,FALSE))</f>
        <v>C</v>
      </c>
      <c r="CM60" s="1306">
        <f>IF(ISBLANK(CX20),IF(CQ20="","",VLOOKUP(CQ20,SectInfo!$B:$N,13,FALSE)),CX20)</f>
        <v>-8.375</v>
      </c>
      <c r="CN60" s="1306" t="str">
        <f>IF(CQ20="","",IF(VLOOKUP(CQ20,SectInfo!$B:$N,5,FALSE)="","R",UPPER(VLOOKUP(CQ20,SectInfo!$B:$N,5,FALSE))))</f>
        <v>R</v>
      </c>
      <c r="CO60" s="1306">
        <f>IF(ISBLANK(CZ20),IF(CQ20="","",VLOOKUP(CQ20,SectInfo!$B:$N,6,FALSE)),CZ20)</f>
        <v>7.5</v>
      </c>
      <c r="CP60" s="1306">
        <f>IF(CQ20="","",IF(VLOOKUP(CQ20,SectInfo!$B:$N,10,FALSE)="","",(VLOOKUP(CQ20,SectInfo!$B:$N,10,FALSE)*-1)))</f>
        <v>-9.375</v>
      </c>
      <c r="CQ60" s="1306">
        <f>IF(CQ20="","",IF(VLOOKUP(CQ20,SectInfo!$B:$N,7,FALSE)="","",(VLOOKUP(CQ20,SectInfo!$B:$N,7,FALSE)*-1)))</f>
        <v>-9.875</v>
      </c>
      <c r="CR60" s="1306">
        <f>IF(CQ20="","",IF(VLOOKUP(CQ20,SectInfo!$B:$N,8,FALSE)="",$FC$4,(VLOOKUP(CQ20,SectInfo!$B:$N,8,FALSE))))</f>
        <v>5</v>
      </c>
      <c r="CS60" s="1306">
        <f>IF(CQ20="","",VLOOKUP(CQ20,SectInfo!$B:$N,9,FALSE))</f>
        <v>13.375</v>
      </c>
      <c r="CT60" s="1307">
        <f t="shared" si="102"/>
        <v>0</v>
      </c>
      <c r="CU60" s="1317">
        <f t="shared" si="103"/>
        <v>0</v>
      </c>
      <c r="CV60" s="1311">
        <f t="shared" si="104"/>
        <v>615.375</v>
      </c>
      <c r="CW60" s="1311">
        <f t="shared" si="105"/>
        <v>7.5</v>
      </c>
      <c r="CX60" s="1311">
        <f t="shared" si="106"/>
        <v>7.5</v>
      </c>
      <c r="CY60" s="1313">
        <f t="shared" si="107"/>
        <v>0</v>
      </c>
      <c r="CZ60" s="1313">
        <f t="shared" si="108"/>
        <v>8</v>
      </c>
      <c r="DA60" s="1313">
        <f t="shared" si="109"/>
        <v>8</v>
      </c>
      <c r="DB60" s="1311">
        <f t="shared" si="173"/>
        <v>7.75</v>
      </c>
      <c r="DC60" s="1311">
        <f t="shared" si="110"/>
        <v>1.75</v>
      </c>
      <c r="DD60" s="875">
        <f t="shared" si="174"/>
        <v>1.75</v>
      </c>
      <c r="DE60" s="873">
        <f t="shared" si="111"/>
        <v>0</v>
      </c>
      <c r="DF60" s="874">
        <f t="shared" si="112"/>
        <v>13.375</v>
      </c>
      <c r="DG60" s="874">
        <f t="shared" si="113"/>
        <v>13.375</v>
      </c>
      <c r="DH60" s="1311">
        <f t="shared" si="175"/>
        <v>5</v>
      </c>
      <c r="DI60" s="1311">
        <f t="shared" si="114"/>
        <v>0</v>
      </c>
      <c r="DJ60" s="1312">
        <f t="shared" si="176"/>
        <v>0</v>
      </c>
      <c r="DK60" s="1311">
        <f t="shared" si="115"/>
        <v>613.625</v>
      </c>
      <c r="DL60" s="1311">
        <f t="shared" si="116"/>
        <v>-6.5</v>
      </c>
      <c r="DM60" s="1311">
        <f t="shared" si="117"/>
        <v>6.25</v>
      </c>
      <c r="DN60" s="1311">
        <f t="shared" si="118"/>
        <v>6.25</v>
      </c>
      <c r="DO60" s="889">
        <f t="shared" si="119"/>
        <v>6.25</v>
      </c>
      <c r="DP60" s="889">
        <f t="shared" si="120"/>
        <v>6.25</v>
      </c>
      <c r="DQ60" s="1311">
        <f t="shared" si="121"/>
        <v>6.25</v>
      </c>
      <c r="DR60" s="1311">
        <f t="shared" si="121"/>
        <v>6.25</v>
      </c>
      <c r="DS60" s="1311">
        <f t="shared" si="122"/>
        <v>-9.875</v>
      </c>
      <c r="DT60" s="1311">
        <f t="shared" si="123"/>
        <v>1.5</v>
      </c>
      <c r="DU60" s="1311">
        <f t="shared" si="124"/>
        <v>1.5</v>
      </c>
      <c r="DV60" s="889">
        <f t="shared" si="125"/>
        <v>1.5</v>
      </c>
      <c r="DW60" s="889">
        <f t="shared" si="126"/>
        <v>1.5</v>
      </c>
      <c r="DX60" s="873">
        <f t="shared" si="127"/>
        <v>1.5</v>
      </c>
      <c r="DY60" s="873">
        <f t="shared" si="127"/>
        <v>1.5</v>
      </c>
      <c r="DZ60" s="873">
        <f t="shared" si="128"/>
        <v>6.75</v>
      </c>
      <c r="EA60" s="873">
        <f t="shared" si="129"/>
        <v>1</v>
      </c>
      <c r="EB60" s="876">
        <f t="shared" si="130"/>
        <v>5</v>
      </c>
      <c r="EC60" s="877">
        <f t="shared" si="131"/>
        <v>5</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f t="shared" si="143"/>
        <v>0</v>
      </c>
      <c r="EP60" s="874">
        <f t="shared" si="144"/>
        <v>0</v>
      </c>
      <c r="EQ60" s="874">
        <f t="shared" si="145"/>
        <v>0</v>
      </c>
      <c r="ER60" s="874">
        <f t="shared" si="146"/>
        <v>0</v>
      </c>
      <c r="ES60" s="874" t="str">
        <f t="shared" si="147"/>
        <v/>
      </c>
      <c r="ET60" s="873">
        <f t="shared" si="148"/>
        <v>0</v>
      </c>
      <c r="EU60" s="873">
        <f t="shared" si="149"/>
        <v>0</v>
      </c>
      <c r="EV60" s="876">
        <f t="shared" si="150"/>
        <v>6</v>
      </c>
      <c r="EW60" s="876">
        <f t="shared" si="151"/>
        <v>5</v>
      </c>
      <c r="EX60" s="878" t="str">
        <f t="shared" si="152"/>
        <v>ERR</v>
      </c>
      <c r="EY60" s="879" t="e">
        <f t="shared" si="153"/>
        <v>#VALUE!</v>
      </c>
      <c r="EZ60" s="959">
        <f t="shared" si="154"/>
        <v>8064.7542857142862</v>
      </c>
      <c r="FA60" s="960">
        <f t="shared" si="155"/>
        <v>6989.4537142857134</v>
      </c>
      <c r="FB60" s="880">
        <f t="shared" si="156"/>
        <v>0</v>
      </c>
      <c r="FC60" s="881">
        <f t="shared" si="157"/>
        <v>0</v>
      </c>
      <c r="FD60" s="890">
        <f t="shared" si="158"/>
        <v>1.75</v>
      </c>
      <c r="FE60" s="833">
        <f t="shared" si="159"/>
        <v>0</v>
      </c>
      <c r="FF60" s="754" t="b">
        <f t="shared" si="160"/>
        <v>0</v>
      </c>
      <c r="FG60" s="754" t="b">
        <f t="shared" si="161"/>
        <v>0</v>
      </c>
      <c r="FH60" s="754" t="b">
        <f t="shared" si="162"/>
        <v>0</v>
      </c>
      <c r="FI60" s="754" t="b">
        <f t="shared" si="163"/>
        <v>0</v>
      </c>
      <c r="FJ60" s="920" t="str">
        <f t="shared" si="177"/>
        <v/>
      </c>
      <c r="FK60" s="919" t="str">
        <f t="shared" si="178"/>
        <v>G23</v>
      </c>
      <c r="FL60" s="320">
        <f t="shared" si="179"/>
        <v>613.625</v>
      </c>
      <c r="FM60" s="312" t="str">
        <f t="shared" si="164"/>
        <v/>
      </c>
      <c r="FN60" s="272">
        <f t="shared" ca="1" si="180"/>
        <v>96</v>
      </c>
      <c r="FO60" s="273">
        <f t="shared" ca="1" si="181"/>
        <v>5</v>
      </c>
      <c r="FP60" s="274">
        <f t="shared" ca="1" si="182"/>
        <v>96</v>
      </c>
      <c r="FQ60" s="274">
        <f t="shared" ca="1" si="183"/>
        <v>48</v>
      </c>
      <c r="FR60" s="321">
        <f t="shared" ca="1" si="184"/>
        <v>0</v>
      </c>
      <c r="FS60" s="322">
        <f t="shared" ca="1" si="185"/>
        <v>624</v>
      </c>
      <c r="FT60" s="272">
        <f t="shared" ca="1" si="186"/>
        <v>613.625</v>
      </c>
      <c r="FU60" s="275">
        <f t="shared" ca="1" si="187"/>
        <v>1</v>
      </c>
      <c r="FV60" s="323">
        <f t="shared" ca="1" si="165"/>
        <v>94</v>
      </c>
      <c r="FW60" s="276">
        <f t="shared" ca="1" si="188"/>
        <v>94</v>
      </c>
      <c r="FX60" s="276">
        <f t="shared" ca="1" si="189"/>
        <v>96</v>
      </c>
      <c r="FY60" s="276">
        <f t="shared" ca="1" si="190"/>
        <v>39.625</v>
      </c>
      <c r="FZ60" s="276">
        <f t="shared" ca="1" si="191"/>
        <v>39.625</v>
      </c>
      <c r="GA60" s="276">
        <f t="shared" ca="1" si="192"/>
        <v>613.625</v>
      </c>
      <c r="GB60" s="277">
        <f ca="1">IF(FY60="","",2+SUM(FO60:OFFSET(FO60,(FU60-1)*-1,0)))</f>
        <v>7</v>
      </c>
      <c r="GC60" s="316">
        <f t="shared" si="193"/>
        <v>-0.25</v>
      </c>
      <c r="GD60" s="324">
        <f t="shared" si="166"/>
        <v>1.75</v>
      </c>
      <c r="GE60" s="325" t="str">
        <f t="shared" si="167"/>
        <v/>
      </c>
      <c r="GF60" s="278">
        <f t="shared" si="168"/>
        <v>12</v>
      </c>
      <c r="GG60" s="279" t="str">
        <f t="shared" si="169"/>
        <v/>
      </c>
      <c r="GH60" s="279" t="str">
        <f t="shared" si="170"/>
        <v/>
      </c>
      <c r="GI60" s="280" t="str">
        <f t="shared" si="171"/>
        <v/>
      </c>
      <c r="GJ60" s="530">
        <f t="shared" ca="1" si="172"/>
        <v>0</v>
      </c>
      <c r="GK60" s="895" t="str">
        <f t="shared" ca="1" si="194"/>
        <v>B</v>
      </c>
    </row>
    <row r="61" spans="1:193" ht="12.6" hidden="1" customHeight="1" x14ac:dyDescent="0.2">
      <c r="A61" s="894" t="s">
        <v>1848</v>
      </c>
      <c r="BZ61" s="293"/>
      <c r="CA61" s="293"/>
      <c r="CB61" s="365" t="str">
        <f t="shared" si="100"/>
        <v>G24</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-7</v>
      </c>
      <c r="CH61" s="1306">
        <f>IF(CG21="","",IF(VLOOKUP(CG21,SectInfo!$B:$N,7,FALSE)="","",(VLOOKUP(CG21,SectInfo!$B:$N,7,FALSE)*-1)))</f>
        <v>-6.5</v>
      </c>
      <c r="CI61" s="1306">
        <f>IF(CG21="","",IF(VLOOKUP(CG21,SectInfo!$B:$N,8,FALSE)="",$FC$4,(VLOOKUP(CG21,SectInfo!$B:$N,8,FALSE))))</f>
        <v>5</v>
      </c>
      <c r="CJ61" s="1306">
        <f>IF(CG21="","",VLOOKUP(CG21,SectInfo!$B:$N,9,FALSE))</f>
        <v>8</v>
      </c>
      <c r="CK61" s="1307">
        <f t="shared" si="101"/>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-7</v>
      </c>
      <c r="CQ61" s="1306">
        <f>IF(CQ21="","",IF(VLOOKUP(CQ21,SectInfo!$B:$N,7,FALSE)="","",(VLOOKUP(CQ21,SectInfo!$B:$N,7,FALSE)*-1)))</f>
        <v>-6.5</v>
      </c>
      <c r="CR61" s="1306">
        <f>IF(CQ21="","",IF(VLOOKUP(CQ21,SectInfo!$B:$N,8,FALSE)="",$FC$4,(VLOOKUP(CQ21,SectInfo!$B:$N,8,FALSE))))</f>
        <v>5</v>
      </c>
      <c r="CS61" s="1306">
        <f>IF(CQ21="","",VLOOKUP(CQ21,SectInfo!$B:$N,9,FALSE))</f>
        <v>8</v>
      </c>
      <c r="CT61" s="1307">
        <f t="shared" si="102"/>
        <v>0</v>
      </c>
      <c r="CU61" s="1317">
        <f t="shared" si="103"/>
        <v>0</v>
      </c>
      <c r="CV61" s="1311">
        <f t="shared" si="104"/>
        <v>623.5</v>
      </c>
      <c r="CW61" s="1311">
        <f t="shared" si="105"/>
        <v>7.5</v>
      </c>
      <c r="CX61" s="1311">
        <f t="shared" si="106"/>
        <v>7.5</v>
      </c>
      <c r="CY61" s="1313">
        <f t="shared" si="107"/>
        <v>0</v>
      </c>
      <c r="CZ61" s="1313">
        <f t="shared" si="108"/>
        <v>8</v>
      </c>
      <c r="DA61" s="1313">
        <f t="shared" si="109"/>
        <v>8</v>
      </c>
      <c r="DB61" s="1311">
        <f t="shared" si="173"/>
        <v>7.75</v>
      </c>
      <c r="DC61" s="1311">
        <f t="shared" si="110"/>
        <v>1.75</v>
      </c>
      <c r="DD61" s="875">
        <f t="shared" si="174"/>
        <v>1.75</v>
      </c>
      <c r="DE61" s="873">
        <f t="shared" si="111"/>
        <v>0</v>
      </c>
      <c r="DF61" s="874">
        <f t="shared" si="112"/>
        <v>8</v>
      </c>
      <c r="DG61" s="874">
        <f t="shared" si="113"/>
        <v>8</v>
      </c>
      <c r="DH61" s="1311">
        <f t="shared" si="175"/>
        <v>7.75</v>
      </c>
      <c r="DI61" s="1311">
        <f t="shared" si="114"/>
        <v>1.75</v>
      </c>
      <c r="DJ61" s="1312">
        <f t="shared" si="176"/>
        <v>1.75</v>
      </c>
      <c r="DK61" s="1311">
        <f t="shared" si="115"/>
        <v>620</v>
      </c>
      <c r="DL61" s="1311">
        <f t="shared" si="116"/>
        <v>-6.5</v>
      </c>
      <c r="DM61" s="1311">
        <f t="shared" si="117"/>
        <v>6.25</v>
      </c>
      <c r="DN61" s="1311">
        <f t="shared" si="118"/>
        <v>6.25</v>
      </c>
      <c r="DO61" s="889">
        <f t="shared" si="119"/>
        <v>6.25</v>
      </c>
      <c r="DP61" s="889">
        <f t="shared" si="120"/>
        <v>6.25</v>
      </c>
      <c r="DQ61" s="1311">
        <f t="shared" si="121"/>
        <v>6.25</v>
      </c>
      <c r="DR61" s="1311">
        <f t="shared" si="121"/>
        <v>6.25</v>
      </c>
      <c r="DS61" s="1311">
        <f t="shared" si="122"/>
        <v>-6.5</v>
      </c>
      <c r="DT61" s="1311">
        <f t="shared" si="123"/>
        <v>6.25</v>
      </c>
      <c r="DU61" s="1311">
        <f t="shared" si="124"/>
        <v>6.25</v>
      </c>
      <c r="DV61" s="889">
        <f t="shared" si="125"/>
        <v>6.25</v>
      </c>
      <c r="DW61" s="889">
        <f t="shared" si="126"/>
        <v>6.25</v>
      </c>
      <c r="DX61" s="873">
        <f t="shared" si="127"/>
        <v>6.25</v>
      </c>
      <c r="DY61" s="873">
        <f t="shared" si="127"/>
        <v>6.25</v>
      </c>
      <c r="DZ61" s="873">
        <f t="shared" si="128"/>
        <v>6.75</v>
      </c>
      <c r="EA61" s="873">
        <f t="shared" si="129"/>
        <v>6.75</v>
      </c>
      <c r="EB61" s="876">
        <f t="shared" si="130"/>
        <v>5</v>
      </c>
      <c r="EC61" s="877">
        <f t="shared" si="131"/>
        <v>5</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f t="shared" si="143"/>
        <v>0</v>
      </c>
      <c r="EP61" s="874">
        <f t="shared" si="144"/>
        <v>0</v>
      </c>
      <c r="EQ61" s="874">
        <f t="shared" si="145"/>
        <v>0</v>
      </c>
      <c r="ER61" s="874">
        <f t="shared" si="146"/>
        <v>0</v>
      </c>
      <c r="ES61" s="874" t="str">
        <f t="shared" si="147"/>
        <v/>
      </c>
      <c r="ET61" s="873">
        <f t="shared" si="148"/>
        <v>0</v>
      </c>
      <c r="EU61" s="873">
        <f t="shared" si="149"/>
        <v>0</v>
      </c>
      <c r="EV61" s="876">
        <f t="shared" si="150"/>
        <v>6</v>
      </c>
      <c r="EW61" s="876">
        <f t="shared" si="151"/>
        <v>6</v>
      </c>
      <c r="EX61" s="878" t="str">
        <f t="shared" si="152"/>
        <v>ERR</v>
      </c>
      <c r="EY61" s="879" t="e">
        <f t="shared" si="153"/>
        <v>#VALUE!</v>
      </c>
      <c r="EZ61" s="959">
        <f t="shared" si="154"/>
        <v>8064.7542857142862</v>
      </c>
      <c r="FA61" s="960">
        <f t="shared" si="155"/>
        <v>6989.4537142857134</v>
      </c>
      <c r="FB61" s="880">
        <f t="shared" si="156"/>
        <v>0</v>
      </c>
      <c r="FC61" s="881">
        <f t="shared" si="157"/>
        <v>0</v>
      </c>
      <c r="FD61" s="890">
        <f t="shared" si="158"/>
        <v>1.75</v>
      </c>
      <c r="FE61" s="833">
        <f t="shared" si="159"/>
        <v>1.75</v>
      </c>
      <c r="FF61" s="754" t="b">
        <f t="shared" si="160"/>
        <v>0</v>
      </c>
      <c r="FG61" s="754" t="b">
        <f t="shared" si="161"/>
        <v>0</v>
      </c>
      <c r="FH61" s="754" t="b">
        <f t="shared" si="162"/>
        <v>0</v>
      </c>
      <c r="FI61" s="754" t="b">
        <f t="shared" si="163"/>
        <v>0</v>
      </c>
      <c r="FJ61" s="920" t="str">
        <f t="shared" si="177"/>
        <v/>
      </c>
      <c r="FK61" s="919" t="str">
        <f t="shared" si="178"/>
        <v>G24</v>
      </c>
      <c r="FL61" s="320">
        <f t="shared" si="179"/>
        <v>620</v>
      </c>
      <c r="FM61" s="312" t="str">
        <f t="shared" si="164"/>
        <v/>
      </c>
      <c r="FN61" s="272">
        <f t="shared" ca="1" si="180"/>
        <v>48</v>
      </c>
      <c r="FO61" s="273">
        <f t="shared" ca="1" si="181"/>
        <v>5</v>
      </c>
      <c r="FP61" s="274">
        <f t="shared" ca="1" si="182"/>
        <v>96</v>
      </c>
      <c r="FQ61" s="274">
        <f t="shared" ca="1" si="183"/>
        <v>96</v>
      </c>
      <c r="FR61" s="321">
        <f t="shared" ca="1" si="184"/>
        <v>0</v>
      </c>
      <c r="FS61" s="322">
        <f t="shared" ca="1" si="185"/>
        <v>624</v>
      </c>
      <c r="FT61" s="272">
        <f t="shared" ca="1" si="186"/>
        <v>620</v>
      </c>
      <c r="FU61" s="275">
        <f t="shared" ca="1" si="187"/>
        <v>1</v>
      </c>
      <c r="FV61" s="323">
        <f t="shared" ca="1" si="165"/>
        <v>46</v>
      </c>
      <c r="FW61" s="276">
        <f t="shared" ca="1" si="188"/>
        <v>46</v>
      </c>
      <c r="FX61" s="276">
        <f t="shared" ca="1" si="189"/>
        <v>96</v>
      </c>
      <c r="FY61" s="276">
        <f t="shared" ca="1" si="190"/>
        <v>94</v>
      </c>
      <c r="FZ61" s="276">
        <f t="shared" ca="1" si="191"/>
        <v>94</v>
      </c>
      <c r="GA61" s="276">
        <f t="shared" ca="1" si="192"/>
        <v>620</v>
      </c>
      <c r="GB61" s="277">
        <f ca="1">IF(FY61="","",2+SUM(FO61:OFFSET(FO61,(FU61-1)*-1,0)))</f>
        <v>7</v>
      </c>
      <c r="GC61" s="316">
        <f t="shared" si="193"/>
        <v>-0.25</v>
      </c>
      <c r="GD61" s="324" t="str">
        <f t="shared" si="166"/>
        <v/>
      </c>
      <c r="GE61" s="325">
        <f t="shared" si="167"/>
        <v>1.75</v>
      </c>
      <c r="GF61" s="278" t="str">
        <f t="shared" si="168"/>
        <v>#1</v>
      </c>
      <c r="GG61" s="279">
        <f t="shared" si="169"/>
        <v>612</v>
      </c>
      <c r="GH61" s="279" t="str">
        <f t="shared" si="170"/>
        <v/>
      </c>
      <c r="GI61" s="280" t="str">
        <f t="shared" si="171"/>
        <v/>
      </c>
      <c r="GJ61" s="530">
        <f t="shared" ca="1" si="172"/>
        <v>0</v>
      </c>
      <c r="GK61" s="895" t="str">
        <f t="shared" ca="1" si="194"/>
        <v>A</v>
      </c>
    </row>
    <row r="62" spans="1:193" ht="12.6" hidden="1" customHeight="1" x14ac:dyDescent="0.2">
      <c r="BZ62" s="293"/>
      <c r="CA62" s="293"/>
      <c r="CB62" s="365" t="str">
        <f t="shared" si="100"/>
        <v>G25</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-7</v>
      </c>
      <c r="CH62" s="1306">
        <f>IF(CG22="","",IF(VLOOKUP(CG22,SectInfo!$B:$N,7,FALSE)="","",(VLOOKUP(CG22,SectInfo!$B:$N,7,FALSE)*-1)))</f>
        <v>-6.5</v>
      </c>
      <c r="CI62" s="1306">
        <f>IF(CG22="","",IF(VLOOKUP(CG22,SectInfo!$B:$N,8,FALSE)="",$FC$4,(VLOOKUP(CG22,SectInfo!$B:$N,8,FALSE))))</f>
        <v>5</v>
      </c>
      <c r="CJ62" s="1306">
        <f>IF(CG22="","",VLOOKUP(CG22,SectInfo!$B:$N,9,FALSE))</f>
        <v>8</v>
      </c>
      <c r="CK62" s="1307">
        <f t="shared" si="101"/>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-7</v>
      </c>
      <c r="CQ62" s="1306">
        <f>IF(CQ22="","",IF(VLOOKUP(CQ22,SectInfo!$B:$N,7,FALSE)="","",(VLOOKUP(CQ22,SectInfo!$B:$N,7,FALSE)*-1)))</f>
        <v>-6.5</v>
      </c>
      <c r="CR62" s="1306">
        <f>IF(CQ22="","",IF(VLOOKUP(CQ22,SectInfo!$B:$N,8,FALSE)="",$FC$4,(VLOOKUP(CQ22,SectInfo!$B:$N,8,FALSE))))</f>
        <v>5</v>
      </c>
      <c r="CS62" s="1306">
        <f>IF(CQ22="","",VLOOKUP(CQ22,SectInfo!$B:$N,9,FALSE))</f>
        <v>8</v>
      </c>
      <c r="CT62" s="1307">
        <f t="shared" si="102"/>
        <v>0</v>
      </c>
      <c r="CU62" s="1317">
        <f t="shared" si="103"/>
        <v>0</v>
      </c>
      <c r="CV62" s="1311">
        <f t="shared" si="104"/>
        <v>623.5</v>
      </c>
      <c r="CW62" s="1311">
        <f t="shared" si="105"/>
        <v>7.5</v>
      </c>
      <c r="CX62" s="1311">
        <f t="shared" si="106"/>
        <v>7.5</v>
      </c>
      <c r="CY62" s="1313">
        <f t="shared" si="107"/>
        <v>0</v>
      </c>
      <c r="CZ62" s="1313">
        <f t="shared" si="108"/>
        <v>8</v>
      </c>
      <c r="DA62" s="1313">
        <f t="shared" si="109"/>
        <v>8</v>
      </c>
      <c r="DB62" s="1311">
        <f t="shared" si="173"/>
        <v>7.75</v>
      </c>
      <c r="DC62" s="1311">
        <f t="shared" si="110"/>
        <v>1.75</v>
      </c>
      <c r="DD62" s="875">
        <f t="shared" si="174"/>
        <v>1.75</v>
      </c>
      <c r="DE62" s="873">
        <f t="shared" si="111"/>
        <v>0</v>
      </c>
      <c r="DF62" s="874">
        <f t="shared" si="112"/>
        <v>8</v>
      </c>
      <c r="DG62" s="874">
        <f t="shared" si="113"/>
        <v>8</v>
      </c>
      <c r="DH62" s="1311">
        <f t="shared" si="175"/>
        <v>7.75</v>
      </c>
      <c r="DI62" s="1311">
        <f t="shared" si="114"/>
        <v>1.75</v>
      </c>
      <c r="DJ62" s="1312">
        <f t="shared" si="176"/>
        <v>1.75</v>
      </c>
      <c r="DK62" s="1311">
        <f t="shared" si="115"/>
        <v>620</v>
      </c>
      <c r="DL62" s="1311">
        <f t="shared" si="116"/>
        <v>-6.5</v>
      </c>
      <c r="DM62" s="1311">
        <f t="shared" si="117"/>
        <v>6.25</v>
      </c>
      <c r="DN62" s="1311">
        <f t="shared" si="118"/>
        <v>6.25</v>
      </c>
      <c r="DO62" s="889">
        <f t="shared" si="119"/>
        <v>6.25</v>
      </c>
      <c r="DP62" s="889">
        <f t="shared" si="120"/>
        <v>6.25</v>
      </c>
      <c r="DQ62" s="1311">
        <f t="shared" si="121"/>
        <v>6.25</v>
      </c>
      <c r="DR62" s="1311">
        <f t="shared" si="121"/>
        <v>6.25</v>
      </c>
      <c r="DS62" s="1311">
        <f t="shared" si="122"/>
        <v>-6.5</v>
      </c>
      <c r="DT62" s="1311">
        <f t="shared" si="123"/>
        <v>6.25</v>
      </c>
      <c r="DU62" s="1311">
        <f t="shared" si="124"/>
        <v>6.25</v>
      </c>
      <c r="DV62" s="889">
        <f t="shared" si="125"/>
        <v>6.25</v>
      </c>
      <c r="DW62" s="889">
        <f t="shared" si="126"/>
        <v>6.25</v>
      </c>
      <c r="DX62" s="873">
        <f t="shared" si="127"/>
        <v>6.25</v>
      </c>
      <c r="DY62" s="873">
        <f t="shared" si="127"/>
        <v>6.25</v>
      </c>
      <c r="DZ62" s="873">
        <f t="shared" si="128"/>
        <v>6.75</v>
      </c>
      <c r="EA62" s="873">
        <f t="shared" si="129"/>
        <v>6.75</v>
      </c>
      <c r="EB62" s="876">
        <f t="shared" si="130"/>
        <v>5</v>
      </c>
      <c r="EC62" s="877">
        <f t="shared" si="131"/>
        <v>5</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f t="shared" si="143"/>
        <v>0</v>
      </c>
      <c r="EP62" s="874">
        <f t="shared" si="144"/>
        <v>0</v>
      </c>
      <c r="EQ62" s="874">
        <f t="shared" si="145"/>
        <v>0</v>
      </c>
      <c r="ER62" s="874">
        <f t="shared" si="146"/>
        <v>0</v>
      </c>
      <c r="ES62" s="874" t="str">
        <f t="shared" si="147"/>
        <v/>
      </c>
      <c r="ET62" s="873">
        <f t="shared" si="148"/>
        <v>0</v>
      </c>
      <c r="EU62" s="873">
        <f t="shared" si="149"/>
        <v>0</v>
      </c>
      <c r="EV62" s="876">
        <f t="shared" si="150"/>
        <v>6</v>
      </c>
      <c r="EW62" s="876">
        <f t="shared" si="151"/>
        <v>6</v>
      </c>
      <c r="EX62" s="878" t="str">
        <f t="shared" si="152"/>
        <v>ERR</v>
      </c>
      <c r="EY62" s="879" t="e">
        <f t="shared" si="153"/>
        <v>#VALUE!</v>
      </c>
      <c r="EZ62" s="959">
        <f t="shared" si="154"/>
        <v>8064.7542857142862</v>
      </c>
      <c r="FA62" s="960">
        <f t="shared" si="155"/>
        <v>6989.4537142857134</v>
      </c>
      <c r="FB62" s="880">
        <f t="shared" si="156"/>
        <v>0</v>
      </c>
      <c r="FC62" s="881">
        <f t="shared" si="157"/>
        <v>0</v>
      </c>
      <c r="FD62" s="890">
        <f t="shared" si="158"/>
        <v>1.75</v>
      </c>
      <c r="FE62" s="833">
        <f t="shared" si="159"/>
        <v>1.75</v>
      </c>
      <c r="FF62" s="754" t="b">
        <f t="shared" si="160"/>
        <v>0</v>
      </c>
      <c r="FG62" s="754" t="b">
        <f t="shared" si="161"/>
        <v>0</v>
      </c>
      <c r="FH62" s="754" t="b">
        <f t="shared" si="162"/>
        <v>0</v>
      </c>
      <c r="FI62" s="754" t="b">
        <f t="shared" si="163"/>
        <v>0</v>
      </c>
      <c r="FJ62" s="920" t="str">
        <f t="shared" si="177"/>
        <v/>
      </c>
      <c r="FK62" s="919" t="str">
        <f t="shared" si="178"/>
        <v>G25</v>
      </c>
      <c r="FL62" s="320">
        <f t="shared" si="179"/>
        <v>620</v>
      </c>
      <c r="FM62" s="312" t="str">
        <f t="shared" si="164"/>
        <v/>
      </c>
      <c r="FN62" s="272">
        <f t="shared" ca="1" si="180"/>
        <v>96</v>
      </c>
      <c r="FO62" s="273">
        <f t="shared" ca="1" si="181"/>
        <v>5</v>
      </c>
      <c r="FP62" s="274">
        <f t="shared" ca="1" si="182"/>
        <v>96</v>
      </c>
      <c r="FQ62" s="274">
        <f t="shared" ca="1" si="183"/>
        <v>48</v>
      </c>
      <c r="FR62" s="321">
        <f t="shared" ca="1" si="184"/>
        <v>0</v>
      </c>
      <c r="FS62" s="322">
        <f t="shared" ca="1" si="185"/>
        <v>624</v>
      </c>
      <c r="FT62" s="272">
        <f t="shared" ca="1" si="186"/>
        <v>620</v>
      </c>
      <c r="FU62" s="275">
        <f t="shared" ca="1" si="187"/>
        <v>1</v>
      </c>
      <c r="FV62" s="323">
        <f t="shared" ca="1" si="165"/>
        <v>94</v>
      </c>
      <c r="FW62" s="276">
        <f t="shared" ca="1" si="188"/>
        <v>94</v>
      </c>
      <c r="FX62" s="276">
        <f t="shared" ca="1" si="189"/>
        <v>96</v>
      </c>
      <c r="FY62" s="276">
        <f t="shared" ca="1" si="190"/>
        <v>46</v>
      </c>
      <c r="FZ62" s="276">
        <f t="shared" ca="1" si="191"/>
        <v>46</v>
      </c>
      <c r="GA62" s="276">
        <f t="shared" ca="1" si="192"/>
        <v>620</v>
      </c>
      <c r="GB62" s="277">
        <f ca="1">IF(FY62="","",2+SUM(FO62:OFFSET(FO62,(FU62-1)*-1,0)))</f>
        <v>7</v>
      </c>
      <c r="GC62" s="316">
        <f t="shared" si="193"/>
        <v>-0.25</v>
      </c>
      <c r="GD62" s="324">
        <f t="shared" si="166"/>
        <v>1.75</v>
      </c>
      <c r="GE62" s="325" t="str">
        <f t="shared" si="167"/>
        <v/>
      </c>
      <c r="GF62" s="278" t="str">
        <f t="shared" si="168"/>
        <v>#6</v>
      </c>
      <c r="GG62" s="279">
        <f t="shared" si="169"/>
        <v>12</v>
      </c>
      <c r="GH62" s="279" t="str">
        <f t="shared" si="170"/>
        <v/>
      </c>
      <c r="GI62" s="280" t="str">
        <f t="shared" si="171"/>
        <v/>
      </c>
      <c r="GJ62" s="530">
        <f t="shared" ca="1" si="172"/>
        <v>0</v>
      </c>
      <c r="GK62" s="895" t="str">
        <f t="shared" ca="1" si="194"/>
        <v>B</v>
      </c>
    </row>
    <row r="63" spans="1:193" ht="12.6" hidden="1" customHeight="1" x14ac:dyDescent="0.2">
      <c r="BZ63" s="293"/>
      <c r="CA63" s="293"/>
      <c r="CB63" s="365" t="str">
        <f t="shared" si="100"/>
        <v>G26</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-7</v>
      </c>
      <c r="CH63" s="1306">
        <f>IF(CG23="","",IF(VLOOKUP(CG23,SectInfo!$B:$N,7,FALSE)="","",(VLOOKUP(CG23,SectInfo!$B:$N,7,FALSE)*-1)))</f>
        <v>-6.5</v>
      </c>
      <c r="CI63" s="1306">
        <f>IF(CG23="","",IF(VLOOKUP(CG23,SectInfo!$B:$N,8,FALSE)="",$FC$4,(VLOOKUP(CG23,SectInfo!$B:$N,8,FALSE))))</f>
        <v>5</v>
      </c>
      <c r="CJ63" s="1306">
        <f>IF(CG23="","",VLOOKUP(CG23,SectInfo!$B:$N,9,FALSE))</f>
        <v>8</v>
      </c>
      <c r="CK63" s="1307">
        <f t="shared" si="101"/>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-7</v>
      </c>
      <c r="CQ63" s="1306">
        <f>IF(CQ23="","",IF(VLOOKUP(CQ23,SectInfo!$B:$N,7,FALSE)="","",(VLOOKUP(CQ23,SectInfo!$B:$N,7,FALSE)*-1)))</f>
        <v>-6.5</v>
      </c>
      <c r="CR63" s="1306">
        <f>IF(CQ23="","",IF(VLOOKUP(CQ23,SectInfo!$B:$N,8,FALSE)="",$FC$4,(VLOOKUP(CQ23,SectInfo!$B:$N,8,FALSE))))</f>
        <v>5</v>
      </c>
      <c r="CS63" s="1306">
        <f>IF(CQ23="","",VLOOKUP(CQ23,SectInfo!$B:$N,9,FALSE))</f>
        <v>8</v>
      </c>
      <c r="CT63" s="1307">
        <f t="shared" si="102"/>
        <v>0</v>
      </c>
      <c r="CU63" s="1317">
        <f t="shared" si="103"/>
        <v>0</v>
      </c>
      <c r="CV63" s="1311">
        <f t="shared" si="104"/>
        <v>623.5</v>
      </c>
      <c r="CW63" s="1311">
        <f t="shared" si="105"/>
        <v>7.5</v>
      </c>
      <c r="CX63" s="1311">
        <f t="shared" si="106"/>
        <v>7.5</v>
      </c>
      <c r="CY63" s="1313">
        <f t="shared" si="107"/>
        <v>0</v>
      </c>
      <c r="CZ63" s="1313">
        <f t="shared" si="108"/>
        <v>8</v>
      </c>
      <c r="DA63" s="1313">
        <f t="shared" si="109"/>
        <v>8</v>
      </c>
      <c r="DB63" s="1311">
        <f t="shared" si="173"/>
        <v>7.75</v>
      </c>
      <c r="DC63" s="1311">
        <f t="shared" si="110"/>
        <v>1.75</v>
      </c>
      <c r="DD63" s="875">
        <f t="shared" si="174"/>
        <v>1.75</v>
      </c>
      <c r="DE63" s="873">
        <f t="shared" si="111"/>
        <v>0</v>
      </c>
      <c r="DF63" s="874">
        <f t="shared" si="112"/>
        <v>8</v>
      </c>
      <c r="DG63" s="874">
        <f t="shared" si="113"/>
        <v>8</v>
      </c>
      <c r="DH63" s="1311">
        <f t="shared" si="175"/>
        <v>7.75</v>
      </c>
      <c r="DI63" s="1311">
        <f t="shared" si="114"/>
        <v>1.75</v>
      </c>
      <c r="DJ63" s="1312">
        <f t="shared" si="176"/>
        <v>1.75</v>
      </c>
      <c r="DK63" s="1311">
        <f t="shared" si="115"/>
        <v>620</v>
      </c>
      <c r="DL63" s="1311">
        <f t="shared" si="116"/>
        <v>-6.5</v>
      </c>
      <c r="DM63" s="1311">
        <f t="shared" si="117"/>
        <v>6.25</v>
      </c>
      <c r="DN63" s="1311">
        <f t="shared" si="118"/>
        <v>6.25</v>
      </c>
      <c r="DO63" s="889">
        <f t="shared" si="119"/>
        <v>6.25</v>
      </c>
      <c r="DP63" s="889">
        <f t="shared" si="120"/>
        <v>6.25</v>
      </c>
      <c r="DQ63" s="1311">
        <f t="shared" si="121"/>
        <v>6.25</v>
      </c>
      <c r="DR63" s="1311">
        <f t="shared" si="121"/>
        <v>6.25</v>
      </c>
      <c r="DS63" s="1311">
        <f t="shared" si="122"/>
        <v>-6.5</v>
      </c>
      <c r="DT63" s="1311">
        <f t="shared" si="123"/>
        <v>6.25</v>
      </c>
      <c r="DU63" s="1311">
        <f t="shared" si="124"/>
        <v>6.25</v>
      </c>
      <c r="DV63" s="889">
        <f t="shared" si="125"/>
        <v>6.25</v>
      </c>
      <c r="DW63" s="889">
        <f t="shared" si="126"/>
        <v>6.25</v>
      </c>
      <c r="DX63" s="873">
        <f t="shared" si="127"/>
        <v>6.25</v>
      </c>
      <c r="DY63" s="873">
        <f t="shared" si="127"/>
        <v>6.25</v>
      </c>
      <c r="DZ63" s="873">
        <f t="shared" si="128"/>
        <v>6.75</v>
      </c>
      <c r="EA63" s="873">
        <f t="shared" si="129"/>
        <v>6.75</v>
      </c>
      <c r="EB63" s="876">
        <f t="shared" si="130"/>
        <v>5</v>
      </c>
      <c r="EC63" s="877">
        <f t="shared" si="131"/>
        <v>5</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f t="shared" si="143"/>
        <v>0</v>
      </c>
      <c r="EP63" s="874">
        <f t="shared" si="144"/>
        <v>0</v>
      </c>
      <c r="EQ63" s="874">
        <f t="shared" si="145"/>
        <v>0</v>
      </c>
      <c r="ER63" s="874">
        <f t="shared" si="146"/>
        <v>0</v>
      </c>
      <c r="ES63" s="874" t="str">
        <f t="shared" si="147"/>
        <v/>
      </c>
      <c r="ET63" s="873">
        <f t="shared" si="148"/>
        <v>0</v>
      </c>
      <c r="EU63" s="873">
        <f t="shared" si="149"/>
        <v>0</v>
      </c>
      <c r="EV63" s="876">
        <f t="shared" si="150"/>
        <v>6</v>
      </c>
      <c r="EW63" s="876">
        <f t="shared" si="151"/>
        <v>6</v>
      </c>
      <c r="EX63" s="878" t="str">
        <f t="shared" si="152"/>
        <v>ERR</v>
      </c>
      <c r="EY63" s="879" t="e">
        <f t="shared" si="153"/>
        <v>#VALUE!</v>
      </c>
      <c r="EZ63" s="959">
        <f t="shared" si="154"/>
        <v>8064.7542857142862</v>
      </c>
      <c r="FA63" s="960">
        <f t="shared" si="155"/>
        <v>6989.4537142857134</v>
      </c>
      <c r="FB63" s="880">
        <f t="shared" si="156"/>
        <v>0</v>
      </c>
      <c r="FC63" s="881">
        <f t="shared" si="157"/>
        <v>0</v>
      </c>
      <c r="FD63" s="890">
        <f t="shared" si="158"/>
        <v>1.75</v>
      </c>
      <c r="FE63" s="833">
        <f t="shared" si="159"/>
        <v>1.75</v>
      </c>
      <c r="FF63" s="754" t="b">
        <f t="shared" si="160"/>
        <v>0</v>
      </c>
      <c r="FG63" s="754" t="b">
        <f t="shared" si="161"/>
        <v>0</v>
      </c>
      <c r="FH63" s="754" t="b">
        <f t="shared" si="162"/>
        <v>0</v>
      </c>
      <c r="FI63" s="754" t="b">
        <f t="shared" si="163"/>
        <v>0</v>
      </c>
      <c r="FJ63" s="920" t="str">
        <f t="shared" si="177"/>
        <v/>
      </c>
      <c r="FK63" s="919" t="str">
        <f t="shared" si="178"/>
        <v>G26</v>
      </c>
      <c r="FL63" s="320">
        <f t="shared" si="179"/>
        <v>620</v>
      </c>
      <c r="FM63" s="312" t="str">
        <f t="shared" si="164"/>
        <v/>
      </c>
      <c r="FN63" s="272">
        <f t="shared" ca="1" si="180"/>
        <v>48</v>
      </c>
      <c r="FO63" s="273">
        <f t="shared" ca="1" si="181"/>
        <v>5</v>
      </c>
      <c r="FP63" s="274">
        <f t="shared" ca="1" si="182"/>
        <v>96</v>
      </c>
      <c r="FQ63" s="274">
        <f t="shared" ca="1" si="183"/>
        <v>96</v>
      </c>
      <c r="FR63" s="321">
        <f t="shared" ca="1" si="184"/>
        <v>0</v>
      </c>
      <c r="FS63" s="322">
        <f t="shared" ca="1" si="185"/>
        <v>624</v>
      </c>
      <c r="FT63" s="272">
        <f t="shared" ca="1" si="186"/>
        <v>620</v>
      </c>
      <c r="FU63" s="275">
        <f t="shared" ca="1" si="187"/>
        <v>1</v>
      </c>
      <c r="FV63" s="323">
        <f t="shared" ca="1" si="165"/>
        <v>46</v>
      </c>
      <c r="FW63" s="276">
        <f t="shared" ca="1" si="188"/>
        <v>46</v>
      </c>
      <c r="FX63" s="276">
        <f t="shared" ca="1" si="189"/>
        <v>96</v>
      </c>
      <c r="FY63" s="276">
        <f t="shared" ca="1" si="190"/>
        <v>94</v>
      </c>
      <c r="FZ63" s="276">
        <f t="shared" ca="1" si="191"/>
        <v>94</v>
      </c>
      <c r="GA63" s="276">
        <f t="shared" ca="1" si="192"/>
        <v>620</v>
      </c>
      <c r="GB63" s="277">
        <f ca="1">IF(FY63="","",2+SUM(FO63:OFFSET(FO63,(FU63-1)*-1,0)))</f>
        <v>7</v>
      </c>
      <c r="GC63" s="316">
        <f t="shared" si="193"/>
        <v>-0.25</v>
      </c>
      <c r="GD63" s="324" t="str">
        <f t="shared" si="166"/>
        <v/>
      </c>
      <c r="GE63" s="325">
        <f t="shared" si="167"/>
        <v>1.75</v>
      </c>
      <c r="GF63" s="278" t="str">
        <f t="shared" si="168"/>
        <v>#1</v>
      </c>
      <c r="GG63" s="279">
        <f t="shared" si="169"/>
        <v>612</v>
      </c>
      <c r="GH63" s="279" t="str">
        <f t="shared" si="170"/>
        <v/>
      </c>
      <c r="GI63" s="280" t="str">
        <f t="shared" si="171"/>
        <v/>
      </c>
      <c r="GJ63" s="530">
        <f t="shared" ca="1" si="172"/>
        <v>0</v>
      </c>
      <c r="GK63" s="895" t="str">
        <f t="shared" ca="1" si="194"/>
        <v>A</v>
      </c>
    </row>
    <row r="64" spans="1:193" ht="12.6" hidden="1" customHeight="1" x14ac:dyDescent="0.2">
      <c r="BZ64" s="293"/>
      <c r="CA64" s="293"/>
      <c r="CB64" s="365" t="str">
        <f t="shared" si="100"/>
        <v>G27</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-7</v>
      </c>
      <c r="CH64" s="1306">
        <f>IF(CG24="","",IF(VLOOKUP(CG24,SectInfo!$B:$N,7,FALSE)="","",(VLOOKUP(CG24,SectInfo!$B:$N,7,FALSE)*-1)))</f>
        <v>-6.5</v>
      </c>
      <c r="CI64" s="1306">
        <f>IF(CG24="","",IF(VLOOKUP(CG24,SectInfo!$B:$N,8,FALSE)="",$FC$4,(VLOOKUP(CG24,SectInfo!$B:$N,8,FALSE))))</f>
        <v>5</v>
      </c>
      <c r="CJ64" s="1306">
        <f>IF(CG24="","",VLOOKUP(CG24,SectInfo!$B:$N,9,FALSE))</f>
        <v>8</v>
      </c>
      <c r="CK64" s="1307">
        <f t="shared" si="101"/>
        <v>0</v>
      </c>
      <c r="CL64" s="1305" t="str">
        <f>IF(CQ24="","",VLOOKUP(CQ24,SectInfo!$B:$N,12,FALSE))</f>
        <v>M</v>
      </c>
      <c r="CM64" s="1306">
        <f>IF(ISBLANK(CX24),IF(CQ24="","",VLOOKUP(CQ24,SectInfo!$B:$N,13,FALSE)),CX24)</f>
        <v>-1</v>
      </c>
      <c r="CN64" s="1306" t="str">
        <f>IF(CQ24="","",IF(VLOOKUP(CQ24,SectInfo!$B:$N,5,FALSE)="","R",UPPER(VLOOKUP(CQ24,SectInfo!$B:$N,5,FALSE))))</f>
        <v>R</v>
      </c>
      <c r="CO64" s="1306">
        <f>IF(ISBLANK(CZ24),IF(CQ24="","",VLOOKUP(CQ24,SectInfo!$B:$N,6,FALSE)),CZ24)</f>
        <v>7.5</v>
      </c>
      <c r="CP64" s="1306">
        <f>IF(CQ24="","",IF(VLOOKUP(CQ24,SectInfo!$B:$N,10,FALSE)="","",(VLOOKUP(CQ24,SectInfo!$B:$N,10,FALSE)*-1)))</f>
        <v>-2</v>
      </c>
      <c r="CQ64" s="1306">
        <f>IF(CQ24="","",IF(VLOOKUP(CQ24,SectInfo!$B:$N,7,FALSE)="","",(VLOOKUP(CQ24,SectInfo!$B:$N,7,FALSE)*-1)))</f>
        <v>-4.5</v>
      </c>
      <c r="CR64" s="1306">
        <f>IF(CQ24="","",IF(VLOOKUP(CQ24,SectInfo!$B:$N,8,FALSE)="",$FC$4,(VLOOKUP(CQ24,SectInfo!$B:$N,8,FALSE))))</f>
        <v>5</v>
      </c>
      <c r="CS64" s="1306">
        <f>IF(CQ24="","",VLOOKUP(CQ24,SectInfo!$B:$N,9,FALSE))</f>
        <v>6</v>
      </c>
      <c r="CT64" s="1307">
        <f t="shared" si="102"/>
        <v>0</v>
      </c>
      <c r="CU64" s="1317">
        <f t="shared" si="103"/>
        <v>0</v>
      </c>
      <c r="CV64" s="1311">
        <f t="shared" si="104"/>
        <v>613.75</v>
      </c>
      <c r="CW64" s="1311">
        <f t="shared" si="105"/>
        <v>7.5</v>
      </c>
      <c r="CX64" s="1311">
        <f t="shared" si="106"/>
        <v>7.5</v>
      </c>
      <c r="CY64" s="1313">
        <f t="shared" si="107"/>
        <v>0</v>
      </c>
      <c r="CZ64" s="1313">
        <f t="shared" si="108"/>
        <v>8</v>
      </c>
      <c r="DA64" s="1313">
        <f t="shared" si="109"/>
        <v>8</v>
      </c>
      <c r="DB64" s="1311">
        <f t="shared" si="173"/>
        <v>7.75</v>
      </c>
      <c r="DC64" s="1311">
        <f t="shared" si="110"/>
        <v>1.75</v>
      </c>
      <c r="DD64" s="875">
        <f t="shared" si="174"/>
        <v>1.75</v>
      </c>
      <c r="DE64" s="873">
        <f t="shared" si="111"/>
        <v>0</v>
      </c>
      <c r="DF64" s="874">
        <f t="shared" si="112"/>
        <v>6</v>
      </c>
      <c r="DG64" s="874">
        <f t="shared" si="113"/>
        <v>6</v>
      </c>
      <c r="DH64" s="1311">
        <f t="shared" si="175"/>
        <v>5</v>
      </c>
      <c r="DI64" s="1311">
        <f t="shared" si="114"/>
        <v>0</v>
      </c>
      <c r="DJ64" s="1312">
        <f t="shared" si="176"/>
        <v>0</v>
      </c>
      <c r="DK64" s="1311">
        <f t="shared" si="115"/>
        <v>612</v>
      </c>
      <c r="DL64" s="1311">
        <f t="shared" si="116"/>
        <v>-6.5</v>
      </c>
      <c r="DM64" s="1311">
        <f t="shared" si="117"/>
        <v>6.25</v>
      </c>
      <c r="DN64" s="1311">
        <f t="shared" si="118"/>
        <v>6.25</v>
      </c>
      <c r="DO64" s="889">
        <f t="shared" si="119"/>
        <v>6.25</v>
      </c>
      <c r="DP64" s="889">
        <f t="shared" si="120"/>
        <v>6.25</v>
      </c>
      <c r="DQ64" s="1311">
        <f t="shared" si="121"/>
        <v>6.25</v>
      </c>
      <c r="DR64" s="1311">
        <f t="shared" si="121"/>
        <v>6.25</v>
      </c>
      <c r="DS64" s="1311">
        <f t="shared" si="122"/>
        <v>-4.5</v>
      </c>
      <c r="DT64" s="1311">
        <f t="shared" si="123"/>
        <v>3.5</v>
      </c>
      <c r="DU64" s="1311">
        <f t="shared" si="124"/>
        <v>3.5</v>
      </c>
      <c r="DV64" s="889">
        <f t="shared" si="125"/>
        <v>3.5</v>
      </c>
      <c r="DW64" s="889">
        <f t="shared" si="126"/>
        <v>3.5</v>
      </c>
      <c r="DX64" s="873">
        <f t="shared" si="127"/>
        <v>3.5</v>
      </c>
      <c r="DY64" s="873">
        <f t="shared" si="127"/>
        <v>3.5</v>
      </c>
      <c r="DZ64" s="873">
        <f t="shared" si="128"/>
        <v>6.75</v>
      </c>
      <c r="EA64" s="873">
        <f t="shared" si="129"/>
        <v>1</v>
      </c>
      <c r="EB64" s="876">
        <f t="shared" si="130"/>
        <v>5</v>
      </c>
      <c r="EC64" s="877">
        <f t="shared" si="131"/>
        <v>5</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f t="shared" si="143"/>
        <v>0</v>
      </c>
      <c r="EP64" s="874">
        <f t="shared" si="144"/>
        <v>0</v>
      </c>
      <c r="EQ64" s="874">
        <f t="shared" si="145"/>
        <v>0</v>
      </c>
      <c r="ER64" s="874">
        <f t="shared" si="146"/>
        <v>0</v>
      </c>
      <c r="ES64" s="874" t="str">
        <f t="shared" si="147"/>
        <v/>
      </c>
      <c r="ET64" s="873">
        <f t="shared" si="148"/>
        <v>0</v>
      </c>
      <c r="EU64" s="873">
        <f t="shared" si="149"/>
        <v>0</v>
      </c>
      <c r="EV64" s="876">
        <f t="shared" si="150"/>
        <v>6</v>
      </c>
      <c r="EW64" s="876">
        <f t="shared" si="151"/>
        <v>5</v>
      </c>
      <c r="EX64" s="878" t="str">
        <f t="shared" si="152"/>
        <v>ERR</v>
      </c>
      <c r="EY64" s="879" t="e">
        <f t="shared" si="153"/>
        <v>#VALUE!</v>
      </c>
      <c r="EZ64" s="959">
        <f t="shared" si="154"/>
        <v>7948.4357142857134</v>
      </c>
      <c r="FA64" s="960">
        <f t="shared" si="155"/>
        <v>6888.6442857142847</v>
      </c>
      <c r="FB64" s="880">
        <f t="shared" si="156"/>
        <v>0</v>
      </c>
      <c r="FC64" s="881">
        <f t="shared" si="157"/>
        <v>0</v>
      </c>
      <c r="FD64" s="890">
        <f t="shared" si="158"/>
        <v>1.75</v>
      </c>
      <c r="FE64" s="833">
        <f t="shared" si="159"/>
        <v>0</v>
      </c>
      <c r="FF64" s="754" t="b">
        <f t="shared" si="160"/>
        <v>0</v>
      </c>
      <c r="FG64" s="754" t="b">
        <f t="shared" si="161"/>
        <v>0</v>
      </c>
      <c r="FH64" s="754" t="b">
        <f t="shared" si="162"/>
        <v>0</v>
      </c>
      <c r="FI64" s="754" t="b">
        <f t="shared" si="163"/>
        <v>0</v>
      </c>
      <c r="FJ64" s="920" t="str">
        <f t="shared" si="177"/>
        <v/>
      </c>
      <c r="FK64" s="919" t="str">
        <f t="shared" si="178"/>
        <v>G27</v>
      </c>
      <c r="FL64" s="320">
        <f t="shared" si="179"/>
        <v>612</v>
      </c>
      <c r="FM64" s="312" t="str">
        <f t="shared" si="164"/>
        <v/>
      </c>
      <c r="FN64" s="272">
        <f t="shared" ca="1" si="180"/>
        <v>48</v>
      </c>
      <c r="FO64" s="273">
        <f t="shared" ca="1" si="181"/>
        <v>5</v>
      </c>
      <c r="FP64" s="274">
        <f t="shared" ca="1" si="182"/>
        <v>96</v>
      </c>
      <c r="FQ64" s="274">
        <f t="shared" ca="1" si="183"/>
        <v>87</v>
      </c>
      <c r="FR64" s="321">
        <f t="shared" ca="1" si="184"/>
        <v>0</v>
      </c>
      <c r="FS64" s="322">
        <f t="shared" ca="1" si="185"/>
        <v>615</v>
      </c>
      <c r="FT64" s="272">
        <f t="shared" ca="1" si="186"/>
        <v>612</v>
      </c>
      <c r="FU64" s="275">
        <f t="shared" ca="1" si="187"/>
        <v>1</v>
      </c>
      <c r="FV64" s="323">
        <f t="shared" ca="1" si="165"/>
        <v>46</v>
      </c>
      <c r="FW64" s="276">
        <f t="shared" ca="1" si="188"/>
        <v>46</v>
      </c>
      <c r="FX64" s="276">
        <f t="shared" ca="1" si="189"/>
        <v>96</v>
      </c>
      <c r="FY64" s="276">
        <f t="shared" ca="1" si="190"/>
        <v>86</v>
      </c>
      <c r="FZ64" s="276">
        <f t="shared" ca="1" si="191"/>
        <v>86</v>
      </c>
      <c r="GA64" s="276">
        <f t="shared" ca="1" si="192"/>
        <v>612</v>
      </c>
      <c r="GB64" s="277">
        <f ca="1">IF(FY64="","",2+SUM(FO64:OFFSET(FO64,(FU64-1)*-1,0)))</f>
        <v>7</v>
      </c>
      <c r="GC64" s="316">
        <f t="shared" si="193"/>
        <v>-0.25</v>
      </c>
      <c r="GD64" s="324" t="str">
        <f t="shared" si="166"/>
        <v/>
      </c>
      <c r="GE64" s="325" t="str">
        <f t="shared" si="167"/>
        <v/>
      </c>
      <c r="GF64" s="278" t="str">
        <f t="shared" si="168"/>
        <v>#1</v>
      </c>
      <c r="GG64" s="279" t="str">
        <f t="shared" si="169"/>
        <v/>
      </c>
      <c r="GH64" s="279" t="str">
        <f t="shared" si="170"/>
        <v/>
      </c>
      <c r="GI64" s="280" t="str">
        <f t="shared" si="171"/>
        <v/>
      </c>
      <c r="GJ64" s="530">
        <f t="shared" ca="1" si="172"/>
        <v>0</v>
      </c>
      <c r="GK64" s="895" t="str">
        <f t="shared" ca="1" si="194"/>
        <v>A</v>
      </c>
    </row>
    <row r="65" spans="78:193" ht="12.6" hidden="1" customHeight="1" x14ac:dyDescent="0.2">
      <c r="BZ65" s="293"/>
      <c r="CA65" s="293"/>
      <c r="CB65" s="365" t="str">
        <f t="shared" si="100"/>
        <v>G28</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-7</v>
      </c>
      <c r="CH65" s="1306">
        <f>IF(CG25="","",IF(VLOOKUP(CG25,SectInfo!$B:$N,7,FALSE)="","",(VLOOKUP(CG25,SectInfo!$B:$N,7,FALSE)*-1)))</f>
        <v>-6.5</v>
      </c>
      <c r="CI65" s="1306">
        <f>IF(CG25="","",IF(VLOOKUP(CG25,SectInfo!$B:$N,8,FALSE)="",$FC$4,(VLOOKUP(CG25,SectInfo!$B:$N,8,FALSE))))</f>
        <v>5</v>
      </c>
      <c r="CJ65" s="1306">
        <f>IF(CG25="","",VLOOKUP(CG25,SectInfo!$B:$N,9,FALSE))</f>
        <v>8</v>
      </c>
      <c r="CK65" s="1307">
        <f t="shared" si="101"/>
        <v>0</v>
      </c>
      <c r="CL65" s="1305" t="str">
        <f>IF(CQ25="","",VLOOKUP(CQ25,SectInfo!$B:$N,12,FALSE))</f>
        <v>M</v>
      </c>
      <c r="CM65" s="1306">
        <f>IF(ISBLANK(CX25),IF(CQ25="","",VLOOKUP(CQ25,SectInfo!$B:$N,13,FALSE)),CX25)</f>
        <v>-1.5</v>
      </c>
      <c r="CN65" s="1306" t="str">
        <f>IF(CQ25="","",IF(VLOOKUP(CQ25,SectInfo!$B:$N,5,FALSE)="","R",UPPER(VLOOKUP(CQ25,SectInfo!$B:$N,5,FALSE))))</f>
        <v>R</v>
      </c>
      <c r="CO65" s="1306">
        <f>IF(ISBLANK(CZ25),IF(CQ25="","",VLOOKUP(CQ25,SectInfo!$B:$N,6,FALSE)),CZ25)</f>
        <v>7.5</v>
      </c>
      <c r="CP65" s="1306">
        <f>IF(CQ25="","",IF(VLOOKUP(CQ25,SectInfo!$B:$N,10,FALSE)="","",(VLOOKUP(CQ25,SectInfo!$B:$N,10,FALSE)*-1)))</f>
        <v>-4.5</v>
      </c>
      <c r="CQ65" s="1306" t="str">
        <f>IF(CQ25="","",IF(VLOOKUP(CQ25,SectInfo!$B:$N,7,FALSE)="","",(VLOOKUP(CQ25,SectInfo!$B:$N,7,FALSE)*-1)))</f>
        <v/>
      </c>
      <c r="CR65" s="1306">
        <f>IF(CQ25="","",IF(VLOOKUP(CQ25,SectInfo!$B:$N,8,FALSE)="",$FC$4,(VLOOKUP(CQ25,SectInfo!$B:$N,8,FALSE))))</f>
        <v>5</v>
      </c>
      <c r="CS65" s="1306">
        <f>IF(CQ25="","",VLOOKUP(CQ25,SectInfo!$B:$N,9,FALSE))</f>
        <v>9.875</v>
      </c>
      <c r="CT65" s="1307">
        <f t="shared" si="102"/>
        <v>0</v>
      </c>
      <c r="CU65" s="1317">
        <f t="shared" si="103"/>
        <v>0</v>
      </c>
      <c r="CV65" s="1311">
        <f t="shared" si="104"/>
        <v>609.25</v>
      </c>
      <c r="CW65" s="1311">
        <f t="shared" si="105"/>
        <v>7.5</v>
      </c>
      <c r="CX65" s="1311">
        <f t="shared" si="106"/>
        <v>7.5</v>
      </c>
      <c r="CY65" s="1313">
        <f t="shared" si="107"/>
        <v>0</v>
      </c>
      <c r="CZ65" s="1313">
        <f t="shared" si="108"/>
        <v>8</v>
      </c>
      <c r="DA65" s="1313">
        <f t="shared" si="109"/>
        <v>8</v>
      </c>
      <c r="DB65" s="1311">
        <f t="shared" si="173"/>
        <v>7.75</v>
      </c>
      <c r="DC65" s="1311">
        <f t="shared" si="110"/>
        <v>1.75</v>
      </c>
      <c r="DD65" s="875">
        <f t="shared" si="174"/>
        <v>1.75</v>
      </c>
      <c r="DE65" s="873">
        <f t="shared" si="111"/>
        <v>0.8028514559173916</v>
      </c>
      <c r="DF65" s="874">
        <f t="shared" si="112"/>
        <v>9.875</v>
      </c>
      <c r="DG65" s="874">
        <f t="shared" si="113"/>
        <v>9.875</v>
      </c>
      <c r="DH65" s="1311">
        <f t="shared" si="175"/>
        <v>9.9282954706858551</v>
      </c>
      <c r="DI65" s="1311">
        <f t="shared" si="114"/>
        <v>3.9282954706858551</v>
      </c>
      <c r="DJ65" s="1312">
        <f t="shared" si="176"/>
        <v>4</v>
      </c>
      <c r="DK65" s="1311">
        <f t="shared" si="115"/>
        <v>603.5</v>
      </c>
      <c r="DL65" s="1311">
        <f t="shared" si="116"/>
        <v>-6.5</v>
      </c>
      <c r="DM65" s="1311">
        <f t="shared" si="117"/>
        <v>6.25</v>
      </c>
      <c r="DN65" s="1311">
        <f t="shared" si="118"/>
        <v>6.25</v>
      </c>
      <c r="DO65" s="889">
        <f t="shared" si="119"/>
        <v>6.25</v>
      </c>
      <c r="DP65" s="889">
        <f t="shared" si="120"/>
        <v>6.25</v>
      </c>
      <c r="DQ65" s="1311">
        <f t="shared" si="121"/>
        <v>6.25</v>
      </c>
      <c r="DR65" s="1311">
        <f t="shared" si="121"/>
        <v>6.25</v>
      </c>
      <c r="DS65" s="1311" t="str">
        <f t="shared" si="122"/>
        <v/>
      </c>
      <c r="DT65" s="1311" t="str">
        <f t="shared" si="123"/>
        <v/>
      </c>
      <c r="DU65" s="1311" t="str">
        <f t="shared" si="124"/>
        <v/>
      </c>
      <c r="DV65" s="889" t="str">
        <f t="shared" si="125"/>
        <v>ERR</v>
      </c>
      <c r="DW65" s="889" t="str">
        <f t="shared" si="126"/>
        <v>ERR</v>
      </c>
      <c r="DX65" s="873" t="str">
        <f t="shared" si="127"/>
        <v/>
      </c>
      <c r="DY65" s="873" t="str">
        <f t="shared" si="127"/>
        <v/>
      </c>
      <c r="DZ65" s="873">
        <f t="shared" si="128"/>
        <v>6.75</v>
      </c>
      <c r="EA65" s="873">
        <f t="shared" si="129"/>
        <v>3</v>
      </c>
      <c r="EB65" s="876">
        <f t="shared" si="130"/>
        <v>5</v>
      </c>
      <c r="EC65" s="877">
        <f t="shared" si="131"/>
        <v>5</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f t="shared" si="143"/>
        <v>0</v>
      </c>
      <c r="EP65" s="874">
        <f t="shared" si="144"/>
        <v>0</v>
      </c>
      <c r="EQ65" s="874">
        <f t="shared" si="145"/>
        <v>0</v>
      </c>
      <c r="ER65" s="874">
        <f t="shared" si="146"/>
        <v>0</v>
      </c>
      <c r="ES65" s="874" t="str">
        <f t="shared" si="147"/>
        <v/>
      </c>
      <c r="ET65" s="873">
        <f t="shared" si="148"/>
        <v>0</v>
      </c>
      <c r="EU65" s="873">
        <f t="shared" si="149"/>
        <v>0</v>
      </c>
      <c r="EV65" s="876">
        <f t="shared" si="150"/>
        <v>6</v>
      </c>
      <c r="EW65" s="876">
        <f t="shared" si="151"/>
        <v>8.7873253581181938</v>
      </c>
      <c r="EX65" s="878" t="str">
        <f t="shared" si="152"/>
        <v>ERR</v>
      </c>
      <c r="EY65" s="879" t="e">
        <f t="shared" si="153"/>
        <v>#VALUE!</v>
      </c>
      <c r="EZ65" s="959">
        <f t="shared" si="154"/>
        <v>9111.6214285714286</v>
      </c>
      <c r="FA65" s="960">
        <f t="shared" si="155"/>
        <v>7896.738571428571</v>
      </c>
      <c r="FB65" s="880">
        <f t="shared" si="156"/>
        <v>0</v>
      </c>
      <c r="FC65" s="881">
        <f t="shared" si="157"/>
        <v>0</v>
      </c>
      <c r="FD65" s="890">
        <f t="shared" si="158"/>
        <v>1.75</v>
      </c>
      <c r="FE65" s="833">
        <f t="shared" si="159"/>
        <v>3.9282954706858551</v>
      </c>
      <c r="FF65" s="754" t="b">
        <f t="shared" si="160"/>
        <v>0</v>
      </c>
      <c r="FG65" s="754" t="b">
        <f t="shared" si="161"/>
        <v>0</v>
      </c>
      <c r="FH65" s="754" t="b">
        <f t="shared" si="162"/>
        <v>0</v>
      </c>
      <c r="FI65" s="754" t="b">
        <f t="shared" si="163"/>
        <v>0</v>
      </c>
      <c r="FJ65" s="920" t="str">
        <f t="shared" si="177"/>
        <v/>
      </c>
      <c r="FK65" s="919" t="str">
        <f t="shared" si="178"/>
        <v>G28</v>
      </c>
      <c r="FL65" s="320">
        <f t="shared" si="179"/>
        <v>603.5</v>
      </c>
      <c r="FM65" s="312" t="str">
        <f t="shared" si="164"/>
        <v/>
      </c>
      <c r="FN65" s="272">
        <f t="shared" ca="1" si="180"/>
        <v>48</v>
      </c>
      <c r="FO65" s="273">
        <f t="shared" ca="1" si="181"/>
        <v>5</v>
      </c>
      <c r="FP65" s="274">
        <f t="shared" ca="1" si="182"/>
        <v>96</v>
      </c>
      <c r="FQ65" s="274">
        <f t="shared" ca="1" si="183"/>
        <v>83</v>
      </c>
      <c r="FR65" s="321">
        <f t="shared" ca="1" si="184"/>
        <v>0</v>
      </c>
      <c r="FS65" s="322">
        <f t="shared" ca="1" si="185"/>
        <v>611</v>
      </c>
      <c r="FT65" s="272">
        <f t="shared" ca="1" si="186"/>
        <v>603.5</v>
      </c>
      <c r="FU65" s="275">
        <f t="shared" ca="1" si="187"/>
        <v>1</v>
      </c>
      <c r="FV65" s="323">
        <f t="shared" ca="1" si="165"/>
        <v>46</v>
      </c>
      <c r="FW65" s="276">
        <f t="shared" ca="1" si="188"/>
        <v>46</v>
      </c>
      <c r="FX65" s="276">
        <f t="shared" ca="1" si="189"/>
        <v>96</v>
      </c>
      <c r="FY65" s="276">
        <f t="shared" ca="1" si="190"/>
        <v>77.5</v>
      </c>
      <c r="FZ65" s="276">
        <f t="shared" ca="1" si="191"/>
        <v>77.5</v>
      </c>
      <c r="GA65" s="276">
        <f t="shared" ca="1" si="192"/>
        <v>603.5</v>
      </c>
      <c r="GB65" s="277">
        <f ca="1">IF(FY65="","",2+SUM(FO65:OFFSET(FO65,(FU65-1)*-1,0)))</f>
        <v>7</v>
      </c>
      <c r="GC65" s="316">
        <f t="shared" si="193"/>
        <v>-0.25</v>
      </c>
      <c r="GD65" s="324" t="str">
        <f t="shared" si="166"/>
        <v/>
      </c>
      <c r="GE65" s="325" t="str">
        <f t="shared" si="167"/>
        <v/>
      </c>
      <c r="GF65" s="278" t="str">
        <f t="shared" si="168"/>
        <v>#1</v>
      </c>
      <c r="GG65" s="279" t="str">
        <f t="shared" si="169"/>
        <v/>
      </c>
      <c r="GH65" s="279" t="str">
        <f t="shared" si="170"/>
        <v/>
      </c>
      <c r="GI65" s="280" t="str">
        <f t="shared" si="171"/>
        <v/>
      </c>
      <c r="GJ65" s="530">
        <f t="shared" ca="1" si="172"/>
        <v>-3.5852264657073363E-2</v>
      </c>
      <c r="GK65" s="895" t="str">
        <f t="shared" ca="1" si="194"/>
        <v/>
      </c>
    </row>
    <row r="66" spans="78:193" ht="12.6" hidden="1" customHeight="1" x14ac:dyDescent="0.2">
      <c r="BZ66" s="293"/>
      <c r="CA66" s="293"/>
      <c r="CB66" s="365" t="str">
        <f t="shared" si="100"/>
        <v>G29</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-7</v>
      </c>
      <c r="CH66" s="1306">
        <f>IF(CG26="","",IF(VLOOKUP(CG26,SectInfo!$B:$N,7,FALSE)="","",(VLOOKUP(CG26,SectInfo!$B:$N,7,FALSE)*-1)))</f>
        <v>-6.5</v>
      </c>
      <c r="CI66" s="1306">
        <f>IF(CG26="","",IF(VLOOKUP(CG26,SectInfo!$B:$N,8,FALSE)="",$FC$4,(VLOOKUP(CG26,SectInfo!$B:$N,8,FALSE))))</f>
        <v>5</v>
      </c>
      <c r="CJ66" s="1306">
        <f>IF(CG26="","",VLOOKUP(CG26,SectInfo!$B:$N,9,FALSE))</f>
        <v>8</v>
      </c>
      <c r="CK66" s="1307">
        <f t="shared" si="101"/>
        <v>0</v>
      </c>
      <c r="CL66" s="1305" t="str">
        <f>IF(CQ26="","",VLOOKUP(CQ26,SectInfo!$B:$N,12,FALSE))</f>
        <v>C</v>
      </c>
      <c r="CM66" s="1306">
        <f>IF(ISBLANK(CX26),IF(CQ26="","",VLOOKUP(CQ26,SectInfo!$B:$N,13,FALSE)),CX26)</f>
        <v>-0.25</v>
      </c>
      <c r="CN66" s="1306" t="str">
        <f>IF(CQ26="","",IF(VLOOKUP(CQ26,SectInfo!$B:$N,5,FALSE)="","R",UPPER(VLOOKUP(CQ26,SectInfo!$B:$N,5,FALSE))))</f>
        <v>R</v>
      </c>
      <c r="CO66" s="1306">
        <f>IF(ISBLANK(CZ26),IF(CQ26="","",VLOOKUP(CQ26,SectInfo!$B:$N,6,FALSE)),CZ26)</f>
        <v>7.5</v>
      </c>
      <c r="CP66" s="1306">
        <f>IF(CQ26="","",IF(VLOOKUP(CQ26,SectInfo!$B:$N,10,FALSE)="","",(VLOOKUP(CQ26,SectInfo!$B:$N,10,FALSE)*-1)))</f>
        <v>-7</v>
      </c>
      <c r="CQ66" s="1306">
        <f>IF(CQ26="","",IF(VLOOKUP(CQ26,SectInfo!$B:$N,7,FALSE)="","",(VLOOKUP(CQ26,SectInfo!$B:$N,7,FALSE)*-1)))</f>
        <v>-6.5</v>
      </c>
      <c r="CR66" s="1306">
        <f>IF(CQ26="","",IF(VLOOKUP(CQ26,SectInfo!$B:$N,8,FALSE)="",$FC$4,(VLOOKUP(CQ26,SectInfo!$B:$N,8,FALSE))))</f>
        <v>5</v>
      </c>
      <c r="CS66" s="1306">
        <f>IF(CQ26="","",VLOOKUP(CQ26,SectInfo!$B:$N,9,FALSE))</f>
        <v>8</v>
      </c>
      <c r="CT66" s="1307">
        <f t="shared" si="102"/>
        <v>0</v>
      </c>
      <c r="CU66" s="1317">
        <f t="shared" si="103"/>
        <v>0</v>
      </c>
      <c r="CV66" s="1311">
        <f t="shared" si="104"/>
        <v>623.5</v>
      </c>
      <c r="CW66" s="1311">
        <f t="shared" si="105"/>
        <v>7.5</v>
      </c>
      <c r="CX66" s="1311">
        <f t="shared" si="106"/>
        <v>7.5</v>
      </c>
      <c r="CY66" s="1313">
        <f t="shared" si="107"/>
        <v>0</v>
      </c>
      <c r="CZ66" s="1313">
        <f t="shared" si="108"/>
        <v>8</v>
      </c>
      <c r="DA66" s="1313">
        <f t="shared" si="109"/>
        <v>8</v>
      </c>
      <c r="DB66" s="1311">
        <f t="shared" si="173"/>
        <v>7.75</v>
      </c>
      <c r="DC66" s="1311">
        <f t="shared" si="110"/>
        <v>1.75</v>
      </c>
      <c r="DD66" s="875">
        <f t="shared" si="174"/>
        <v>1.75</v>
      </c>
      <c r="DE66" s="873">
        <f t="shared" si="111"/>
        <v>0</v>
      </c>
      <c r="DF66" s="874">
        <f t="shared" si="112"/>
        <v>8</v>
      </c>
      <c r="DG66" s="874">
        <f t="shared" si="113"/>
        <v>8</v>
      </c>
      <c r="DH66" s="1311">
        <f t="shared" si="175"/>
        <v>7.75</v>
      </c>
      <c r="DI66" s="1311">
        <f t="shared" si="114"/>
        <v>1.75</v>
      </c>
      <c r="DJ66" s="1312">
        <f t="shared" si="176"/>
        <v>1.75</v>
      </c>
      <c r="DK66" s="1311">
        <f t="shared" si="115"/>
        <v>620</v>
      </c>
      <c r="DL66" s="1311">
        <f t="shared" si="116"/>
        <v>-6.5</v>
      </c>
      <c r="DM66" s="1311">
        <f t="shared" si="117"/>
        <v>6.25</v>
      </c>
      <c r="DN66" s="1311">
        <f t="shared" si="118"/>
        <v>6.25</v>
      </c>
      <c r="DO66" s="889">
        <f t="shared" si="119"/>
        <v>6.25</v>
      </c>
      <c r="DP66" s="889">
        <f t="shared" si="120"/>
        <v>6.25</v>
      </c>
      <c r="DQ66" s="1311">
        <f t="shared" si="121"/>
        <v>6.25</v>
      </c>
      <c r="DR66" s="1311">
        <f t="shared" si="121"/>
        <v>6.25</v>
      </c>
      <c r="DS66" s="1311">
        <f t="shared" si="122"/>
        <v>-6.5</v>
      </c>
      <c r="DT66" s="1311">
        <f t="shared" si="123"/>
        <v>6.25</v>
      </c>
      <c r="DU66" s="1311">
        <f t="shared" si="124"/>
        <v>6.25</v>
      </c>
      <c r="DV66" s="889">
        <f t="shared" si="125"/>
        <v>6.25</v>
      </c>
      <c r="DW66" s="889">
        <f t="shared" si="126"/>
        <v>6.25</v>
      </c>
      <c r="DX66" s="873">
        <f t="shared" si="127"/>
        <v>6.25</v>
      </c>
      <c r="DY66" s="873">
        <f t="shared" si="127"/>
        <v>6.25</v>
      </c>
      <c r="DZ66" s="873">
        <f t="shared" si="128"/>
        <v>6.75</v>
      </c>
      <c r="EA66" s="873">
        <f t="shared" si="129"/>
        <v>6.75</v>
      </c>
      <c r="EB66" s="876">
        <f t="shared" si="130"/>
        <v>5</v>
      </c>
      <c r="EC66" s="877">
        <f t="shared" si="131"/>
        <v>5</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f t="shared" si="143"/>
        <v>0</v>
      </c>
      <c r="EP66" s="874">
        <f t="shared" si="144"/>
        <v>0</v>
      </c>
      <c r="EQ66" s="874">
        <f t="shared" si="145"/>
        <v>0</v>
      </c>
      <c r="ER66" s="874">
        <f t="shared" si="146"/>
        <v>0</v>
      </c>
      <c r="ES66" s="874" t="str">
        <f t="shared" si="147"/>
        <v/>
      </c>
      <c r="ET66" s="873">
        <f t="shared" si="148"/>
        <v>0</v>
      </c>
      <c r="EU66" s="873">
        <f t="shared" si="149"/>
        <v>0</v>
      </c>
      <c r="EV66" s="876">
        <f t="shared" si="150"/>
        <v>6</v>
      </c>
      <c r="EW66" s="876">
        <f t="shared" si="151"/>
        <v>6</v>
      </c>
      <c r="EX66" s="878" t="str">
        <f t="shared" si="152"/>
        <v>ERR</v>
      </c>
      <c r="EY66" s="879" t="e">
        <f t="shared" si="153"/>
        <v>#VALUE!</v>
      </c>
      <c r="EZ66" s="959">
        <f t="shared" si="154"/>
        <v>9305.4857142857145</v>
      </c>
      <c r="FA66" s="960">
        <f t="shared" si="155"/>
        <v>8064.7542857142844</v>
      </c>
      <c r="FB66" s="880">
        <f t="shared" si="156"/>
        <v>0</v>
      </c>
      <c r="FC66" s="881">
        <f t="shared" si="157"/>
        <v>0</v>
      </c>
      <c r="FD66" s="890">
        <f t="shared" si="158"/>
        <v>1.75</v>
      </c>
      <c r="FE66" s="833">
        <f t="shared" si="159"/>
        <v>1.75</v>
      </c>
      <c r="FF66" s="754" t="b">
        <f t="shared" si="160"/>
        <v>0</v>
      </c>
      <c r="FG66" s="754" t="b">
        <f t="shared" si="161"/>
        <v>0</v>
      </c>
      <c r="FH66" s="754" t="b">
        <f t="shared" si="162"/>
        <v>0</v>
      </c>
      <c r="FI66" s="754" t="b">
        <f t="shared" si="163"/>
        <v>0</v>
      </c>
      <c r="FJ66" s="920" t="str">
        <f t="shared" si="177"/>
        <v/>
      </c>
      <c r="FK66" s="919" t="str">
        <f t="shared" si="178"/>
        <v>G29</v>
      </c>
      <c r="FL66" s="320">
        <f t="shared" si="179"/>
        <v>620</v>
      </c>
      <c r="FM66" s="312" t="str">
        <f t="shared" si="164"/>
        <v/>
      </c>
      <c r="FN66" s="272">
        <f t="shared" ca="1" si="180"/>
        <v>48</v>
      </c>
      <c r="FO66" s="273">
        <f t="shared" ca="1" si="181"/>
        <v>5</v>
      </c>
      <c r="FP66" s="274">
        <f t="shared" ca="1" si="182"/>
        <v>96</v>
      </c>
      <c r="FQ66" s="274">
        <f t="shared" ca="1" si="183"/>
        <v>96</v>
      </c>
      <c r="FR66" s="321">
        <f t="shared" ca="1" si="184"/>
        <v>0</v>
      </c>
      <c r="FS66" s="322">
        <f t="shared" ca="1" si="185"/>
        <v>624</v>
      </c>
      <c r="FT66" s="272">
        <f t="shared" ca="1" si="186"/>
        <v>620</v>
      </c>
      <c r="FU66" s="275">
        <f t="shared" ca="1" si="187"/>
        <v>1</v>
      </c>
      <c r="FV66" s="323">
        <f t="shared" ca="1" si="165"/>
        <v>46</v>
      </c>
      <c r="FW66" s="276">
        <f t="shared" ca="1" si="188"/>
        <v>46</v>
      </c>
      <c r="FX66" s="276">
        <f t="shared" ca="1" si="189"/>
        <v>96</v>
      </c>
      <c r="FY66" s="276">
        <f t="shared" ca="1" si="190"/>
        <v>94</v>
      </c>
      <c r="FZ66" s="276">
        <f t="shared" ca="1" si="191"/>
        <v>94</v>
      </c>
      <c r="GA66" s="276">
        <f t="shared" ca="1" si="192"/>
        <v>620</v>
      </c>
      <c r="GB66" s="277">
        <f ca="1">IF(FY66="","",2+SUM(FO66:OFFSET(FO66,(FU66-1)*-1,0)))</f>
        <v>7</v>
      </c>
      <c r="GC66" s="316">
        <f t="shared" si="193"/>
        <v>-0.25</v>
      </c>
      <c r="GD66" s="324" t="str">
        <f t="shared" si="166"/>
        <v/>
      </c>
      <c r="GE66" s="325">
        <f t="shared" si="167"/>
        <v>1.75</v>
      </c>
      <c r="GF66" s="278" t="str">
        <f t="shared" si="168"/>
        <v>#1</v>
      </c>
      <c r="GG66" s="279">
        <f t="shared" si="169"/>
        <v>612</v>
      </c>
      <c r="GH66" s="279" t="str">
        <f t="shared" si="170"/>
        <v/>
      </c>
      <c r="GI66" s="280" t="str">
        <f t="shared" si="171"/>
        <v/>
      </c>
      <c r="GJ66" s="530">
        <f t="shared" ca="1" si="172"/>
        <v>0</v>
      </c>
      <c r="GK66" s="895" t="str">
        <f t="shared" ca="1" si="194"/>
        <v/>
      </c>
    </row>
    <row r="67" spans="78:193" ht="12.6" hidden="1" customHeight="1" x14ac:dyDescent="0.2">
      <c r="BZ67" s="293"/>
      <c r="CA67" s="293"/>
      <c r="CB67" s="365" t="str">
        <f t="shared" si="100"/>
        <v>G30</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-7</v>
      </c>
      <c r="CH67" s="1306">
        <f>IF(CG27="","",IF(VLOOKUP(CG27,SectInfo!$B:$N,7,FALSE)="","",(VLOOKUP(CG27,SectInfo!$B:$N,7,FALSE)*-1)))</f>
        <v>-6.5</v>
      </c>
      <c r="CI67" s="1306">
        <f>IF(CG27="","",IF(VLOOKUP(CG27,SectInfo!$B:$N,8,FALSE)="",$FC$4,(VLOOKUP(CG27,SectInfo!$B:$N,8,FALSE))))</f>
        <v>5</v>
      </c>
      <c r="CJ67" s="1306">
        <f>IF(CG27="","",VLOOKUP(CG27,SectInfo!$B:$N,9,FALSE))</f>
        <v>8</v>
      </c>
      <c r="CK67" s="1307">
        <f t="shared" si="101"/>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-7</v>
      </c>
      <c r="CQ67" s="1306">
        <f>IF(CQ27="","",IF(VLOOKUP(CQ27,SectInfo!$B:$N,7,FALSE)="","",(VLOOKUP(CQ27,SectInfo!$B:$N,7,FALSE)*-1)))</f>
        <v>-6.5</v>
      </c>
      <c r="CR67" s="1306">
        <f>IF(CQ27="","",IF(VLOOKUP(CQ27,SectInfo!$B:$N,8,FALSE)="",$FC$4,(VLOOKUP(CQ27,SectInfo!$B:$N,8,FALSE))))</f>
        <v>5</v>
      </c>
      <c r="CS67" s="1306">
        <f>IF(CQ27="","",VLOOKUP(CQ27,SectInfo!$B:$N,9,FALSE))</f>
        <v>8</v>
      </c>
      <c r="CT67" s="1307">
        <f t="shared" si="102"/>
        <v>0</v>
      </c>
      <c r="CU67" s="1317">
        <f t="shared" si="103"/>
        <v>0</v>
      </c>
      <c r="CV67" s="1311">
        <f t="shared" si="104"/>
        <v>623.5</v>
      </c>
      <c r="CW67" s="1311">
        <f t="shared" si="105"/>
        <v>7.5</v>
      </c>
      <c r="CX67" s="1311">
        <f t="shared" si="106"/>
        <v>7.5</v>
      </c>
      <c r="CY67" s="1313">
        <f t="shared" si="107"/>
        <v>0</v>
      </c>
      <c r="CZ67" s="1313">
        <f t="shared" si="108"/>
        <v>8</v>
      </c>
      <c r="DA67" s="1313">
        <f t="shared" si="109"/>
        <v>8</v>
      </c>
      <c r="DB67" s="1311">
        <f t="shared" si="173"/>
        <v>7.75</v>
      </c>
      <c r="DC67" s="1311">
        <f t="shared" si="110"/>
        <v>1.75</v>
      </c>
      <c r="DD67" s="875">
        <f t="shared" si="174"/>
        <v>1.75</v>
      </c>
      <c r="DE67" s="873">
        <f t="shared" si="111"/>
        <v>0</v>
      </c>
      <c r="DF67" s="874">
        <f t="shared" si="112"/>
        <v>8</v>
      </c>
      <c r="DG67" s="874">
        <f t="shared" si="113"/>
        <v>8</v>
      </c>
      <c r="DH67" s="1311">
        <f t="shared" si="175"/>
        <v>7.75</v>
      </c>
      <c r="DI67" s="1311">
        <f t="shared" si="114"/>
        <v>1.75</v>
      </c>
      <c r="DJ67" s="1312">
        <f t="shared" si="176"/>
        <v>1.75</v>
      </c>
      <c r="DK67" s="1311">
        <f t="shared" si="115"/>
        <v>620</v>
      </c>
      <c r="DL67" s="1311">
        <f t="shared" si="116"/>
        <v>-6.5</v>
      </c>
      <c r="DM67" s="1311">
        <f t="shared" si="117"/>
        <v>6.25</v>
      </c>
      <c r="DN67" s="1311">
        <f t="shared" si="118"/>
        <v>6.25</v>
      </c>
      <c r="DO67" s="889">
        <f t="shared" si="119"/>
        <v>6.25</v>
      </c>
      <c r="DP67" s="889">
        <f t="shared" si="120"/>
        <v>6.25</v>
      </c>
      <c r="DQ67" s="1311">
        <f t="shared" si="121"/>
        <v>6.25</v>
      </c>
      <c r="DR67" s="1311">
        <f t="shared" si="121"/>
        <v>6.25</v>
      </c>
      <c r="DS67" s="1311">
        <f t="shared" si="122"/>
        <v>-6.5</v>
      </c>
      <c r="DT67" s="1311">
        <f t="shared" si="123"/>
        <v>6.25</v>
      </c>
      <c r="DU67" s="1311">
        <f t="shared" si="124"/>
        <v>6.25</v>
      </c>
      <c r="DV67" s="889">
        <f t="shared" si="125"/>
        <v>6.25</v>
      </c>
      <c r="DW67" s="889">
        <f t="shared" si="126"/>
        <v>6.25</v>
      </c>
      <c r="DX67" s="873">
        <f t="shared" si="127"/>
        <v>6.25</v>
      </c>
      <c r="DY67" s="873">
        <f t="shared" si="127"/>
        <v>6.25</v>
      </c>
      <c r="DZ67" s="873">
        <f t="shared" si="128"/>
        <v>6.75</v>
      </c>
      <c r="EA67" s="873">
        <f t="shared" si="129"/>
        <v>6.75</v>
      </c>
      <c r="EB67" s="876">
        <f t="shared" si="130"/>
        <v>5</v>
      </c>
      <c r="EC67" s="877">
        <f t="shared" si="131"/>
        <v>5</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f t="shared" si="143"/>
        <v>0</v>
      </c>
      <c r="EP67" s="874">
        <f t="shared" si="144"/>
        <v>0</v>
      </c>
      <c r="EQ67" s="874">
        <f t="shared" si="145"/>
        <v>0</v>
      </c>
      <c r="ER67" s="874">
        <f t="shared" si="146"/>
        <v>0</v>
      </c>
      <c r="ES67" s="874" t="str">
        <f t="shared" si="147"/>
        <v/>
      </c>
      <c r="ET67" s="873">
        <f t="shared" si="148"/>
        <v>0</v>
      </c>
      <c r="EU67" s="873">
        <f t="shared" si="149"/>
        <v>0</v>
      </c>
      <c r="EV67" s="876">
        <f t="shared" si="150"/>
        <v>6</v>
      </c>
      <c r="EW67" s="876">
        <f t="shared" si="151"/>
        <v>6</v>
      </c>
      <c r="EX67" s="878" t="str">
        <f t="shared" si="152"/>
        <v>ERR</v>
      </c>
      <c r="EY67" s="879" t="e">
        <f t="shared" si="153"/>
        <v>#VALUE!</v>
      </c>
      <c r="EZ67" s="959">
        <f t="shared" si="154"/>
        <v>9305.4857142857145</v>
      </c>
      <c r="FA67" s="960">
        <f t="shared" si="155"/>
        <v>8064.7542857142844</v>
      </c>
      <c r="FB67" s="880">
        <f t="shared" si="156"/>
        <v>0</v>
      </c>
      <c r="FC67" s="881">
        <f t="shared" si="157"/>
        <v>0</v>
      </c>
      <c r="FD67" s="890">
        <f t="shared" si="158"/>
        <v>1.75</v>
      </c>
      <c r="FE67" s="833">
        <f t="shared" si="159"/>
        <v>1.75</v>
      </c>
      <c r="FF67" s="754" t="b">
        <f t="shared" si="160"/>
        <v>0</v>
      </c>
      <c r="FG67" s="754" t="b">
        <f t="shared" si="161"/>
        <v>0</v>
      </c>
      <c r="FH67" s="754" t="b">
        <f t="shared" si="162"/>
        <v>0</v>
      </c>
      <c r="FI67" s="754" t="b">
        <f t="shared" si="163"/>
        <v>0</v>
      </c>
      <c r="FJ67" s="920" t="str">
        <f t="shared" si="177"/>
        <v/>
      </c>
      <c r="FK67" s="919" t="str">
        <f t="shared" si="178"/>
        <v>G30</v>
      </c>
      <c r="FL67" s="320">
        <f t="shared" si="179"/>
        <v>620</v>
      </c>
      <c r="FM67" s="312" t="str">
        <f t="shared" si="164"/>
        <v/>
      </c>
      <c r="FN67" s="272">
        <f t="shared" ca="1" si="180"/>
        <v>96</v>
      </c>
      <c r="FO67" s="273">
        <f t="shared" ca="1" si="181"/>
        <v>5</v>
      </c>
      <c r="FP67" s="274">
        <f t="shared" ca="1" si="182"/>
        <v>96</v>
      </c>
      <c r="FQ67" s="274">
        <f t="shared" ca="1" si="183"/>
        <v>48</v>
      </c>
      <c r="FR67" s="321">
        <f t="shared" ca="1" si="184"/>
        <v>0</v>
      </c>
      <c r="FS67" s="322">
        <f t="shared" ca="1" si="185"/>
        <v>624</v>
      </c>
      <c r="FT67" s="272">
        <f t="shared" ca="1" si="186"/>
        <v>620</v>
      </c>
      <c r="FU67" s="275">
        <f t="shared" ca="1" si="187"/>
        <v>1</v>
      </c>
      <c r="FV67" s="323">
        <f t="shared" ca="1" si="165"/>
        <v>94</v>
      </c>
      <c r="FW67" s="276">
        <f t="shared" ca="1" si="188"/>
        <v>94</v>
      </c>
      <c r="FX67" s="276">
        <f t="shared" ca="1" si="189"/>
        <v>96</v>
      </c>
      <c r="FY67" s="276">
        <f t="shared" ca="1" si="190"/>
        <v>46</v>
      </c>
      <c r="FZ67" s="276">
        <f t="shared" ca="1" si="191"/>
        <v>46</v>
      </c>
      <c r="GA67" s="276">
        <f t="shared" ca="1" si="192"/>
        <v>620</v>
      </c>
      <c r="GB67" s="277">
        <f ca="1">IF(FY67="","",2+SUM(FO67:OFFSET(FO67,(FU67-1)*-1,0)))</f>
        <v>7</v>
      </c>
      <c r="GC67" s="316">
        <f t="shared" si="193"/>
        <v>-0.25</v>
      </c>
      <c r="GD67" s="324">
        <f t="shared" si="166"/>
        <v>1.75</v>
      </c>
      <c r="GE67" s="325" t="str">
        <f t="shared" si="167"/>
        <v/>
      </c>
      <c r="GF67" s="278" t="str">
        <f t="shared" si="168"/>
        <v>#6</v>
      </c>
      <c r="GG67" s="279">
        <f t="shared" si="169"/>
        <v>12</v>
      </c>
      <c r="GH67" s="279" t="str">
        <f t="shared" si="170"/>
        <v/>
      </c>
      <c r="GI67" s="280" t="str">
        <f t="shared" si="171"/>
        <v/>
      </c>
      <c r="GJ67" s="530">
        <f t="shared" ca="1" si="172"/>
        <v>0</v>
      </c>
      <c r="GK67" s="895" t="str">
        <f t="shared" ca="1" si="194"/>
        <v/>
      </c>
    </row>
    <row r="68" spans="78:193" ht="12.6" hidden="1" customHeight="1" x14ac:dyDescent="0.2">
      <c r="BZ68" s="293"/>
      <c r="CA68" s="293"/>
      <c r="CB68" s="365" t="str">
        <f t="shared" si="100"/>
        <v>G31</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si="101"/>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-7</v>
      </c>
      <c r="CQ68" s="1306">
        <f>IF(CQ28="","",IF(VLOOKUP(CQ28,SectInfo!$B:$N,7,FALSE)="","",(VLOOKUP(CQ28,SectInfo!$B:$N,7,FALSE)*-1)))</f>
        <v>-6.5</v>
      </c>
      <c r="CR68" s="1306">
        <f>IF(CQ28="","",IF(VLOOKUP(CQ28,SectInfo!$B:$N,8,FALSE)="",$FC$4,(VLOOKUP(CQ28,SectInfo!$B:$N,8,FALSE))))</f>
        <v>5</v>
      </c>
      <c r="CS68" s="1306">
        <f>IF(CQ28="","",VLOOKUP(CQ28,SectInfo!$B:$N,9,FALSE))</f>
        <v>8</v>
      </c>
      <c r="CT68" s="1307">
        <f t="shared" si="102"/>
        <v>0</v>
      </c>
      <c r="CU68" s="1317">
        <f t="shared" si="103"/>
        <v>0</v>
      </c>
      <c r="CV68" s="1311">
        <f t="shared" si="104"/>
        <v>623.5</v>
      </c>
      <c r="CW68" s="1311">
        <f t="shared" si="105"/>
        <v>7.5</v>
      </c>
      <c r="CX68" s="1311">
        <f t="shared" si="106"/>
        <v>7.5</v>
      </c>
      <c r="CY68" s="1313">
        <f t="shared" si="107"/>
        <v>0</v>
      </c>
      <c r="CZ68" s="1313">
        <f t="shared" si="108"/>
        <v>8</v>
      </c>
      <c r="DA68" s="1313">
        <f t="shared" si="109"/>
        <v>8</v>
      </c>
      <c r="DB68" s="1311">
        <f t="shared" si="173"/>
        <v>7.75</v>
      </c>
      <c r="DC68" s="1311">
        <f t="shared" si="110"/>
        <v>1.75</v>
      </c>
      <c r="DD68" s="875">
        <f t="shared" si="174"/>
        <v>1.75</v>
      </c>
      <c r="DE68" s="873">
        <f t="shared" si="111"/>
        <v>0</v>
      </c>
      <c r="DF68" s="874">
        <f t="shared" si="112"/>
        <v>8</v>
      </c>
      <c r="DG68" s="874">
        <f t="shared" si="113"/>
        <v>8</v>
      </c>
      <c r="DH68" s="1311">
        <f t="shared" si="175"/>
        <v>7.75</v>
      </c>
      <c r="DI68" s="1311">
        <f t="shared" si="114"/>
        <v>1.75</v>
      </c>
      <c r="DJ68" s="1312">
        <f t="shared" si="176"/>
        <v>1.75</v>
      </c>
      <c r="DK68" s="1311">
        <f t="shared" si="115"/>
        <v>620</v>
      </c>
      <c r="DL68" s="1311">
        <f t="shared" si="116"/>
        <v>-6.5</v>
      </c>
      <c r="DM68" s="1311">
        <f t="shared" si="117"/>
        <v>6.25</v>
      </c>
      <c r="DN68" s="1311">
        <f t="shared" si="118"/>
        <v>6.25</v>
      </c>
      <c r="DO68" s="889">
        <f t="shared" si="119"/>
        <v>6.25</v>
      </c>
      <c r="DP68" s="889">
        <f t="shared" si="120"/>
        <v>6.25</v>
      </c>
      <c r="DQ68" s="1311">
        <f t="shared" si="121"/>
        <v>6.25</v>
      </c>
      <c r="DR68" s="1311">
        <f t="shared" si="121"/>
        <v>6.25</v>
      </c>
      <c r="DS68" s="1311">
        <f t="shared" si="122"/>
        <v>-6.5</v>
      </c>
      <c r="DT68" s="1311">
        <f t="shared" si="123"/>
        <v>6.25</v>
      </c>
      <c r="DU68" s="1311">
        <f t="shared" si="124"/>
        <v>6.25</v>
      </c>
      <c r="DV68" s="889">
        <f t="shared" si="125"/>
        <v>6.25</v>
      </c>
      <c r="DW68" s="889">
        <f t="shared" si="126"/>
        <v>6.25</v>
      </c>
      <c r="DX68" s="873">
        <f t="shared" si="127"/>
        <v>6.25</v>
      </c>
      <c r="DY68" s="873">
        <f t="shared" si="127"/>
        <v>6.25</v>
      </c>
      <c r="DZ68" s="873">
        <f t="shared" si="128"/>
        <v>6.75</v>
      </c>
      <c r="EA68" s="873">
        <f t="shared" si="129"/>
        <v>6.75</v>
      </c>
      <c r="EB68" s="876">
        <f t="shared" si="130"/>
        <v>5</v>
      </c>
      <c r="EC68" s="877">
        <f t="shared" si="131"/>
        <v>5</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f t="shared" si="143"/>
        <v>0</v>
      </c>
      <c r="EP68" s="874">
        <f t="shared" si="144"/>
        <v>0</v>
      </c>
      <c r="EQ68" s="874">
        <f t="shared" si="145"/>
        <v>0</v>
      </c>
      <c r="ER68" s="874">
        <f t="shared" si="146"/>
        <v>0</v>
      </c>
      <c r="ES68" s="874" t="str">
        <f t="shared" si="147"/>
        <v/>
      </c>
      <c r="ET68" s="873">
        <f t="shared" si="148"/>
        <v>0</v>
      </c>
      <c r="EU68" s="873">
        <f t="shared" si="149"/>
        <v>0</v>
      </c>
      <c r="EV68" s="876">
        <f t="shared" si="150"/>
        <v>6</v>
      </c>
      <c r="EW68" s="876">
        <f t="shared" si="151"/>
        <v>6</v>
      </c>
      <c r="EX68" s="878" t="str">
        <f t="shared" si="152"/>
        <v>ERR</v>
      </c>
      <c r="EY68" s="879" t="e">
        <f t="shared" si="153"/>
        <v>#VALUE!</v>
      </c>
      <c r="EZ68" s="959">
        <f t="shared" si="154"/>
        <v>9305.4857142857145</v>
      </c>
      <c r="FA68" s="960">
        <f t="shared" si="155"/>
        <v>8064.7542857142844</v>
      </c>
      <c r="FB68" s="880">
        <f t="shared" si="156"/>
        <v>0</v>
      </c>
      <c r="FC68" s="881">
        <f t="shared" si="157"/>
        <v>0</v>
      </c>
      <c r="FD68" s="890">
        <f t="shared" si="158"/>
        <v>1.75</v>
      </c>
      <c r="FE68" s="833">
        <f t="shared" si="159"/>
        <v>1.75</v>
      </c>
      <c r="FF68" s="754" t="b">
        <f t="shared" si="160"/>
        <v>0</v>
      </c>
      <c r="FG68" s="754" t="b">
        <f t="shared" si="161"/>
        <v>0</v>
      </c>
      <c r="FH68" s="754" t="b">
        <f t="shared" si="162"/>
        <v>0</v>
      </c>
      <c r="FI68" s="754" t="b">
        <f t="shared" si="163"/>
        <v>0</v>
      </c>
      <c r="FJ68" s="920" t="str">
        <f t="shared" si="177"/>
        <v/>
      </c>
      <c r="FK68" s="919" t="str">
        <f t="shared" si="178"/>
        <v>G31</v>
      </c>
      <c r="FL68" s="320">
        <f t="shared" si="179"/>
        <v>620</v>
      </c>
      <c r="FM68" s="312" t="str">
        <f t="shared" si="164"/>
        <v/>
      </c>
      <c r="FN68" s="272">
        <f t="shared" ca="1" si="180"/>
        <v>48</v>
      </c>
      <c r="FO68" s="273">
        <f t="shared" ca="1" si="181"/>
        <v>5</v>
      </c>
      <c r="FP68" s="274">
        <f t="shared" ca="1" si="182"/>
        <v>96</v>
      </c>
      <c r="FQ68" s="274">
        <f t="shared" ca="1" si="183"/>
        <v>96</v>
      </c>
      <c r="FR68" s="321">
        <f t="shared" ca="1" si="184"/>
        <v>0</v>
      </c>
      <c r="FS68" s="322">
        <f t="shared" ca="1" si="185"/>
        <v>624</v>
      </c>
      <c r="FT68" s="272">
        <f t="shared" ca="1" si="186"/>
        <v>620</v>
      </c>
      <c r="FU68" s="275">
        <f t="shared" ca="1" si="187"/>
        <v>1</v>
      </c>
      <c r="FV68" s="323">
        <f t="shared" ca="1" si="165"/>
        <v>46</v>
      </c>
      <c r="FW68" s="276">
        <f t="shared" ca="1" si="188"/>
        <v>46</v>
      </c>
      <c r="FX68" s="276">
        <f t="shared" ca="1" si="189"/>
        <v>96</v>
      </c>
      <c r="FY68" s="276">
        <f t="shared" ca="1" si="190"/>
        <v>94</v>
      </c>
      <c r="FZ68" s="276">
        <f t="shared" ca="1" si="191"/>
        <v>94</v>
      </c>
      <c r="GA68" s="276">
        <f t="shared" ca="1" si="192"/>
        <v>620</v>
      </c>
      <c r="GB68" s="277">
        <f ca="1">IF(FY68="","",2+SUM(FO68:OFFSET(FO68,(FU68-1)*-1,0)))</f>
        <v>7</v>
      </c>
      <c r="GC68" s="316">
        <f t="shared" si="193"/>
        <v>-0.25</v>
      </c>
      <c r="GD68" s="324" t="str">
        <f t="shared" si="166"/>
        <v/>
      </c>
      <c r="GE68" s="325">
        <f t="shared" si="167"/>
        <v>1.75</v>
      </c>
      <c r="GF68" s="278" t="str">
        <f t="shared" si="168"/>
        <v>#1</v>
      </c>
      <c r="GG68" s="279">
        <f t="shared" si="169"/>
        <v>612</v>
      </c>
      <c r="GH68" s="279" t="str">
        <f t="shared" si="170"/>
        <v/>
      </c>
      <c r="GI68" s="280" t="str">
        <f t="shared" si="171"/>
        <v/>
      </c>
      <c r="GJ68" s="530">
        <f t="shared" ca="1" si="172"/>
        <v>0</v>
      </c>
      <c r="GK68" s="895" t="str">
        <f t="shared" ca="1" si="194"/>
        <v/>
      </c>
    </row>
    <row r="69" spans="78:193" ht="12.6" hidden="1" customHeight="1" x14ac:dyDescent="0.2">
      <c r="BZ69" s="293"/>
      <c r="CA69" s="293"/>
      <c r="CB69" s="365" t="str">
        <f t="shared" si="100"/>
        <v>G32</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-6.5</v>
      </c>
      <c r="CI69" s="1306">
        <f>IF(CG29="","",IF(VLOOKUP(CG29,SectInfo!$B:$N,8,FALSE)="",$FC$4,(VLOOKUP(CG29,SectInfo!$B:$N,8,FALSE))))</f>
        <v>5</v>
      </c>
      <c r="CJ69" s="1306">
        <f>IF(CG29="","",VLOOKUP(CG29,SectInfo!$B:$N,9,FALSE))</f>
        <v>8</v>
      </c>
      <c r="CK69" s="1307">
        <f t="shared" si="101"/>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1306">
        <f>IF(CQ29="","",IF(VLOOKUP(CQ29,SectInfo!$B:$N,7,FALSE)="","",(VLOOKUP(CQ29,SectInfo!$B:$N,7,FALSE)*-1)))</f>
        <v>-6.5</v>
      </c>
      <c r="CR69" s="1306">
        <f>IF(CQ29="","",IF(VLOOKUP(CQ29,SectInfo!$B:$N,8,FALSE)="",$FC$4,(VLOOKUP(CQ29,SectInfo!$B:$N,8,FALSE))))</f>
        <v>5</v>
      </c>
      <c r="CS69" s="1306">
        <f>IF(CQ29="","",VLOOKUP(CQ29,SectInfo!$B:$N,9,FALSE))</f>
        <v>8</v>
      </c>
      <c r="CT69" s="1307">
        <f t="shared" si="102"/>
        <v>0</v>
      </c>
      <c r="CU69" s="1317">
        <f t="shared" si="103"/>
        <v>0</v>
      </c>
      <c r="CV69" s="1311">
        <f t="shared" si="104"/>
        <v>623.5</v>
      </c>
      <c r="CW69" s="1311">
        <f t="shared" si="105"/>
        <v>7.5</v>
      </c>
      <c r="CX69" s="1311">
        <f t="shared" si="106"/>
        <v>7.5</v>
      </c>
      <c r="CY69" s="1313">
        <f t="shared" si="107"/>
        <v>0</v>
      </c>
      <c r="CZ69" s="1313">
        <f t="shared" si="108"/>
        <v>8</v>
      </c>
      <c r="DA69" s="1313">
        <f t="shared" si="109"/>
        <v>8</v>
      </c>
      <c r="DB69" s="1311">
        <f t="shared" si="173"/>
        <v>7.75</v>
      </c>
      <c r="DC69" s="1311">
        <f t="shared" si="110"/>
        <v>1.75</v>
      </c>
      <c r="DD69" s="875">
        <f t="shared" si="174"/>
        <v>1.75</v>
      </c>
      <c r="DE69" s="873">
        <f t="shared" si="111"/>
        <v>0</v>
      </c>
      <c r="DF69" s="874">
        <f t="shared" si="112"/>
        <v>8</v>
      </c>
      <c r="DG69" s="874">
        <f t="shared" si="113"/>
        <v>8</v>
      </c>
      <c r="DH69" s="1311">
        <f t="shared" si="175"/>
        <v>7.75</v>
      </c>
      <c r="DI69" s="1311">
        <f t="shared" si="114"/>
        <v>1.75</v>
      </c>
      <c r="DJ69" s="1312">
        <f t="shared" si="176"/>
        <v>1.75</v>
      </c>
      <c r="DK69" s="1311">
        <f t="shared" si="115"/>
        <v>620</v>
      </c>
      <c r="DL69" s="1311">
        <f t="shared" si="116"/>
        <v>-6.5</v>
      </c>
      <c r="DM69" s="1311">
        <f t="shared" si="117"/>
        <v>6.25</v>
      </c>
      <c r="DN69" s="1311">
        <f t="shared" si="118"/>
        <v>6.25</v>
      </c>
      <c r="DO69" s="889">
        <f t="shared" si="119"/>
        <v>6.25</v>
      </c>
      <c r="DP69" s="889">
        <f t="shared" si="120"/>
        <v>6.25</v>
      </c>
      <c r="DQ69" s="1311">
        <f t="shared" si="121"/>
        <v>6.25</v>
      </c>
      <c r="DR69" s="1311">
        <f t="shared" si="121"/>
        <v>6.25</v>
      </c>
      <c r="DS69" s="1311">
        <f t="shared" si="122"/>
        <v>-6.5</v>
      </c>
      <c r="DT69" s="1311">
        <f t="shared" si="123"/>
        <v>6.25</v>
      </c>
      <c r="DU69" s="1311">
        <f t="shared" si="124"/>
        <v>6.25</v>
      </c>
      <c r="DV69" s="889">
        <f t="shared" si="125"/>
        <v>6.25</v>
      </c>
      <c r="DW69" s="889">
        <f t="shared" si="126"/>
        <v>6.25</v>
      </c>
      <c r="DX69" s="873">
        <f t="shared" si="127"/>
        <v>6.25</v>
      </c>
      <c r="DY69" s="873">
        <f t="shared" si="127"/>
        <v>6.25</v>
      </c>
      <c r="DZ69" s="873">
        <f t="shared" si="128"/>
        <v>6.75</v>
      </c>
      <c r="EA69" s="873">
        <f t="shared" si="129"/>
        <v>6.75</v>
      </c>
      <c r="EB69" s="876">
        <f t="shared" si="130"/>
        <v>5</v>
      </c>
      <c r="EC69" s="877">
        <f t="shared" si="131"/>
        <v>5</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f t="shared" si="143"/>
        <v>0</v>
      </c>
      <c r="EP69" s="874">
        <f t="shared" si="144"/>
        <v>0</v>
      </c>
      <c r="EQ69" s="874">
        <f t="shared" si="145"/>
        <v>0</v>
      </c>
      <c r="ER69" s="874">
        <f t="shared" si="146"/>
        <v>0</v>
      </c>
      <c r="ES69" s="874" t="str">
        <f t="shared" si="147"/>
        <v/>
      </c>
      <c r="ET69" s="873">
        <f t="shared" si="148"/>
        <v>0</v>
      </c>
      <c r="EU69" s="873">
        <f t="shared" si="149"/>
        <v>0</v>
      </c>
      <c r="EV69" s="876">
        <f t="shared" si="150"/>
        <v>6</v>
      </c>
      <c r="EW69" s="876">
        <f t="shared" si="151"/>
        <v>6</v>
      </c>
      <c r="EX69" s="878" t="str">
        <f t="shared" si="152"/>
        <v>ERR</v>
      </c>
      <c r="EY69" s="879" t="e">
        <f t="shared" si="153"/>
        <v>#VALUE!</v>
      </c>
      <c r="EZ69" s="959">
        <f t="shared" si="154"/>
        <v>9305.4857142857145</v>
      </c>
      <c r="FA69" s="960">
        <f t="shared" si="155"/>
        <v>8064.7542857142844</v>
      </c>
      <c r="FB69" s="880">
        <f t="shared" si="156"/>
        <v>0</v>
      </c>
      <c r="FC69" s="881">
        <f t="shared" si="157"/>
        <v>0</v>
      </c>
      <c r="FD69" s="890">
        <f t="shared" si="158"/>
        <v>1.75</v>
      </c>
      <c r="FE69" s="833">
        <f t="shared" si="159"/>
        <v>1.75</v>
      </c>
      <c r="FF69" s="754" t="b">
        <f t="shared" si="160"/>
        <v>0</v>
      </c>
      <c r="FG69" s="754" t="b">
        <f t="shared" si="161"/>
        <v>0</v>
      </c>
      <c r="FH69" s="754" t="b">
        <f t="shared" si="162"/>
        <v>0</v>
      </c>
      <c r="FI69" s="754" t="b">
        <f t="shared" si="163"/>
        <v>0</v>
      </c>
      <c r="FJ69" s="920" t="str">
        <f t="shared" si="177"/>
        <v/>
      </c>
      <c r="FK69" s="919" t="str">
        <f t="shared" si="178"/>
        <v>G32</v>
      </c>
      <c r="FL69" s="320">
        <f t="shared" si="179"/>
        <v>620</v>
      </c>
      <c r="FM69" s="312" t="str">
        <f t="shared" si="164"/>
        <v/>
      </c>
      <c r="FN69" s="272">
        <f t="shared" ca="1" si="180"/>
        <v>96</v>
      </c>
      <c r="FO69" s="273">
        <f t="shared" ca="1" si="181"/>
        <v>5</v>
      </c>
      <c r="FP69" s="274">
        <f t="shared" ca="1" si="182"/>
        <v>96</v>
      </c>
      <c r="FQ69" s="274">
        <f t="shared" ca="1" si="183"/>
        <v>48</v>
      </c>
      <c r="FR69" s="321">
        <f t="shared" ca="1" si="184"/>
        <v>0</v>
      </c>
      <c r="FS69" s="322">
        <f t="shared" ca="1" si="185"/>
        <v>624</v>
      </c>
      <c r="FT69" s="272">
        <f t="shared" ca="1" si="186"/>
        <v>620</v>
      </c>
      <c r="FU69" s="275">
        <f t="shared" ca="1" si="187"/>
        <v>1</v>
      </c>
      <c r="FV69" s="323">
        <f t="shared" ca="1" si="165"/>
        <v>94</v>
      </c>
      <c r="FW69" s="276">
        <f t="shared" ca="1" si="188"/>
        <v>94</v>
      </c>
      <c r="FX69" s="276">
        <f t="shared" ca="1" si="189"/>
        <v>96</v>
      </c>
      <c r="FY69" s="276">
        <f t="shared" ca="1" si="190"/>
        <v>46</v>
      </c>
      <c r="FZ69" s="276">
        <f t="shared" ca="1" si="191"/>
        <v>46</v>
      </c>
      <c r="GA69" s="276">
        <f t="shared" ca="1" si="192"/>
        <v>620</v>
      </c>
      <c r="GB69" s="277">
        <f ca="1">IF(FY69="","",2+SUM(FO69:OFFSET(FO69,(FU69-1)*-1,0)))</f>
        <v>7</v>
      </c>
      <c r="GC69" s="316">
        <f t="shared" si="193"/>
        <v>-0.25</v>
      </c>
      <c r="GD69" s="324">
        <f t="shared" si="166"/>
        <v>1.75</v>
      </c>
      <c r="GE69" s="325" t="str">
        <f t="shared" si="167"/>
        <v/>
      </c>
      <c r="GF69" s="278" t="str">
        <f t="shared" si="168"/>
        <v>#6</v>
      </c>
      <c r="GG69" s="279">
        <f t="shared" si="169"/>
        <v>12</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G33</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01"/>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1306">
        <f>IF(CQ30="","",IF(VLOOKUP(CQ30,SectInfo!$B:$N,7,FALSE)="","",(VLOOKUP(CQ30,SectInfo!$B:$N,7,FALSE)*-1)))</f>
        <v>-8.5</v>
      </c>
      <c r="CR70" s="1306">
        <f>IF(CQ30="","",IF(VLOOKUP(CQ30,SectInfo!$B:$N,8,FALSE)="",$FC$4,(VLOOKUP(CQ30,SectInfo!$B:$N,8,FALSE))))</f>
        <v>5</v>
      </c>
      <c r="CS70" s="1306">
        <f>IF(CQ30="","",VLOOKUP(CQ30,SectInfo!$B:$N,9,FALSE))</f>
        <v>11</v>
      </c>
      <c r="CT70" s="1307">
        <f t="shared" si="102"/>
        <v>0</v>
      </c>
      <c r="CU70" s="1317">
        <f t="shared" si="103"/>
        <v>0</v>
      </c>
      <c r="CV70" s="1311">
        <f t="shared" si="104"/>
        <v>618.25</v>
      </c>
      <c r="CW70" s="1311">
        <f t="shared" si="105"/>
        <v>7.5</v>
      </c>
      <c r="CX70" s="1311">
        <f t="shared" si="106"/>
        <v>7.5</v>
      </c>
      <c r="CY70" s="1313">
        <f t="shared" si="107"/>
        <v>0</v>
      </c>
      <c r="CZ70" s="1313">
        <f t="shared" si="108"/>
        <v>8</v>
      </c>
      <c r="DA70" s="1313">
        <f t="shared" si="109"/>
        <v>8</v>
      </c>
      <c r="DB70" s="1311">
        <f t="shared" si="173"/>
        <v>7.75</v>
      </c>
      <c r="DC70" s="1311">
        <f t="shared" si="110"/>
        <v>1.75</v>
      </c>
      <c r="DD70" s="875">
        <f t="shared" si="174"/>
        <v>1.75</v>
      </c>
      <c r="DE70" s="873">
        <f t="shared" si="111"/>
        <v>0</v>
      </c>
      <c r="DF70" s="874">
        <f t="shared" si="112"/>
        <v>11</v>
      </c>
      <c r="DG70" s="874">
        <f t="shared" si="113"/>
        <v>11</v>
      </c>
      <c r="DH70" s="1311">
        <f t="shared" si="175"/>
        <v>5.5</v>
      </c>
      <c r="DI70" s="1311">
        <f t="shared" si="114"/>
        <v>0</v>
      </c>
      <c r="DJ70" s="1312">
        <f t="shared" si="176"/>
        <v>0</v>
      </c>
      <c r="DK70" s="1311">
        <f t="shared" si="115"/>
        <v>616.5</v>
      </c>
      <c r="DL70" s="1311">
        <f t="shared" si="116"/>
        <v>-6.5</v>
      </c>
      <c r="DM70" s="1311">
        <f t="shared" si="117"/>
        <v>6.25</v>
      </c>
      <c r="DN70" s="1311">
        <f t="shared" si="118"/>
        <v>6.25</v>
      </c>
      <c r="DO70" s="889">
        <f t="shared" si="119"/>
        <v>6.25</v>
      </c>
      <c r="DP70" s="889">
        <f t="shared" si="120"/>
        <v>6.25</v>
      </c>
      <c r="DQ70" s="1311">
        <f t="shared" si="121"/>
        <v>6.25</v>
      </c>
      <c r="DR70" s="1311">
        <f t="shared" si="121"/>
        <v>6.25</v>
      </c>
      <c r="DS70" s="1311">
        <f t="shared" si="122"/>
        <v>-8.5</v>
      </c>
      <c r="DT70" s="1311">
        <f t="shared" si="123"/>
        <v>3</v>
      </c>
      <c r="DU70" s="1311">
        <f t="shared" si="124"/>
        <v>3</v>
      </c>
      <c r="DV70" s="889">
        <f t="shared" si="125"/>
        <v>3</v>
      </c>
      <c r="DW70" s="889">
        <f t="shared" si="126"/>
        <v>3</v>
      </c>
      <c r="DX70" s="873">
        <f t="shared" si="127"/>
        <v>3</v>
      </c>
      <c r="DY70" s="873">
        <f t="shared" si="127"/>
        <v>3</v>
      </c>
      <c r="DZ70" s="873">
        <f t="shared" si="128"/>
        <v>6.75</v>
      </c>
      <c r="EA70" s="873">
        <f t="shared" si="129"/>
        <v>1.5</v>
      </c>
      <c r="EB70" s="876">
        <f t="shared" si="130"/>
        <v>5</v>
      </c>
      <c r="EC70" s="877">
        <f t="shared" si="131"/>
        <v>5</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f t="shared" si="143"/>
        <v>0</v>
      </c>
      <c r="EP70" s="874">
        <f t="shared" si="144"/>
        <v>0</v>
      </c>
      <c r="EQ70" s="874">
        <f t="shared" si="145"/>
        <v>0</v>
      </c>
      <c r="ER70" s="874">
        <f t="shared" si="146"/>
        <v>0</v>
      </c>
      <c r="ES70" s="874" t="str">
        <f t="shared" si="147"/>
        <v/>
      </c>
      <c r="ET70" s="873">
        <f t="shared" si="148"/>
        <v>0</v>
      </c>
      <c r="EU70" s="873">
        <f t="shared" si="149"/>
        <v>0</v>
      </c>
      <c r="EV70" s="876">
        <f t="shared" si="150"/>
        <v>6</v>
      </c>
      <c r="EW70" s="876">
        <f t="shared" si="151"/>
        <v>5.5</v>
      </c>
      <c r="EX70" s="878" t="str">
        <f t="shared" si="152"/>
        <v>ERR</v>
      </c>
      <c r="EY70" s="879" t="e">
        <f t="shared" si="153"/>
        <v>#VALUE!</v>
      </c>
      <c r="EZ70" s="959">
        <f t="shared" si="154"/>
        <v>9305.4857142857145</v>
      </c>
      <c r="FA70" s="960">
        <f t="shared" si="155"/>
        <v>8064.7542857142844</v>
      </c>
      <c r="FB70" s="880">
        <f t="shared" si="156"/>
        <v>0</v>
      </c>
      <c r="FC70" s="881">
        <f t="shared" si="157"/>
        <v>0</v>
      </c>
      <c r="FD70" s="890">
        <f t="shared" si="158"/>
        <v>1.75</v>
      </c>
      <c r="FE70" s="833">
        <f t="shared" si="159"/>
        <v>0</v>
      </c>
      <c r="FF70" s="755" t="b">
        <f t="shared" si="160"/>
        <v>0</v>
      </c>
      <c r="FG70" s="755" t="b">
        <f t="shared" si="161"/>
        <v>0</v>
      </c>
      <c r="FH70" s="755" t="b">
        <f t="shared" si="162"/>
        <v>0</v>
      </c>
      <c r="FI70" s="755" t="b">
        <f t="shared" si="163"/>
        <v>0</v>
      </c>
      <c r="FJ70" s="920" t="str">
        <f t="shared" si="177"/>
        <v/>
      </c>
      <c r="FK70" s="919" t="str">
        <f t="shared" si="178"/>
        <v>G33</v>
      </c>
      <c r="FL70" s="320">
        <f t="shared" si="179"/>
        <v>616.5</v>
      </c>
      <c r="FM70" s="312" t="str">
        <f t="shared" si="164"/>
        <v/>
      </c>
      <c r="FN70" s="272">
        <f t="shared" ca="1" si="180"/>
        <v>96</v>
      </c>
      <c r="FO70" s="273">
        <f t="shared" ca="1" si="181"/>
        <v>5</v>
      </c>
      <c r="FP70" s="274">
        <f t="shared" ca="1" si="182"/>
        <v>96</v>
      </c>
      <c r="FQ70" s="274">
        <f t="shared" ca="1" si="183"/>
        <v>48</v>
      </c>
      <c r="FR70" s="321">
        <f t="shared" ca="1" si="184"/>
        <v>0</v>
      </c>
      <c r="FS70" s="322">
        <f t="shared" ca="1" si="185"/>
        <v>624</v>
      </c>
      <c r="FT70" s="272">
        <f t="shared" ca="1" si="186"/>
        <v>616.5</v>
      </c>
      <c r="FU70" s="275">
        <f t="shared" ca="1" si="187"/>
        <v>1</v>
      </c>
      <c r="FV70" s="323">
        <f t="shared" ca="1" si="165"/>
        <v>94</v>
      </c>
      <c r="FW70" s="276">
        <f t="shared" ca="1" si="188"/>
        <v>94</v>
      </c>
      <c r="FX70" s="276">
        <f t="shared" ca="1" si="189"/>
        <v>96</v>
      </c>
      <c r="FY70" s="276">
        <f t="shared" ca="1" si="190"/>
        <v>42.5</v>
      </c>
      <c r="FZ70" s="276">
        <f t="shared" ca="1" si="191"/>
        <v>42.5</v>
      </c>
      <c r="GA70" s="276">
        <f t="shared" ca="1" si="192"/>
        <v>616.5</v>
      </c>
      <c r="GB70" s="277">
        <f ca="1">IF(FY70="","",2+SUM(FO70:OFFSET(FO70,(FU70-1)*-1,0)))</f>
        <v>7</v>
      </c>
      <c r="GC70" s="316">
        <f t="shared" si="193"/>
        <v>-0.25</v>
      </c>
      <c r="GD70" s="324">
        <f t="shared" si="166"/>
        <v>1.75</v>
      </c>
      <c r="GE70" s="325" t="str">
        <f t="shared" si="167"/>
        <v/>
      </c>
      <c r="GF70" s="278">
        <f t="shared" si="168"/>
        <v>12</v>
      </c>
      <c r="GG70" s="279" t="str">
        <f t="shared" si="169"/>
        <v/>
      </c>
      <c r="GH70" s="279" t="str">
        <f t="shared" si="170"/>
        <v/>
      </c>
      <c r="GI70" s="280" t="str">
        <f t="shared" si="171"/>
        <v/>
      </c>
      <c r="GJ70" s="530">
        <f t="shared" ca="1" si="172"/>
        <v>0</v>
      </c>
      <c r="GK70" s="895" t="str">
        <f t="shared" ca="1" si="194"/>
        <v>B</v>
      </c>
    </row>
    <row r="71" spans="78:193" ht="12.6" hidden="1" customHeight="1" x14ac:dyDescent="0.2">
      <c r="BZ71" s="293"/>
      <c r="CA71" s="293"/>
      <c r="CB71" s="365" t="str">
        <f t="shared" si="100"/>
        <v>G34</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01"/>
        <v>0</v>
      </c>
      <c r="CL71" s="1305" t="str">
        <f>IF(CQ31="","",VLOOKUP(CQ31,SectInfo!$B:$N,12,FALSE))</f>
        <v>C</v>
      </c>
      <c r="CM71" s="1306">
        <f>IF(ISBLANK(CX31),IF(CQ31="","",VLOOKUP(CQ31,SectInfo!$B:$N,13,FALSE)),CX31)</f>
        <v>-5.5</v>
      </c>
      <c r="CN71" s="1306" t="str">
        <f>IF(CQ31="","",IF(VLOOKUP(CQ31,SectInfo!$B:$N,5,FALSE)="","R",UPPER(VLOOKUP(CQ31,SectInfo!$B:$N,5,FALSE))))</f>
        <v>R</v>
      </c>
      <c r="CO71" s="1306">
        <f>IF(ISBLANK(CZ31),IF(CQ31="","",VLOOKUP(CQ31,SectInfo!$B:$N,6,FALSE)),CZ31)</f>
        <v>7.5</v>
      </c>
      <c r="CP71" s="1306">
        <f>IF(CQ31="","",IF(VLOOKUP(CQ31,SectInfo!$B:$N,10,FALSE)="","",(VLOOKUP(CQ31,SectInfo!$B:$N,10,FALSE)*-1)))</f>
        <v>-7</v>
      </c>
      <c r="CQ71" s="1306">
        <f>IF(CQ31="","",IF(VLOOKUP(CQ31,SectInfo!$B:$N,7,FALSE)="","",(VLOOKUP(CQ31,SectInfo!$B:$N,7,FALSE)*-1)))</f>
        <v>-8.5</v>
      </c>
      <c r="CR71" s="1306">
        <f>IF(CQ31="","",IF(VLOOKUP(CQ31,SectInfo!$B:$N,8,FALSE)="",$FC$4,(VLOOKUP(CQ31,SectInfo!$B:$N,8,FALSE))))</f>
        <v>5</v>
      </c>
      <c r="CS71" s="1306">
        <f>IF(CQ31="","",VLOOKUP(CQ31,SectInfo!$B:$N,9,FALSE))</f>
        <v>11</v>
      </c>
      <c r="CT71" s="1307">
        <f t="shared" si="102"/>
        <v>0</v>
      </c>
      <c r="CU71" s="1317">
        <f t="shared" si="103"/>
        <v>0</v>
      </c>
      <c r="CV71" s="1311">
        <f t="shared" si="104"/>
        <v>618.25</v>
      </c>
      <c r="CW71" s="1311">
        <f t="shared" si="105"/>
        <v>7.5</v>
      </c>
      <c r="CX71" s="1311">
        <f t="shared" si="106"/>
        <v>7.5</v>
      </c>
      <c r="CY71" s="1313">
        <f t="shared" si="107"/>
        <v>0</v>
      </c>
      <c r="CZ71" s="1313">
        <f t="shared" si="108"/>
        <v>8</v>
      </c>
      <c r="DA71" s="1313">
        <f t="shared" si="109"/>
        <v>8</v>
      </c>
      <c r="DB71" s="1311">
        <f t="shared" si="173"/>
        <v>7.75</v>
      </c>
      <c r="DC71" s="1311">
        <f t="shared" si="110"/>
        <v>1.75</v>
      </c>
      <c r="DD71" s="875">
        <f t="shared" si="174"/>
        <v>1.75</v>
      </c>
      <c r="DE71" s="873">
        <f t="shared" si="111"/>
        <v>0</v>
      </c>
      <c r="DF71" s="874">
        <f t="shared" si="112"/>
        <v>11</v>
      </c>
      <c r="DG71" s="874">
        <f t="shared" si="113"/>
        <v>11</v>
      </c>
      <c r="DH71" s="1311">
        <f t="shared" si="175"/>
        <v>5.5</v>
      </c>
      <c r="DI71" s="1311">
        <f t="shared" si="114"/>
        <v>0</v>
      </c>
      <c r="DJ71" s="1312">
        <f t="shared" si="176"/>
        <v>0</v>
      </c>
      <c r="DK71" s="1311">
        <f t="shared" si="115"/>
        <v>616.5</v>
      </c>
      <c r="DL71" s="1311">
        <f t="shared" si="116"/>
        <v>-6.5</v>
      </c>
      <c r="DM71" s="1311">
        <f t="shared" si="117"/>
        <v>6.25</v>
      </c>
      <c r="DN71" s="1311">
        <f t="shared" si="118"/>
        <v>6.25</v>
      </c>
      <c r="DO71" s="889">
        <f t="shared" si="119"/>
        <v>6.25</v>
      </c>
      <c r="DP71" s="889">
        <f t="shared" si="120"/>
        <v>6.25</v>
      </c>
      <c r="DQ71" s="1311">
        <f t="shared" si="121"/>
        <v>6.25</v>
      </c>
      <c r="DR71" s="1311">
        <f t="shared" si="121"/>
        <v>6.25</v>
      </c>
      <c r="DS71" s="1311">
        <f t="shared" si="122"/>
        <v>-8.5</v>
      </c>
      <c r="DT71" s="1311">
        <f t="shared" si="123"/>
        <v>3</v>
      </c>
      <c r="DU71" s="1311">
        <f t="shared" si="124"/>
        <v>3</v>
      </c>
      <c r="DV71" s="889">
        <f t="shared" si="125"/>
        <v>3</v>
      </c>
      <c r="DW71" s="889">
        <f t="shared" si="126"/>
        <v>3</v>
      </c>
      <c r="DX71" s="873">
        <f t="shared" si="127"/>
        <v>3</v>
      </c>
      <c r="DY71" s="873">
        <f t="shared" si="127"/>
        <v>3</v>
      </c>
      <c r="DZ71" s="873">
        <f t="shared" si="128"/>
        <v>6.75</v>
      </c>
      <c r="EA71" s="873">
        <f t="shared" si="129"/>
        <v>1.5</v>
      </c>
      <c r="EB71" s="876">
        <f t="shared" si="130"/>
        <v>5</v>
      </c>
      <c r="EC71" s="877">
        <f t="shared" si="131"/>
        <v>5</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f t="shared" si="143"/>
        <v>0</v>
      </c>
      <c r="EP71" s="874">
        <f t="shared" si="144"/>
        <v>0</v>
      </c>
      <c r="EQ71" s="874">
        <f t="shared" si="145"/>
        <v>0</v>
      </c>
      <c r="ER71" s="874">
        <f t="shared" si="146"/>
        <v>0</v>
      </c>
      <c r="ES71" s="874" t="str">
        <f t="shared" si="147"/>
        <v/>
      </c>
      <c r="ET71" s="873">
        <f t="shared" si="148"/>
        <v>0</v>
      </c>
      <c r="EU71" s="873">
        <f t="shared" si="149"/>
        <v>0</v>
      </c>
      <c r="EV71" s="876">
        <f t="shared" si="150"/>
        <v>6</v>
      </c>
      <c r="EW71" s="876">
        <f t="shared" si="151"/>
        <v>5.5</v>
      </c>
      <c r="EX71" s="878" t="str">
        <f t="shared" si="152"/>
        <v>ERR</v>
      </c>
      <c r="EY71" s="879" t="e">
        <f t="shared" si="153"/>
        <v>#VALUE!</v>
      </c>
      <c r="EZ71" s="959">
        <f t="shared" si="154"/>
        <v>9305.4857142857145</v>
      </c>
      <c r="FA71" s="960">
        <f t="shared" si="155"/>
        <v>8064.7542857142844</v>
      </c>
      <c r="FB71" s="880">
        <f t="shared" si="156"/>
        <v>0</v>
      </c>
      <c r="FC71" s="881">
        <f t="shared" si="157"/>
        <v>0</v>
      </c>
      <c r="FD71" s="890">
        <f t="shared" si="158"/>
        <v>1.75</v>
      </c>
      <c r="FE71" s="833">
        <f t="shared" si="159"/>
        <v>0</v>
      </c>
      <c r="FF71" s="755" t="b">
        <f t="shared" si="160"/>
        <v>0</v>
      </c>
      <c r="FG71" s="755" t="b">
        <f t="shared" si="161"/>
        <v>0</v>
      </c>
      <c r="FH71" s="755" t="b">
        <f t="shared" si="162"/>
        <v>0</v>
      </c>
      <c r="FI71" s="755" t="b">
        <f t="shared" si="163"/>
        <v>0</v>
      </c>
      <c r="FJ71" s="920" t="str">
        <f t="shared" si="177"/>
        <v/>
      </c>
      <c r="FK71" s="919" t="str">
        <f t="shared" si="178"/>
        <v>G34</v>
      </c>
      <c r="FL71" s="320">
        <f t="shared" si="179"/>
        <v>616.5</v>
      </c>
      <c r="FM71" s="312" t="str">
        <f t="shared" si="164"/>
        <v/>
      </c>
      <c r="FN71" s="272">
        <f t="shared" ca="1" si="180"/>
        <v>96</v>
      </c>
      <c r="FO71" s="273">
        <f t="shared" ca="1" si="181"/>
        <v>5</v>
      </c>
      <c r="FP71" s="274">
        <f t="shared" ca="1" si="182"/>
        <v>96</v>
      </c>
      <c r="FQ71" s="274">
        <f t="shared" ca="1" si="183"/>
        <v>48</v>
      </c>
      <c r="FR71" s="321">
        <f t="shared" ca="1" si="184"/>
        <v>0</v>
      </c>
      <c r="FS71" s="322">
        <f t="shared" ca="1" si="185"/>
        <v>624</v>
      </c>
      <c r="FT71" s="272">
        <f t="shared" ca="1" si="186"/>
        <v>616.5</v>
      </c>
      <c r="FU71" s="275">
        <f t="shared" ca="1" si="187"/>
        <v>1</v>
      </c>
      <c r="FV71" s="323">
        <f t="shared" ca="1" si="165"/>
        <v>94</v>
      </c>
      <c r="FW71" s="276">
        <f t="shared" ca="1" si="188"/>
        <v>94</v>
      </c>
      <c r="FX71" s="276">
        <f t="shared" ca="1" si="189"/>
        <v>96</v>
      </c>
      <c r="FY71" s="276">
        <f t="shared" ca="1" si="190"/>
        <v>42.5</v>
      </c>
      <c r="FZ71" s="276">
        <f t="shared" ca="1" si="191"/>
        <v>42.5</v>
      </c>
      <c r="GA71" s="276">
        <f t="shared" ca="1" si="192"/>
        <v>616.5</v>
      </c>
      <c r="GB71" s="277">
        <f ca="1">IF(FY71="","",2+SUM(FO71:OFFSET(FO71,(FU71-1)*-1,0)))</f>
        <v>7</v>
      </c>
      <c r="GC71" s="316">
        <f t="shared" si="193"/>
        <v>-0.25</v>
      </c>
      <c r="GD71" s="324">
        <f t="shared" si="166"/>
        <v>1.75</v>
      </c>
      <c r="GE71" s="325" t="str">
        <f t="shared" si="167"/>
        <v/>
      </c>
      <c r="GF71" s="278">
        <f t="shared" si="168"/>
        <v>12</v>
      </c>
      <c r="GG71" s="279" t="str">
        <f t="shared" si="169"/>
        <v/>
      </c>
      <c r="GH71" s="279" t="str">
        <f t="shared" si="170"/>
        <v/>
      </c>
      <c r="GI71" s="280" t="str">
        <f t="shared" si="171"/>
        <v/>
      </c>
      <c r="GJ71" s="530">
        <f t="shared" ca="1" si="172"/>
        <v>0</v>
      </c>
      <c r="GK71" s="895" t="str">
        <f t="shared" ca="1" si="194"/>
        <v>B</v>
      </c>
    </row>
    <row r="72" spans="78:193" ht="12.6" hidden="1" customHeight="1" x14ac:dyDescent="0.2">
      <c r="BZ72" s="293"/>
      <c r="CA72" s="293"/>
      <c r="CB72" s="365" t="str">
        <f t="shared" si="100"/>
        <v>G35</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01"/>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1306">
        <f>IF(CQ32="","",IF(VLOOKUP(CQ32,SectInfo!$B:$N,7,FALSE)="","",(VLOOKUP(CQ32,SectInfo!$B:$N,7,FALSE)*-1)))</f>
        <v>-6.5</v>
      </c>
      <c r="CR72" s="1306">
        <f>IF(CQ32="","",IF(VLOOKUP(CQ32,SectInfo!$B:$N,8,FALSE)="",$FC$4,(VLOOKUP(CQ32,SectInfo!$B:$N,8,FALSE))))</f>
        <v>5</v>
      </c>
      <c r="CS72" s="1306">
        <f>IF(CQ32="","",VLOOKUP(CQ32,SectInfo!$B:$N,9,FALSE))</f>
        <v>8</v>
      </c>
      <c r="CT72" s="1307">
        <f t="shared" si="102"/>
        <v>0</v>
      </c>
      <c r="CU72" s="1317">
        <f t="shared" si="103"/>
        <v>0</v>
      </c>
      <c r="CV72" s="1311">
        <f t="shared" si="104"/>
        <v>623.5</v>
      </c>
      <c r="CW72" s="1311">
        <f t="shared" si="105"/>
        <v>7.5</v>
      </c>
      <c r="CX72" s="1311">
        <f t="shared" si="106"/>
        <v>7.5</v>
      </c>
      <c r="CY72" s="1313">
        <f t="shared" si="107"/>
        <v>0</v>
      </c>
      <c r="CZ72" s="1313">
        <f t="shared" si="108"/>
        <v>8</v>
      </c>
      <c r="DA72" s="1313">
        <f t="shared" si="109"/>
        <v>8</v>
      </c>
      <c r="DB72" s="1311">
        <f t="shared" si="173"/>
        <v>7.75</v>
      </c>
      <c r="DC72" s="1311">
        <f t="shared" si="110"/>
        <v>1.75</v>
      </c>
      <c r="DD72" s="875">
        <f t="shared" si="174"/>
        <v>1.75</v>
      </c>
      <c r="DE72" s="873">
        <f t="shared" si="111"/>
        <v>0</v>
      </c>
      <c r="DF72" s="874">
        <f t="shared" si="112"/>
        <v>8</v>
      </c>
      <c r="DG72" s="874">
        <f t="shared" si="113"/>
        <v>8</v>
      </c>
      <c r="DH72" s="1311">
        <f t="shared" si="175"/>
        <v>7.75</v>
      </c>
      <c r="DI72" s="1311">
        <f t="shared" si="114"/>
        <v>1.75</v>
      </c>
      <c r="DJ72" s="1312">
        <f t="shared" si="176"/>
        <v>1.75</v>
      </c>
      <c r="DK72" s="1311">
        <f t="shared" si="115"/>
        <v>620</v>
      </c>
      <c r="DL72" s="1311">
        <f t="shared" si="116"/>
        <v>-6.5</v>
      </c>
      <c r="DM72" s="1311">
        <f t="shared" si="117"/>
        <v>6.25</v>
      </c>
      <c r="DN72" s="1311">
        <f t="shared" si="118"/>
        <v>6.25</v>
      </c>
      <c r="DO72" s="889">
        <f t="shared" si="119"/>
        <v>6.25</v>
      </c>
      <c r="DP72" s="889">
        <f t="shared" si="120"/>
        <v>6.25</v>
      </c>
      <c r="DQ72" s="1311">
        <f t="shared" si="121"/>
        <v>6.25</v>
      </c>
      <c r="DR72" s="1311">
        <f t="shared" si="121"/>
        <v>6.25</v>
      </c>
      <c r="DS72" s="1311">
        <f t="shared" si="122"/>
        <v>-6.5</v>
      </c>
      <c r="DT72" s="1311">
        <f t="shared" si="123"/>
        <v>6.25</v>
      </c>
      <c r="DU72" s="1311">
        <f t="shared" si="124"/>
        <v>6.25</v>
      </c>
      <c r="DV72" s="889">
        <f t="shared" si="125"/>
        <v>6.25</v>
      </c>
      <c r="DW72" s="889">
        <f t="shared" si="126"/>
        <v>6.25</v>
      </c>
      <c r="DX72" s="873">
        <f t="shared" si="127"/>
        <v>6.25</v>
      </c>
      <c r="DY72" s="873">
        <f t="shared" si="127"/>
        <v>6.25</v>
      </c>
      <c r="DZ72" s="873">
        <f t="shared" si="128"/>
        <v>6.75</v>
      </c>
      <c r="EA72" s="873">
        <f t="shared" si="129"/>
        <v>6.75</v>
      </c>
      <c r="EB72" s="876">
        <f t="shared" si="130"/>
        <v>5</v>
      </c>
      <c r="EC72" s="877">
        <f t="shared" si="131"/>
        <v>5</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f t="shared" si="143"/>
        <v>0</v>
      </c>
      <c r="EP72" s="874">
        <f t="shared" si="144"/>
        <v>0</v>
      </c>
      <c r="EQ72" s="874">
        <f t="shared" si="145"/>
        <v>0</v>
      </c>
      <c r="ER72" s="874">
        <f t="shared" si="146"/>
        <v>0</v>
      </c>
      <c r="ES72" s="874" t="str">
        <f t="shared" si="147"/>
        <v/>
      </c>
      <c r="ET72" s="873">
        <f t="shared" si="148"/>
        <v>0</v>
      </c>
      <c r="EU72" s="873">
        <f t="shared" si="149"/>
        <v>0</v>
      </c>
      <c r="EV72" s="876">
        <f t="shared" si="150"/>
        <v>6</v>
      </c>
      <c r="EW72" s="876">
        <f t="shared" si="151"/>
        <v>6</v>
      </c>
      <c r="EX72" s="878" t="str">
        <f t="shared" si="152"/>
        <v>ERR</v>
      </c>
      <c r="EY72" s="879" t="e">
        <f t="shared" si="153"/>
        <v>#VALUE!</v>
      </c>
      <c r="EZ72" s="959">
        <f t="shared" si="154"/>
        <v>9305.4857142857145</v>
      </c>
      <c r="FA72" s="960">
        <f t="shared" si="155"/>
        <v>8064.7542857142844</v>
      </c>
      <c r="FB72" s="880">
        <f t="shared" si="156"/>
        <v>0</v>
      </c>
      <c r="FC72" s="881">
        <f t="shared" si="157"/>
        <v>0</v>
      </c>
      <c r="FD72" s="890">
        <f t="shared" si="158"/>
        <v>1.75</v>
      </c>
      <c r="FE72" s="833">
        <f t="shared" si="159"/>
        <v>1.75</v>
      </c>
      <c r="FF72" s="754" t="b">
        <f t="shared" si="160"/>
        <v>0</v>
      </c>
      <c r="FG72" s="754" t="b">
        <f t="shared" si="161"/>
        <v>0</v>
      </c>
      <c r="FH72" s="754" t="b">
        <f t="shared" si="162"/>
        <v>0</v>
      </c>
      <c r="FI72" s="754" t="b">
        <f t="shared" si="163"/>
        <v>0</v>
      </c>
      <c r="FJ72" s="920" t="str">
        <f t="shared" si="177"/>
        <v/>
      </c>
      <c r="FK72" s="919" t="str">
        <f t="shared" si="178"/>
        <v>G35</v>
      </c>
      <c r="FL72" s="320">
        <f t="shared" si="179"/>
        <v>620</v>
      </c>
      <c r="FM72" s="312" t="str">
        <f t="shared" si="164"/>
        <v/>
      </c>
      <c r="FN72" s="272">
        <f t="shared" ca="1" si="180"/>
        <v>48</v>
      </c>
      <c r="FO72" s="273">
        <f t="shared" ca="1" si="181"/>
        <v>5</v>
      </c>
      <c r="FP72" s="274">
        <f t="shared" ca="1" si="182"/>
        <v>96</v>
      </c>
      <c r="FQ72" s="274">
        <f t="shared" ca="1" si="183"/>
        <v>96</v>
      </c>
      <c r="FR72" s="321">
        <f t="shared" ca="1" si="184"/>
        <v>0</v>
      </c>
      <c r="FS72" s="322">
        <f t="shared" ca="1" si="185"/>
        <v>624</v>
      </c>
      <c r="FT72" s="272">
        <f t="shared" ca="1" si="186"/>
        <v>620</v>
      </c>
      <c r="FU72" s="275">
        <f t="shared" ca="1" si="187"/>
        <v>1</v>
      </c>
      <c r="FV72" s="323">
        <f t="shared" ca="1" si="165"/>
        <v>46</v>
      </c>
      <c r="FW72" s="276">
        <f t="shared" ca="1" si="188"/>
        <v>46</v>
      </c>
      <c r="FX72" s="276">
        <f t="shared" ca="1" si="189"/>
        <v>96</v>
      </c>
      <c r="FY72" s="276">
        <f t="shared" ca="1" si="190"/>
        <v>94</v>
      </c>
      <c r="FZ72" s="276">
        <f t="shared" ca="1" si="191"/>
        <v>94</v>
      </c>
      <c r="GA72" s="276">
        <f t="shared" ca="1" si="192"/>
        <v>620</v>
      </c>
      <c r="GB72" s="277">
        <f ca="1">IF(FY72="","",2+SUM(FO72:OFFSET(FO72,(FU72-1)*-1,0)))</f>
        <v>7</v>
      </c>
      <c r="GC72" s="316">
        <f t="shared" si="193"/>
        <v>-0.25</v>
      </c>
      <c r="GD72" s="324" t="str">
        <f t="shared" si="166"/>
        <v/>
      </c>
      <c r="GE72" s="325">
        <f t="shared" si="167"/>
        <v>1.75</v>
      </c>
      <c r="GF72" s="278" t="str">
        <f t="shared" si="168"/>
        <v>#1</v>
      </c>
      <c r="GG72" s="279">
        <f t="shared" si="169"/>
        <v>612</v>
      </c>
      <c r="GH72" s="279" t="str">
        <f t="shared" si="170"/>
        <v/>
      </c>
      <c r="GI72" s="280" t="str">
        <f t="shared" si="171"/>
        <v/>
      </c>
      <c r="GJ72" s="530">
        <f t="shared" ca="1" si="172"/>
        <v>0</v>
      </c>
      <c r="GK72" s="895" t="str">
        <f t="shared" ca="1" si="194"/>
        <v/>
      </c>
    </row>
    <row r="73" spans="78:193" ht="12.6" hidden="1" customHeight="1" x14ac:dyDescent="0.2">
      <c r="BZ73" s="293"/>
      <c r="CA73" s="293"/>
      <c r="CB73" s="365" t="str">
        <f t="shared" si="100"/>
        <v>G36</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01"/>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1306">
        <f>IF(CQ33="","",IF(VLOOKUP(CQ33,SectInfo!$B:$N,7,FALSE)="","",(VLOOKUP(CQ33,SectInfo!$B:$N,7,FALSE)*-1)))</f>
        <v>-6.5</v>
      </c>
      <c r="CR73" s="1306">
        <f>IF(CQ33="","",IF(VLOOKUP(CQ33,SectInfo!$B:$N,8,FALSE)="",$FC$4,(VLOOKUP(CQ33,SectInfo!$B:$N,8,FALSE))))</f>
        <v>5</v>
      </c>
      <c r="CS73" s="1306">
        <f>IF(CQ33="","",VLOOKUP(CQ33,SectInfo!$B:$N,9,FALSE))</f>
        <v>8</v>
      </c>
      <c r="CT73" s="1307">
        <f t="shared" si="102"/>
        <v>0</v>
      </c>
      <c r="CU73" s="1317">
        <f t="shared" si="103"/>
        <v>0</v>
      </c>
      <c r="CV73" s="1311">
        <f t="shared" si="104"/>
        <v>623.5</v>
      </c>
      <c r="CW73" s="1311">
        <f t="shared" si="105"/>
        <v>7.5</v>
      </c>
      <c r="CX73" s="1311">
        <f t="shared" si="106"/>
        <v>7.5</v>
      </c>
      <c r="CY73" s="1313">
        <f t="shared" si="107"/>
        <v>0</v>
      </c>
      <c r="CZ73" s="1313">
        <f t="shared" si="108"/>
        <v>8</v>
      </c>
      <c r="DA73" s="1313">
        <f t="shared" si="109"/>
        <v>8</v>
      </c>
      <c r="DB73" s="1311">
        <f t="shared" si="173"/>
        <v>7.75</v>
      </c>
      <c r="DC73" s="1311">
        <f t="shared" si="110"/>
        <v>1.75</v>
      </c>
      <c r="DD73" s="875">
        <f t="shared" si="174"/>
        <v>1.75</v>
      </c>
      <c r="DE73" s="873">
        <f t="shared" si="111"/>
        <v>0</v>
      </c>
      <c r="DF73" s="874">
        <f t="shared" si="112"/>
        <v>8</v>
      </c>
      <c r="DG73" s="874">
        <f t="shared" si="113"/>
        <v>8</v>
      </c>
      <c r="DH73" s="1311">
        <f t="shared" si="175"/>
        <v>7.75</v>
      </c>
      <c r="DI73" s="1311">
        <f t="shared" si="114"/>
        <v>1.75</v>
      </c>
      <c r="DJ73" s="1312">
        <f t="shared" si="176"/>
        <v>1.75</v>
      </c>
      <c r="DK73" s="1311">
        <f t="shared" si="115"/>
        <v>620</v>
      </c>
      <c r="DL73" s="1311">
        <f t="shared" si="116"/>
        <v>-6.5</v>
      </c>
      <c r="DM73" s="1311">
        <f t="shared" si="117"/>
        <v>6.25</v>
      </c>
      <c r="DN73" s="1311">
        <f t="shared" si="118"/>
        <v>6.25</v>
      </c>
      <c r="DO73" s="889">
        <f t="shared" si="119"/>
        <v>6.25</v>
      </c>
      <c r="DP73" s="889">
        <f t="shared" si="120"/>
        <v>6.25</v>
      </c>
      <c r="DQ73" s="1311">
        <f t="shared" si="121"/>
        <v>6.25</v>
      </c>
      <c r="DR73" s="1311">
        <f t="shared" si="121"/>
        <v>6.25</v>
      </c>
      <c r="DS73" s="1311">
        <f t="shared" si="122"/>
        <v>-6.5</v>
      </c>
      <c r="DT73" s="1311">
        <f t="shared" si="123"/>
        <v>6.25</v>
      </c>
      <c r="DU73" s="1311">
        <f t="shared" si="124"/>
        <v>6.25</v>
      </c>
      <c r="DV73" s="889">
        <f t="shared" si="125"/>
        <v>6.25</v>
      </c>
      <c r="DW73" s="889">
        <f t="shared" si="126"/>
        <v>6.25</v>
      </c>
      <c r="DX73" s="873">
        <f t="shared" si="127"/>
        <v>6.25</v>
      </c>
      <c r="DY73" s="873">
        <f t="shared" si="127"/>
        <v>6.25</v>
      </c>
      <c r="DZ73" s="873">
        <f t="shared" si="128"/>
        <v>6.75</v>
      </c>
      <c r="EA73" s="873">
        <f t="shared" si="129"/>
        <v>6.75</v>
      </c>
      <c r="EB73" s="876">
        <f t="shared" si="130"/>
        <v>5</v>
      </c>
      <c r="EC73" s="877">
        <f t="shared" si="131"/>
        <v>5</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f t="shared" si="143"/>
        <v>0</v>
      </c>
      <c r="EP73" s="874">
        <f t="shared" si="144"/>
        <v>0</v>
      </c>
      <c r="EQ73" s="874">
        <f t="shared" si="145"/>
        <v>0</v>
      </c>
      <c r="ER73" s="874">
        <f t="shared" si="146"/>
        <v>0</v>
      </c>
      <c r="ES73" s="874" t="str">
        <f t="shared" si="147"/>
        <v/>
      </c>
      <c r="ET73" s="873">
        <f t="shared" si="148"/>
        <v>0</v>
      </c>
      <c r="EU73" s="873">
        <f t="shared" si="149"/>
        <v>0</v>
      </c>
      <c r="EV73" s="876">
        <f t="shared" si="150"/>
        <v>6</v>
      </c>
      <c r="EW73" s="876">
        <f t="shared" si="151"/>
        <v>6</v>
      </c>
      <c r="EX73" s="878" t="str">
        <f t="shared" si="152"/>
        <v>ERR</v>
      </c>
      <c r="EY73" s="879" t="e">
        <f t="shared" si="153"/>
        <v>#VALUE!</v>
      </c>
      <c r="EZ73" s="959">
        <f t="shared" si="154"/>
        <v>9305.4857142857145</v>
      </c>
      <c r="FA73" s="960">
        <f t="shared" si="155"/>
        <v>8064.7542857142844</v>
      </c>
      <c r="FB73" s="880">
        <f t="shared" si="156"/>
        <v>0</v>
      </c>
      <c r="FC73" s="881">
        <f t="shared" si="157"/>
        <v>0</v>
      </c>
      <c r="FD73" s="890">
        <f t="shared" si="158"/>
        <v>1.75</v>
      </c>
      <c r="FE73" s="833">
        <f t="shared" si="159"/>
        <v>1.75</v>
      </c>
      <c r="FF73" s="754" t="b">
        <f t="shared" si="160"/>
        <v>0</v>
      </c>
      <c r="FG73" s="754" t="b">
        <f t="shared" si="161"/>
        <v>0</v>
      </c>
      <c r="FH73" s="754" t="b">
        <f t="shared" si="162"/>
        <v>0</v>
      </c>
      <c r="FI73" s="754" t="b">
        <f t="shared" si="163"/>
        <v>0</v>
      </c>
      <c r="FJ73" s="920" t="str">
        <f t="shared" si="177"/>
        <v/>
      </c>
      <c r="FK73" s="919" t="str">
        <f t="shared" si="178"/>
        <v>G36</v>
      </c>
      <c r="FL73" s="320">
        <f t="shared" si="179"/>
        <v>620</v>
      </c>
      <c r="FM73" s="312" t="str">
        <f t="shared" si="164"/>
        <v/>
      </c>
      <c r="FN73" s="272">
        <f t="shared" ca="1" si="180"/>
        <v>96</v>
      </c>
      <c r="FO73" s="273">
        <f t="shared" ca="1" si="181"/>
        <v>5</v>
      </c>
      <c r="FP73" s="274">
        <f t="shared" ca="1" si="182"/>
        <v>96</v>
      </c>
      <c r="FQ73" s="274">
        <f t="shared" ca="1" si="183"/>
        <v>48</v>
      </c>
      <c r="FR73" s="321">
        <f t="shared" ca="1" si="184"/>
        <v>0</v>
      </c>
      <c r="FS73" s="322">
        <f t="shared" ca="1" si="185"/>
        <v>624</v>
      </c>
      <c r="FT73" s="272">
        <f t="shared" ca="1" si="186"/>
        <v>620</v>
      </c>
      <c r="FU73" s="275">
        <f t="shared" ca="1" si="187"/>
        <v>1</v>
      </c>
      <c r="FV73" s="323">
        <f t="shared" ca="1" si="165"/>
        <v>94</v>
      </c>
      <c r="FW73" s="276">
        <f t="shared" ca="1" si="188"/>
        <v>94</v>
      </c>
      <c r="FX73" s="276">
        <f t="shared" ca="1" si="189"/>
        <v>96</v>
      </c>
      <c r="FY73" s="276">
        <f t="shared" ca="1" si="190"/>
        <v>46</v>
      </c>
      <c r="FZ73" s="276">
        <f t="shared" ca="1" si="191"/>
        <v>46</v>
      </c>
      <c r="GA73" s="276">
        <f t="shared" ca="1" si="192"/>
        <v>620</v>
      </c>
      <c r="GB73" s="277">
        <f ca="1">IF(FY73="","",2+SUM(FO73:OFFSET(FO73,(FU73-1)*-1,0)))</f>
        <v>7</v>
      </c>
      <c r="GC73" s="316">
        <f t="shared" si="193"/>
        <v>-0.25</v>
      </c>
      <c r="GD73" s="324">
        <f t="shared" si="166"/>
        <v>1.75</v>
      </c>
      <c r="GE73" s="325" t="str">
        <f t="shared" si="167"/>
        <v/>
      </c>
      <c r="GF73" s="278" t="str">
        <f t="shared" si="168"/>
        <v>#6</v>
      </c>
      <c r="GG73" s="279">
        <f t="shared" si="169"/>
        <v>12</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G37</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01"/>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1306">
        <f>IF(CQ34="","",IF(VLOOKUP(CQ34,SectInfo!$B:$N,7,FALSE)="","",(VLOOKUP(CQ34,SectInfo!$B:$N,7,FALSE)*-1)))</f>
        <v>-6.5</v>
      </c>
      <c r="CR74" s="1306">
        <f>IF(CQ34="","",IF(VLOOKUP(CQ34,SectInfo!$B:$N,8,FALSE)="",$FC$4,(VLOOKUP(CQ34,SectInfo!$B:$N,8,FALSE))))</f>
        <v>5</v>
      </c>
      <c r="CS74" s="1306">
        <f>IF(CQ34="","",VLOOKUP(CQ34,SectInfo!$B:$N,9,FALSE))</f>
        <v>8</v>
      </c>
      <c r="CT74" s="1307">
        <f t="shared" si="102"/>
        <v>0</v>
      </c>
      <c r="CU74" s="1317">
        <f t="shared" si="103"/>
        <v>0</v>
      </c>
      <c r="CV74" s="1311">
        <f t="shared" si="104"/>
        <v>623.5</v>
      </c>
      <c r="CW74" s="1311">
        <f t="shared" si="105"/>
        <v>7.5</v>
      </c>
      <c r="CX74" s="1311">
        <f t="shared" si="106"/>
        <v>7.5</v>
      </c>
      <c r="CY74" s="1313">
        <f t="shared" si="107"/>
        <v>0</v>
      </c>
      <c r="CZ74" s="1313">
        <f t="shared" si="108"/>
        <v>8</v>
      </c>
      <c r="DA74" s="1313">
        <f t="shared" si="109"/>
        <v>8</v>
      </c>
      <c r="DB74" s="1311">
        <f t="shared" si="173"/>
        <v>7.75</v>
      </c>
      <c r="DC74" s="1311">
        <f t="shared" si="110"/>
        <v>1.75</v>
      </c>
      <c r="DD74" s="875">
        <f t="shared" si="174"/>
        <v>1.75</v>
      </c>
      <c r="DE74" s="873">
        <f t="shared" si="111"/>
        <v>0</v>
      </c>
      <c r="DF74" s="874">
        <f t="shared" si="112"/>
        <v>8</v>
      </c>
      <c r="DG74" s="874">
        <f t="shared" si="113"/>
        <v>8</v>
      </c>
      <c r="DH74" s="1311">
        <f t="shared" si="175"/>
        <v>7.75</v>
      </c>
      <c r="DI74" s="1311">
        <f t="shared" si="114"/>
        <v>1.75</v>
      </c>
      <c r="DJ74" s="1312">
        <f t="shared" si="176"/>
        <v>1.75</v>
      </c>
      <c r="DK74" s="1311">
        <f t="shared" si="115"/>
        <v>620</v>
      </c>
      <c r="DL74" s="1311">
        <f t="shared" si="116"/>
        <v>-6.5</v>
      </c>
      <c r="DM74" s="1311">
        <f t="shared" si="117"/>
        <v>6.25</v>
      </c>
      <c r="DN74" s="1311">
        <f t="shared" si="118"/>
        <v>6.25</v>
      </c>
      <c r="DO74" s="889">
        <f t="shared" si="119"/>
        <v>6.25</v>
      </c>
      <c r="DP74" s="889">
        <f t="shared" si="120"/>
        <v>6.25</v>
      </c>
      <c r="DQ74" s="1311">
        <f t="shared" si="121"/>
        <v>6.25</v>
      </c>
      <c r="DR74" s="1311">
        <f t="shared" si="121"/>
        <v>6.25</v>
      </c>
      <c r="DS74" s="1311">
        <f t="shared" si="122"/>
        <v>-6.5</v>
      </c>
      <c r="DT74" s="1311">
        <f t="shared" si="123"/>
        <v>6.25</v>
      </c>
      <c r="DU74" s="1311">
        <f t="shared" si="124"/>
        <v>6.25</v>
      </c>
      <c r="DV74" s="889">
        <f t="shared" si="125"/>
        <v>6.25</v>
      </c>
      <c r="DW74" s="889">
        <f t="shared" si="126"/>
        <v>6.25</v>
      </c>
      <c r="DX74" s="873">
        <f t="shared" si="127"/>
        <v>6.25</v>
      </c>
      <c r="DY74" s="873">
        <f t="shared" si="127"/>
        <v>6.25</v>
      </c>
      <c r="DZ74" s="873">
        <f t="shared" si="128"/>
        <v>6.75</v>
      </c>
      <c r="EA74" s="873">
        <f t="shared" si="129"/>
        <v>6.75</v>
      </c>
      <c r="EB74" s="876">
        <f t="shared" si="130"/>
        <v>5</v>
      </c>
      <c r="EC74" s="877">
        <f t="shared" si="131"/>
        <v>5</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f t="shared" si="143"/>
        <v>0</v>
      </c>
      <c r="EP74" s="874">
        <f t="shared" si="144"/>
        <v>0</v>
      </c>
      <c r="EQ74" s="874">
        <f t="shared" si="145"/>
        <v>0</v>
      </c>
      <c r="ER74" s="874">
        <f t="shared" si="146"/>
        <v>0</v>
      </c>
      <c r="ES74" s="874" t="str">
        <f t="shared" si="147"/>
        <v/>
      </c>
      <c r="ET74" s="873">
        <f t="shared" si="148"/>
        <v>0</v>
      </c>
      <c r="EU74" s="873">
        <f t="shared" si="149"/>
        <v>0</v>
      </c>
      <c r="EV74" s="876">
        <f t="shared" si="150"/>
        <v>6</v>
      </c>
      <c r="EW74" s="876">
        <f t="shared" si="151"/>
        <v>6</v>
      </c>
      <c r="EX74" s="878" t="str">
        <f t="shared" si="152"/>
        <v>ERR</v>
      </c>
      <c r="EY74" s="879" t="e">
        <f t="shared" si="153"/>
        <v>#VALUE!</v>
      </c>
      <c r="EZ74" s="959">
        <f t="shared" si="154"/>
        <v>9305.4857142857145</v>
      </c>
      <c r="FA74" s="960">
        <f t="shared" si="155"/>
        <v>8064.7542857142844</v>
      </c>
      <c r="FB74" s="880">
        <f t="shared" si="156"/>
        <v>0</v>
      </c>
      <c r="FC74" s="881">
        <f t="shared" si="157"/>
        <v>0</v>
      </c>
      <c r="FD74" s="890">
        <f t="shared" si="158"/>
        <v>1.75</v>
      </c>
      <c r="FE74" s="833">
        <f t="shared" si="159"/>
        <v>1.75</v>
      </c>
      <c r="FF74" s="754" t="b">
        <f t="shared" si="160"/>
        <v>0</v>
      </c>
      <c r="FG74" s="754" t="b">
        <f t="shared" si="161"/>
        <v>0</v>
      </c>
      <c r="FH74" s="754" t="b">
        <f t="shared" si="162"/>
        <v>0</v>
      </c>
      <c r="FI74" s="754" t="b">
        <f t="shared" si="163"/>
        <v>0</v>
      </c>
      <c r="FJ74" s="920" t="str">
        <f t="shared" si="177"/>
        <v/>
      </c>
      <c r="FK74" s="919" t="str">
        <f t="shared" si="178"/>
        <v>G37</v>
      </c>
      <c r="FL74" s="320">
        <f t="shared" si="179"/>
        <v>620</v>
      </c>
      <c r="FM74" s="312" t="str">
        <f t="shared" si="164"/>
        <v/>
      </c>
      <c r="FN74" s="272">
        <f t="shared" ca="1" si="180"/>
        <v>48</v>
      </c>
      <c r="FO74" s="273">
        <f t="shared" ca="1" si="181"/>
        <v>5</v>
      </c>
      <c r="FP74" s="274">
        <f t="shared" ca="1" si="182"/>
        <v>96</v>
      </c>
      <c r="FQ74" s="274">
        <f t="shared" ca="1" si="183"/>
        <v>96</v>
      </c>
      <c r="FR74" s="321">
        <f t="shared" ca="1" si="184"/>
        <v>0</v>
      </c>
      <c r="FS74" s="322">
        <f t="shared" ca="1" si="185"/>
        <v>624</v>
      </c>
      <c r="FT74" s="272">
        <f t="shared" ca="1" si="186"/>
        <v>620</v>
      </c>
      <c r="FU74" s="275">
        <f t="shared" ca="1" si="187"/>
        <v>1</v>
      </c>
      <c r="FV74" s="323">
        <f t="shared" ca="1" si="165"/>
        <v>46</v>
      </c>
      <c r="FW74" s="276">
        <f t="shared" ca="1" si="188"/>
        <v>46</v>
      </c>
      <c r="FX74" s="276">
        <f t="shared" ca="1" si="189"/>
        <v>96</v>
      </c>
      <c r="FY74" s="276">
        <f t="shared" ca="1" si="190"/>
        <v>94</v>
      </c>
      <c r="FZ74" s="276">
        <f t="shared" ca="1" si="191"/>
        <v>94</v>
      </c>
      <c r="GA74" s="276">
        <f t="shared" ca="1" si="192"/>
        <v>620</v>
      </c>
      <c r="GB74" s="277">
        <f ca="1">IF(FY74="","",2+SUM(FO74:OFFSET(FO74,(FU74-1)*-1,0)))</f>
        <v>7</v>
      </c>
      <c r="GC74" s="316">
        <f t="shared" si="193"/>
        <v>-0.25</v>
      </c>
      <c r="GD74" s="324" t="str">
        <f t="shared" si="166"/>
        <v/>
      </c>
      <c r="GE74" s="325">
        <f t="shared" si="167"/>
        <v>1.75</v>
      </c>
      <c r="GF74" s="278" t="str">
        <f t="shared" si="168"/>
        <v>#1</v>
      </c>
      <c r="GG74" s="279">
        <f t="shared" si="169"/>
        <v>612</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G38</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01"/>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-7</v>
      </c>
      <c r="CQ75" s="1306">
        <f>IF(CQ35="","",IF(VLOOKUP(CQ35,SectInfo!$B:$N,7,FALSE)="","",(VLOOKUP(CQ35,SectInfo!$B:$N,7,FALSE)*-1)))</f>
        <v>-6.5</v>
      </c>
      <c r="CR75" s="1306">
        <f>IF(CQ35="","",IF(VLOOKUP(CQ35,SectInfo!$B:$N,8,FALSE)="",$FC$4,(VLOOKUP(CQ35,SectInfo!$B:$N,8,FALSE))))</f>
        <v>5</v>
      </c>
      <c r="CS75" s="1306">
        <f>IF(CQ35="","",VLOOKUP(CQ35,SectInfo!$B:$N,9,FALSE))</f>
        <v>8</v>
      </c>
      <c r="CT75" s="1307">
        <f t="shared" si="102"/>
        <v>0</v>
      </c>
      <c r="CU75" s="1317">
        <f t="shared" si="103"/>
        <v>0</v>
      </c>
      <c r="CV75" s="1311">
        <f t="shared" si="104"/>
        <v>623.5</v>
      </c>
      <c r="CW75" s="1311">
        <f t="shared" si="105"/>
        <v>7.5</v>
      </c>
      <c r="CX75" s="1311">
        <f t="shared" si="106"/>
        <v>7.5</v>
      </c>
      <c r="CY75" s="1313">
        <f t="shared" si="107"/>
        <v>0</v>
      </c>
      <c r="CZ75" s="1313">
        <f t="shared" si="108"/>
        <v>8</v>
      </c>
      <c r="DA75" s="1313">
        <f t="shared" si="109"/>
        <v>8</v>
      </c>
      <c r="DB75" s="1311">
        <f t="shared" si="173"/>
        <v>7.75</v>
      </c>
      <c r="DC75" s="1311">
        <f t="shared" si="110"/>
        <v>1.75</v>
      </c>
      <c r="DD75" s="875">
        <f t="shared" si="174"/>
        <v>1.75</v>
      </c>
      <c r="DE75" s="873">
        <f t="shared" si="111"/>
        <v>0</v>
      </c>
      <c r="DF75" s="874">
        <f t="shared" si="112"/>
        <v>8</v>
      </c>
      <c r="DG75" s="874">
        <f t="shared" si="113"/>
        <v>8</v>
      </c>
      <c r="DH75" s="1311">
        <f t="shared" si="175"/>
        <v>7.75</v>
      </c>
      <c r="DI75" s="1311">
        <f t="shared" si="114"/>
        <v>1.75</v>
      </c>
      <c r="DJ75" s="1312">
        <f t="shared" si="176"/>
        <v>1.75</v>
      </c>
      <c r="DK75" s="1311">
        <f t="shared" si="115"/>
        <v>620</v>
      </c>
      <c r="DL75" s="1311">
        <f t="shared" si="116"/>
        <v>-6.5</v>
      </c>
      <c r="DM75" s="1311">
        <f t="shared" si="117"/>
        <v>6.25</v>
      </c>
      <c r="DN75" s="1311">
        <f t="shared" si="118"/>
        <v>6.25</v>
      </c>
      <c r="DO75" s="889">
        <f t="shared" si="119"/>
        <v>6.25</v>
      </c>
      <c r="DP75" s="889">
        <f t="shared" si="120"/>
        <v>6.25</v>
      </c>
      <c r="DQ75" s="1311">
        <f t="shared" si="121"/>
        <v>6.25</v>
      </c>
      <c r="DR75" s="1311">
        <f t="shared" si="121"/>
        <v>6.25</v>
      </c>
      <c r="DS75" s="1311">
        <f t="shared" si="122"/>
        <v>-6.5</v>
      </c>
      <c r="DT75" s="1311">
        <f t="shared" si="123"/>
        <v>6.25</v>
      </c>
      <c r="DU75" s="1311">
        <f t="shared" si="124"/>
        <v>6.25</v>
      </c>
      <c r="DV75" s="889">
        <f t="shared" si="125"/>
        <v>6.25</v>
      </c>
      <c r="DW75" s="889">
        <f t="shared" si="126"/>
        <v>6.25</v>
      </c>
      <c r="DX75" s="873">
        <f t="shared" ref="DX75:DY85" si="195">IF(ISERROR(DT75),"ERR",IF(DT75="","",IF(DV75="ERR","ERR",CEILING(DV75-0.0625,0.125))))</f>
        <v>6.25</v>
      </c>
      <c r="DY75" s="873">
        <f t="shared" si="195"/>
        <v>6.25</v>
      </c>
      <c r="DZ75" s="873">
        <f t="shared" si="128"/>
        <v>6.75</v>
      </c>
      <c r="EA75" s="873">
        <f t="shared" si="129"/>
        <v>6.75</v>
      </c>
      <c r="EB75" s="876">
        <f t="shared" si="130"/>
        <v>5</v>
      </c>
      <c r="EC75" s="877">
        <f t="shared" si="131"/>
        <v>5</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f t="shared" si="143"/>
        <v>0</v>
      </c>
      <c r="EP75" s="874">
        <f t="shared" si="144"/>
        <v>0</v>
      </c>
      <c r="EQ75" s="874">
        <f t="shared" si="145"/>
        <v>0</v>
      </c>
      <c r="ER75" s="874">
        <f t="shared" si="146"/>
        <v>0</v>
      </c>
      <c r="ES75" s="874" t="str">
        <f t="shared" si="147"/>
        <v/>
      </c>
      <c r="ET75" s="873">
        <f t="shared" si="148"/>
        <v>0</v>
      </c>
      <c r="EU75" s="873">
        <f t="shared" si="149"/>
        <v>0</v>
      </c>
      <c r="EV75" s="876">
        <f t="shared" si="150"/>
        <v>6</v>
      </c>
      <c r="EW75" s="876">
        <f t="shared" si="151"/>
        <v>6</v>
      </c>
      <c r="EX75" s="878" t="str">
        <f t="shared" si="152"/>
        <v>ERR</v>
      </c>
      <c r="EY75" s="879" t="e">
        <f t="shared" si="153"/>
        <v>#VALUE!</v>
      </c>
      <c r="EZ75" s="959">
        <f t="shared" si="154"/>
        <v>9305.4857142857145</v>
      </c>
      <c r="FA75" s="960">
        <f t="shared" si="155"/>
        <v>8064.7542857142844</v>
      </c>
      <c r="FB75" s="880">
        <f t="shared" si="156"/>
        <v>0</v>
      </c>
      <c r="FC75" s="881">
        <f t="shared" si="157"/>
        <v>0</v>
      </c>
      <c r="FD75" s="890">
        <f t="shared" si="158"/>
        <v>1.75</v>
      </c>
      <c r="FE75" s="833">
        <f t="shared" si="159"/>
        <v>1.75</v>
      </c>
      <c r="FF75" s="754" t="b">
        <f t="shared" si="160"/>
        <v>0</v>
      </c>
      <c r="FG75" s="754" t="b">
        <f t="shared" si="161"/>
        <v>0</v>
      </c>
      <c r="FH75" s="754" t="b">
        <f t="shared" si="162"/>
        <v>0</v>
      </c>
      <c r="FI75" s="754" t="b">
        <f t="shared" si="163"/>
        <v>0</v>
      </c>
      <c r="FJ75" s="920" t="str">
        <f t="shared" si="177"/>
        <v/>
      </c>
      <c r="FK75" s="919" t="str">
        <f t="shared" si="178"/>
        <v>G38</v>
      </c>
      <c r="FL75" s="320">
        <f t="shared" si="179"/>
        <v>620</v>
      </c>
      <c r="FM75" s="312" t="str">
        <f t="shared" si="164"/>
        <v/>
      </c>
      <c r="FN75" s="272">
        <f t="shared" ca="1" si="180"/>
        <v>96</v>
      </c>
      <c r="FO75" s="273">
        <f t="shared" ca="1" si="181"/>
        <v>5</v>
      </c>
      <c r="FP75" s="274">
        <f t="shared" ca="1" si="182"/>
        <v>96</v>
      </c>
      <c r="FQ75" s="274">
        <f t="shared" ca="1" si="183"/>
        <v>48</v>
      </c>
      <c r="FR75" s="321">
        <f t="shared" ca="1" si="184"/>
        <v>0</v>
      </c>
      <c r="FS75" s="322">
        <f t="shared" ca="1" si="185"/>
        <v>624</v>
      </c>
      <c r="FT75" s="272">
        <f t="shared" ca="1" si="186"/>
        <v>620</v>
      </c>
      <c r="FU75" s="275">
        <f t="shared" ca="1" si="187"/>
        <v>1</v>
      </c>
      <c r="FV75" s="323">
        <f t="shared" ca="1" si="165"/>
        <v>94</v>
      </c>
      <c r="FW75" s="276">
        <f t="shared" ca="1" si="188"/>
        <v>94</v>
      </c>
      <c r="FX75" s="276">
        <f t="shared" ca="1" si="189"/>
        <v>96</v>
      </c>
      <c r="FY75" s="276">
        <f t="shared" ca="1" si="190"/>
        <v>46</v>
      </c>
      <c r="FZ75" s="276">
        <f t="shared" ca="1" si="191"/>
        <v>46</v>
      </c>
      <c r="GA75" s="276">
        <f t="shared" ca="1" si="192"/>
        <v>620</v>
      </c>
      <c r="GB75" s="277">
        <f ca="1">IF(FY75="","",2+SUM(FO75:OFFSET(FO75,(FU75-1)*-1,0)))</f>
        <v>7</v>
      </c>
      <c r="GC75" s="316">
        <f t="shared" si="193"/>
        <v>-0.25</v>
      </c>
      <c r="GD75" s="324">
        <f t="shared" si="166"/>
        <v>1.75</v>
      </c>
      <c r="GE75" s="325" t="str">
        <f t="shared" si="167"/>
        <v/>
      </c>
      <c r="GF75" s="278" t="str">
        <f t="shared" si="168"/>
        <v>#6</v>
      </c>
      <c r="GG75" s="279">
        <f t="shared" si="169"/>
        <v>12</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G39</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01"/>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-7</v>
      </c>
      <c r="CQ76" s="1306">
        <f>IF(CQ36="","",IF(VLOOKUP(CQ36,SectInfo!$B:$N,7,FALSE)="","",(VLOOKUP(CQ36,SectInfo!$B:$N,7,FALSE)*-1)))</f>
        <v>-6.5</v>
      </c>
      <c r="CR76" s="1306">
        <f>IF(CQ36="","",IF(VLOOKUP(CQ36,SectInfo!$B:$N,8,FALSE)="",$FC$4,(VLOOKUP(CQ36,SectInfo!$B:$N,8,FALSE))))</f>
        <v>5</v>
      </c>
      <c r="CS76" s="1306">
        <f>IF(CQ36="","",VLOOKUP(CQ36,SectInfo!$B:$N,9,FALSE))</f>
        <v>8</v>
      </c>
      <c r="CT76" s="1307">
        <f t="shared" si="102"/>
        <v>0</v>
      </c>
      <c r="CU76" s="1317">
        <f t="shared" si="103"/>
        <v>0</v>
      </c>
      <c r="CV76" s="1311">
        <f t="shared" si="104"/>
        <v>623.5</v>
      </c>
      <c r="CW76" s="1311">
        <f t="shared" si="105"/>
        <v>7.5</v>
      </c>
      <c r="CX76" s="1311">
        <f t="shared" si="106"/>
        <v>7.5</v>
      </c>
      <c r="CY76" s="1313">
        <f t="shared" si="107"/>
        <v>0</v>
      </c>
      <c r="CZ76" s="1313">
        <f t="shared" si="108"/>
        <v>8</v>
      </c>
      <c r="DA76" s="1313">
        <f t="shared" si="109"/>
        <v>8</v>
      </c>
      <c r="DB76" s="1311">
        <f t="shared" si="173"/>
        <v>7.75</v>
      </c>
      <c r="DC76" s="1311">
        <f t="shared" si="110"/>
        <v>1.75</v>
      </c>
      <c r="DD76" s="875">
        <f t="shared" si="174"/>
        <v>1.75</v>
      </c>
      <c r="DE76" s="873">
        <f t="shared" si="111"/>
        <v>0</v>
      </c>
      <c r="DF76" s="874">
        <f t="shared" si="112"/>
        <v>8</v>
      </c>
      <c r="DG76" s="874">
        <f t="shared" si="113"/>
        <v>8</v>
      </c>
      <c r="DH76" s="1311">
        <f t="shared" si="175"/>
        <v>7.75</v>
      </c>
      <c r="DI76" s="1311">
        <f t="shared" si="114"/>
        <v>1.75</v>
      </c>
      <c r="DJ76" s="1312">
        <f t="shared" si="176"/>
        <v>1.75</v>
      </c>
      <c r="DK76" s="1311">
        <f t="shared" si="115"/>
        <v>620</v>
      </c>
      <c r="DL76" s="1311">
        <f t="shared" si="116"/>
        <v>-6.5</v>
      </c>
      <c r="DM76" s="1311">
        <f t="shared" si="117"/>
        <v>6.25</v>
      </c>
      <c r="DN76" s="1311">
        <f t="shared" si="118"/>
        <v>6.25</v>
      </c>
      <c r="DO76" s="889">
        <f t="shared" si="119"/>
        <v>6.25</v>
      </c>
      <c r="DP76" s="889">
        <f t="shared" si="120"/>
        <v>6.25</v>
      </c>
      <c r="DQ76" s="1311">
        <f t="shared" si="121"/>
        <v>6.25</v>
      </c>
      <c r="DR76" s="1311">
        <f t="shared" si="121"/>
        <v>6.25</v>
      </c>
      <c r="DS76" s="1311">
        <f t="shared" si="122"/>
        <v>-6.5</v>
      </c>
      <c r="DT76" s="1311">
        <f t="shared" si="123"/>
        <v>6.25</v>
      </c>
      <c r="DU76" s="1311">
        <f t="shared" si="124"/>
        <v>6.25</v>
      </c>
      <c r="DV76" s="889">
        <f t="shared" si="125"/>
        <v>6.25</v>
      </c>
      <c r="DW76" s="889">
        <f t="shared" si="126"/>
        <v>6.25</v>
      </c>
      <c r="DX76" s="873">
        <f t="shared" si="195"/>
        <v>6.25</v>
      </c>
      <c r="DY76" s="873">
        <f t="shared" si="195"/>
        <v>6.25</v>
      </c>
      <c r="DZ76" s="873">
        <f t="shared" si="128"/>
        <v>6.75</v>
      </c>
      <c r="EA76" s="873">
        <f t="shared" si="129"/>
        <v>6.75</v>
      </c>
      <c r="EB76" s="876">
        <f t="shared" si="130"/>
        <v>5</v>
      </c>
      <c r="EC76" s="877">
        <f t="shared" si="131"/>
        <v>5</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f t="shared" si="143"/>
        <v>0</v>
      </c>
      <c r="EP76" s="874">
        <f t="shared" si="144"/>
        <v>0</v>
      </c>
      <c r="EQ76" s="874">
        <f t="shared" si="145"/>
        <v>0</v>
      </c>
      <c r="ER76" s="874">
        <f t="shared" si="146"/>
        <v>0</v>
      </c>
      <c r="ES76" s="874" t="str">
        <f t="shared" si="147"/>
        <v/>
      </c>
      <c r="ET76" s="873">
        <f t="shared" si="148"/>
        <v>0</v>
      </c>
      <c r="EU76" s="873">
        <f t="shared" si="149"/>
        <v>0</v>
      </c>
      <c r="EV76" s="876">
        <f t="shared" si="150"/>
        <v>6</v>
      </c>
      <c r="EW76" s="876">
        <f t="shared" si="151"/>
        <v>6</v>
      </c>
      <c r="EX76" s="878" t="str">
        <f t="shared" si="152"/>
        <v>ERR</v>
      </c>
      <c r="EY76" s="879" t="e">
        <f t="shared" si="153"/>
        <v>#VALUE!</v>
      </c>
      <c r="EZ76" s="959">
        <f t="shared" si="154"/>
        <v>9305.4857142857145</v>
      </c>
      <c r="FA76" s="960">
        <f t="shared" si="155"/>
        <v>8064.7542857142844</v>
      </c>
      <c r="FB76" s="880">
        <f t="shared" si="156"/>
        <v>0</v>
      </c>
      <c r="FC76" s="881">
        <f t="shared" si="157"/>
        <v>0</v>
      </c>
      <c r="FD76" s="890">
        <f t="shared" si="158"/>
        <v>1.75</v>
      </c>
      <c r="FE76" s="833">
        <f t="shared" si="159"/>
        <v>1.75</v>
      </c>
      <c r="FF76" s="754" t="b">
        <f t="shared" si="160"/>
        <v>0</v>
      </c>
      <c r="FG76" s="754" t="b">
        <f t="shared" si="161"/>
        <v>0</v>
      </c>
      <c r="FH76" s="754" t="b">
        <f t="shared" si="162"/>
        <v>0</v>
      </c>
      <c r="FI76" s="754" t="b">
        <f t="shared" si="163"/>
        <v>0</v>
      </c>
      <c r="FJ76" s="920" t="str">
        <f t="shared" si="177"/>
        <v/>
      </c>
      <c r="FK76" s="919" t="str">
        <f t="shared" si="178"/>
        <v>G39</v>
      </c>
      <c r="FL76" s="320">
        <f t="shared" si="179"/>
        <v>620</v>
      </c>
      <c r="FM76" s="312" t="str">
        <f t="shared" si="164"/>
        <v/>
      </c>
      <c r="FN76" s="272">
        <f t="shared" ca="1" si="180"/>
        <v>48</v>
      </c>
      <c r="FO76" s="273">
        <f t="shared" ca="1" si="181"/>
        <v>5</v>
      </c>
      <c r="FP76" s="274">
        <f t="shared" ca="1" si="182"/>
        <v>96</v>
      </c>
      <c r="FQ76" s="274">
        <f t="shared" ca="1" si="183"/>
        <v>96</v>
      </c>
      <c r="FR76" s="321">
        <f t="shared" ca="1" si="184"/>
        <v>0</v>
      </c>
      <c r="FS76" s="322">
        <f t="shared" ca="1" si="185"/>
        <v>624</v>
      </c>
      <c r="FT76" s="272">
        <f t="shared" ca="1" si="186"/>
        <v>620</v>
      </c>
      <c r="FU76" s="275">
        <f t="shared" ca="1" si="187"/>
        <v>1</v>
      </c>
      <c r="FV76" s="323">
        <f t="shared" ca="1" si="165"/>
        <v>46</v>
      </c>
      <c r="FW76" s="276">
        <f t="shared" ca="1" si="188"/>
        <v>46</v>
      </c>
      <c r="FX76" s="276">
        <f t="shared" ca="1" si="189"/>
        <v>96</v>
      </c>
      <c r="FY76" s="276">
        <f t="shared" ca="1" si="190"/>
        <v>94</v>
      </c>
      <c r="FZ76" s="276">
        <f t="shared" ca="1" si="191"/>
        <v>94</v>
      </c>
      <c r="GA76" s="276">
        <f t="shared" ca="1" si="192"/>
        <v>620</v>
      </c>
      <c r="GB76" s="277">
        <f ca="1">IF(FY76="","",2+SUM(FO76:OFFSET(FO76,(FU76-1)*-1,0)))</f>
        <v>7</v>
      </c>
      <c r="GC76" s="316">
        <f t="shared" si="193"/>
        <v>-0.25</v>
      </c>
      <c r="GD76" s="324" t="str">
        <f t="shared" si="166"/>
        <v/>
      </c>
      <c r="GE76" s="325">
        <f t="shared" si="167"/>
        <v>1.75</v>
      </c>
      <c r="GF76" s="278" t="str">
        <f t="shared" si="168"/>
        <v>#1</v>
      </c>
      <c r="GG76" s="279">
        <f t="shared" si="169"/>
        <v>612</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G40</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01"/>
        <v>0</v>
      </c>
      <c r="CL77" s="1305" t="str">
        <f>IF(CQ37="","",VLOOKUP(CQ37,SectInfo!$B:$N,12,FALSE))</f>
        <v>M</v>
      </c>
      <c r="CM77" s="1306">
        <f>IF(ISBLANK(CX37),IF(CQ37="","",VLOOKUP(CQ37,SectInfo!$B:$N,13,FALSE)),CX37)</f>
        <v>-1</v>
      </c>
      <c r="CN77" s="1306" t="str">
        <f>IF(CQ37="","",IF(VLOOKUP(CQ37,SectInfo!$B:$N,5,FALSE)="","R",UPPER(VLOOKUP(CQ37,SectInfo!$B:$N,5,FALSE))))</f>
        <v>R</v>
      </c>
      <c r="CO77" s="1306">
        <f>IF(ISBLANK(CZ37),IF(CQ37="","",VLOOKUP(CQ37,SectInfo!$B:$N,6,FALSE)),CZ37)</f>
        <v>7.5</v>
      </c>
      <c r="CP77" s="1306">
        <f>IF(CQ37="","",IF(VLOOKUP(CQ37,SectInfo!$B:$N,10,FALSE)="","",(VLOOKUP(CQ37,SectInfo!$B:$N,10,FALSE)*-1)))</f>
        <v>-2</v>
      </c>
      <c r="CQ77" s="1306">
        <f>IF(CQ37="","",IF(VLOOKUP(CQ37,SectInfo!$B:$N,7,FALSE)="","",(VLOOKUP(CQ37,SectInfo!$B:$N,7,FALSE)*-1)))</f>
        <v>-4.5</v>
      </c>
      <c r="CR77" s="1306">
        <f>IF(CQ37="","",IF(VLOOKUP(CQ37,SectInfo!$B:$N,8,FALSE)="",$FC$4,(VLOOKUP(CQ37,SectInfo!$B:$N,8,FALSE))))</f>
        <v>5</v>
      </c>
      <c r="CS77" s="1306">
        <f>IF(CQ37="","",VLOOKUP(CQ37,SectInfo!$B:$N,9,FALSE))</f>
        <v>6</v>
      </c>
      <c r="CT77" s="1307">
        <f t="shared" si="102"/>
        <v>0</v>
      </c>
      <c r="CU77" s="1317">
        <f t="shared" si="103"/>
        <v>0</v>
      </c>
      <c r="CV77" s="1311">
        <f t="shared" si="104"/>
        <v>613.75</v>
      </c>
      <c r="CW77" s="1311">
        <f t="shared" si="105"/>
        <v>7.5</v>
      </c>
      <c r="CX77" s="1311">
        <f t="shared" si="106"/>
        <v>7.5</v>
      </c>
      <c r="CY77" s="1313">
        <f t="shared" si="107"/>
        <v>0</v>
      </c>
      <c r="CZ77" s="1313">
        <f t="shared" si="108"/>
        <v>8</v>
      </c>
      <c r="DA77" s="1313">
        <f t="shared" si="109"/>
        <v>8</v>
      </c>
      <c r="DB77" s="1311">
        <f t="shared" si="173"/>
        <v>7.75</v>
      </c>
      <c r="DC77" s="1311">
        <f t="shared" si="110"/>
        <v>1.75</v>
      </c>
      <c r="DD77" s="875">
        <f t="shared" si="174"/>
        <v>1.75</v>
      </c>
      <c r="DE77" s="873">
        <f t="shared" si="111"/>
        <v>0</v>
      </c>
      <c r="DF77" s="874">
        <f t="shared" si="112"/>
        <v>6</v>
      </c>
      <c r="DG77" s="874">
        <f t="shared" si="113"/>
        <v>6</v>
      </c>
      <c r="DH77" s="1311">
        <f t="shared" si="175"/>
        <v>5</v>
      </c>
      <c r="DI77" s="1311">
        <f t="shared" si="114"/>
        <v>0</v>
      </c>
      <c r="DJ77" s="1312">
        <f t="shared" si="176"/>
        <v>0</v>
      </c>
      <c r="DK77" s="1311">
        <f t="shared" si="115"/>
        <v>612</v>
      </c>
      <c r="DL77" s="1311">
        <f t="shared" si="116"/>
        <v>-6.5</v>
      </c>
      <c r="DM77" s="1311">
        <f t="shared" si="117"/>
        <v>6.25</v>
      </c>
      <c r="DN77" s="1311">
        <f t="shared" si="118"/>
        <v>6.25</v>
      </c>
      <c r="DO77" s="889">
        <f t="shared" si="119"/>
        <v>6.25</v>
      </c>
      <c r="DP77" s="889">
        <f t="shared" si="120"/>
        <v>6.25</v>
      </c>
      <c r="DQ77" s="1311">
        <f t="shared" si="121"/>
        <v>6.25</v>
      </c>
      <c r="DR77" s="1311">
        <f t="shared" si="121"/>
        <v>6.25</v>
      </c>
      <c r="DS77" s="1311">
        <f t="shared" si="122"/>
        <v>-4.5</v>
      </c>
      <c r="DT77" s="1311">
        <f t="shared" si="123"/>
        <v>3.5</v>
      </c>
      <c r="DU77" s="1311">
        <f t="shared" si="124"/>
        <v>3.5</v>
      </c>
      <c r="DV77" s="889">
        <f t="shared" si="125"/>
        <v>3.5</v>
      </c>
      <c r="DW77" s="889">
        <f t="shared" si="126"/>
        <v>3.5</v>
      </c>
      <c r="DX77" s="873">
        <f t="shared" si="195"/>
        <v>3.5</v>
      </c>
      <c r="DY77" s="873">
        <f t="shared" si="195"/>
        <v>3.5</v>
      </c>
      <c r="DZ77" s="873">
        <f t="shared" si="128"/>
        <v>6.75</v>
      </c>
      <c r="EA77" s="873">
        <f t="shared" si="129"/>
        <v>1</v>
      </c>
      <c r="EB77" s="876">
        <f t="shared" si="130"/>
        <v>5</v>
      </c>
      <c r="EC77" s="877">
        <f t="shared" si="131"/>
        <v>5</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f t="shared" si="143"/>
        <v>0</v>
      </c>
      <c r="EP77" s="874">
        <f t="shared" si="144"/>
        <v>0</v>
      </c>
      <c r="EQ77" s="874">
        <f t="shared" si="145"/>
        <v>0</v>
      </c>
      <c r="ER77" s="874">
        <f t="shared" si="146"/>
        <v>0</v>
      </c>
      <c r="ES77" s="874" t="str">
        <f t="shared" si="147"/>
        <v/>
      </c>
      <c r="ET77" s="873">
        <f t="shared" si="148"/>
        <v>0</v>
      </c>
      <c r="EU77" s="873">
        <f t="shared" si="149"/>
        <v>0</v>
      </c>
      <c r="EV77" s="876">
        <f t="shared" si="150"/>
        <v>6</v>
      </c>
      <c r="EW77" s="876">
        <f t="shared" si="151"/>
        <v>5</v>
      </c>
      <c r="EX77" s="878" t="str">
        <f t="shared" si="152"/>
        <v>ERR</v>
      </c>
      <c r="EY77" s="879" t="e">
        <f t="shared" si="153"/>
        <v>#VALUE!</v>
      </c>
      <c r="EZ77" s="959">
        <f t="shared" si="154"/>
        <v>9171.2719780219759</v>
      </c>
      <c r="FA77" s="960">
        <f t="shared" si="155"/>
        <v>7948.4357142857134</v>
      </c>
      <c r="FB77" s="880">
        <f t="shared" si="156"/>
        <v>0</v>
      </c>
      <c r="FC77" s="881">
        <f t="shared" si="157"/>
        <v>0</v>
      </c>
      <c r="FD77" s="890">
        <f t="shared" si="158"/>
        <v>1.75</v>
      </c>
      <c r="FE77" s="833">
        <f t="shared" si="159"/>
        <v>0</v>
      </c>
      <c r="FF77" s="754" t="b">
        <f t="shared" si="160"/>
        <v>0</v>
      </c>
      <c r="FG77" s="754" t="b">
        <f t="shared" si="161"/>
        <v>0</v>
      </c>
      <c r="FH77" s="754" t="b">
        <f t="shared" si="162"/>
        <v>0</v>
      </c>
      <c r="FI77" s="754" t="b">
        <f t="shared" si="163"/>
        <v>0</v>
      </c>
      <c r="FJ77" s="920" t="str">
        <f t="shared" si="177"/>
        <v/>
      </c>
      <c r="FK77" s="919" t="str">
        <f t="shared" si="178"/>
        <v>G40</v>
      </c>
      <c r="FL77" s="320">
        <f t="shared" si="179"/>
        <v>612</v>
      </c>
      <c r="FM77" s="312" t="str">
        <f t="shared" si="164"/>
        <v/>
      </c>
      <c r="FN77" s="272">
        <f t="shared" ca="1" si="180"/>
        <v>48</v>
      </c>
      <c r="FO77" s="273">
        <f t="shared" ca="1" si="181"/>
        <v>5</v>
      </c>
      <c r="FP77" s="274">
        <f t="shared" ca="1" si="182"/>
        <v>96</v>
      </c>
      <c r="FQ77" s="274">
        <f t="shared" ca="1" si="183"/>
        <v>87</v>
      </c>
      <c r="FR77" s="321">
        <f t="shared" ca="1" si="184"/>
        <v>0</v>
      </c>
      <c r="FS77" s="322">
        <f t="shared" ca="1" si="185"/>
        <v>615</v>
      </c>
      <c r="FT77" s="272">
        <f t="shared" ca="1" si="186"/>
        <v>612</v>
      </c>
      <c r="FU77" s="275">
        <f t="shared" ca="1" si="187"/>
        <v>1</v>
      </c>
      <c r="FV77" s="323">
        <f t="shared" ca="1" si="165"/>
        <v>46</v>
      </c>
      <c r="FW77" s="276">
        <f t="shared" ca="1" si="188"/>
        <v>46</v>
      </c>
      <c r="FX77" s="276">
        <f t="shared" ca="1" si="189"/>
        <v>96</v>
      </c>
      <c r="FY77" s="276">
        <f t="shared" ca="1" si="190"/>
        <v>86</v>
      </c>
      <c r="FZ77" s="276">
        <f t="shared" ca="1" si="191"/>
        <v>86</v>
      </c>
      <c r="GA77" s="276">
        <f t="shared" ca="1" si="192"/>
        <v>612</v>
      </c>
      <c r="GB77" s="277">
        <f ca="1">IF(FY77="","",2+SUM(FO77:OFFSET(FO77,(FU77-1)*-1,0)))</f>
        <v>7</v>
      </c>
      <c r="GC77" s="316">
        <f t="shared" si="193"/>
        <v>-0.25</v>
      </c>
      <c r="GD77" s="324" t="str">
        <f t="shared" si="166"/>
        <v/>
      </c>
      <c r="GE77" s="325" t="str">
        <f t="shared" si="167"/>
        <v/>
      </c>
      <c r="GF77" s="278" t="str">
        <f t="shared" si="168"/>
        <v>#1</v>
      </c>
      <c r="GG77" s="279" t="str">
        <f t="shared" si="169"/>
        <v/>
      </c>
      <c r="GH77" s="279" t="str">
        <f t="shared" si="170"/>
        <v/>
      </c>
      <c r="GI77" s="280" t="str">
        <f t="shared" si="171"/>
        <v/>
      </c>
      <c r="GJ77" s="530">
        <f t="shared" ca="1" si="172"/>
        <v>0</v>
      </c>
      <c r="GK77" s="895" t="str">
        <f t="shared" ca="1" si="194"/>
        <v/>
      </c>
    </row>
    <row r="78" spans="78:193" ht="12.6" hidden="1" customHeight="1" x14ac:dyDescent="0.2">
      <c r="BZ78" s="293"/>
      <c r="CA78" s="293"/>
      <c r="CB78" s="365" t="str">
        <f t="shared" si="100"/>
        <v>G41</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1"/>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2"/>
        <v>0</v>
      </c>
      <c r="CU78" s="1317">
        <f t="shared" si="103"/>
        <v>0</v>
      </c>
      <c r="CV78" s="1311">
        <f t="shared" si="104"/>
        <v>709</v>
      </c>
      <c r="CW78" s="1311">
        <f t="shared" si="105"/>
        <v>7.5</v>
      </c>
      <c r="CX78" s="1311">
        <f t="shared" si="106"/>
        <v>7.5</v>
      </c>
      <c r="CY78" s="1313">
        <f t="shared" si="107"/>
        <v>0</v>
      </c>
      <c r="CZ78" s="1313">
        <f t="shared" si="108"/>
        <v>9</v>
      </c>
      <c r="DA78" s="1313">
        <f t="shared" si="109"/>
        <v>9</v>
      </c>
      <c r="DB78" s="1311">
        <f t="shared" si="173"/>
        <v>8.75</v>
      </c>
      <c r="DC78" s="1311">
        <f t="shared" si="110"/>
        <v>2.75</v>
      </c>
      <c r="DD78" s="875">
        <f t="shared" si="174"/>
        <v>2.75</v>
      </c>
      <c r="DE78" s="873">
        <f t="shared" si="111"/>
        <v>0</v>
      </c>
      <c r="DF78" s="874">
        <f t="shared" si="112"/>
        <v>6</v>
      </c>
      <c r="DG78" s="874">
        <f t="shared" si="113"/>
        <v>6</v>
      </c>
      <c r="DH78" s="1311">
        <f t="shared" si="175"/>
        <v>5</v>
      </c>
      <c r="DI78" s="1311">
        <f t="shared" si="114"/>
        <v>0</v>
      </c>
      <c r="DJ78" s="1312">
        <f t="shared" si="176"/>
        <v>0</v>
      </c>
      <c r="DK78" s="1311">
        <f t="shared" si="115"/>
        <v>706.25</v>
      </c>
      <c r="DL78" s="1311">
        <f t="shared" si="116"/>
        <v>-7.5</v>
      </c>
      <c r="DM78" s="1311">
        <f t="shared" si="117"/>
        <v>7.25</v>
      </c>
      <c r="DN78" s="1311">
        <f t="shared" si="118"/>
        <v>7.25</v>
      </c>
      <c r="DO78" s="889">
        <f t="shared" si="119"/>
        <v>7.25</v>
      </c>
      <c r="DP78" s="889">
        <f t="shared" si="120"/>
        <v>7.25</v>
      </c>
      <c r="DQ78" s="1311">
        <f t="shared" si="121"/>
        <v>7.25</v>
      </c>
      <c r="DR78" s="1311">
        <f t="shared" si="121"/>
        <v>7.25</v>
      </c>
      <c r="DS78" s="1311">
        <f t="shared" si="122"/>
        <v>-4.5</v>
      </c>
      <c r="DT78" s="1311">
        <f t="shared" si="123"/>
        <v>3.5</v>
      </c>
      <c r="DU78" s="1311">
        <f t="shared" si="124"/>
        <v>3.5</v>
      </c>
      <c r="DV78" s="889">
        <f t="shared" si="125"/>
        <v>3.5</v>
      </c>
      <c r="DW78" s="889">
        <f t="shared" si="126"/>
        <v>3.5</v>
      </c>
      <c r="DX78" s="873">
        <f t="shared" si="195"/>
        <v>3.5</v>
      </c>
      <c r="DY78" s="873">
        <f t="shared" si="195"/>
        <v>3.5</v>
      </c>
      <c r="DZ78" s="873">
        <f t="shared" si="128"/>
        <v>7.75</v>
      </c>
      <c r="EA78" s="873">
        <f t="shared" si="129"/>
        <v>1</v>
      </c>
      <c r="EB78" s="876">
        <f t="shared" si="130"/>
        <v>5</v>
      </c>
      <c r="EC78" s="877">
        <f t="shared" si="131"/>
        <v>5</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f t="shared" si="143"/>
        <v>0</v>
      </c>
      <c r="EP78" s="874">
        <f t="shared" si="144"/>
        <v>0</v>
      </c>
      <c r="EQ78" s="874">
        <f t="shared" si="145"/>
        <v>0</v>
      </c>
      <c r="ER78" s="874">
        <f t="shared" si="146"/>
        <v>0</v>
      </c>
      <c r="ES78" s="874" t="str">
        <f t="shared" si="147"/>
        <v/>
      </c>
      <c r="ET78" s="873">
        <f t="shared" si="148"/>
        <v>0</v>
      </c>
      <c r="EU78" s="873">
        <f t="shared" si="149"/>
        <v>0</v>
      </c>
      <c r="EV78" s="876">
        <f t="shared" si="150"/>
        <v>6</v>
      </c>
      <c r="EW78" s="876">
        <f t="shared" si="151"/>
        <v>5</v>
      </c>
      <c r="EX78" s="878" t="e">
        <f t="shared" si="152"/>
        <v>#VALUE!</v>
      </c>
      <c r="EY78" s="879" t="e">
        <f t="shared" si="153"/>
        <v>#VALUE!</v>
      </c>
      <c r="EZ78" s="959" t="e">
        <f t="shared" si="154"/>
        <v>#VALUE!</v>
      </c>
      <c r="FA78" s="960" t="e">
        <f t="shared" si="155"/>
        <v>#VALUE!</v>
      </c>
      <c r="FB78" s="880">
        <f t="shared" si="156"/>
        <v>0</v>
      </c>
      <c r="FC78" s="881">
        <f t="shared" si="157"/>
        <v>0</v>
      </c>
      <c r="FD78" s="890">
        <f t="shared" si="158"/>
        <v>2.75</v>
      </c>
      <c r="FE78" s="833">
        <f t="shared" si="159"/>
        <v>0</v>
      </c>
      <c r="FF78" s="754" t="b">
        <f t="shared" si="160"/>
        <v>0</v>
      </c>
      <c r="FG78" s="754" t="b">
        <f t="shared" si="161"/>
        <v>0</v>
      </c>
      <c r="FH78" s="754" t="b">
        <f t="shared" si="162"/>
        <v>0</v>
      </c>
      <c r="FI78" s="754" t="b">
        <f t="shared" si="163"/>
        <v>0</v>
      </c>
      <c r="FJ78" s="920" t="str">
        <f t="shared" si="177"/>
        <v/>
      </c>
      <c r="FK78" s="919" t="str">
        <f t="shared" si="178"/>
        <v>G41</v>
      </c>
      <c r="FL78" s="320">
        <f t="shared" si="179"/>
        <v>706.25</v>
      </c>
      <c r="FM78" s="312" t="str">
        <f t="shared" si="164"/>
        <v/>
      </c>
      <c r="FN78" s="272">
        <f t="shared" ca="1" si="180"/>
        <v>48</v>
      </c>
      <c r="FO78" s="273">
        <f t="shared" ca="1" si="181"/>
        <v>6</v>
      </c>
      <c r="FP78" s="274">
        <f t="shared" ca="1" si="182"/>
        <v>96</v>
      </c>
      <c r="FQ78" s="274">
        <f t="shared" ca="1" si="183"/>
        <v>86.25</v>
      </c>
      <c r="FR78" s="321">
        <f t="shared" ca="1" si="184"/>
        <v>0</v>
      </c>
      <c r="FS78" s="322">
        <f t="shared" ca="1" si="185"/>
        <v>710.25</v>
      </c>
      <c r="FT78" s="272">
        <f t="shared" ca="1" si="186"/>
        <v>706.25</v>
      </c>
      <c r="FU78" s="275">
        <f t="shared" ca="1" si="187"/>
        <v>1</v>
      </c>
      <c r="FV78" s="323">
        <f t="shared" ca="1" si="165"/>
        <v>45</v>
      </c>
      <c r="FW78" s="276">
        <f t="shared" ca="1" si="188"/>
        <v>45</v>
      </c>
      <c r="FX78" s="276">
        <f t="shared" ca="1" si="189"/>
        <v>96</v>
      </c>
      <c r="FY78" s="276">
        <f t="shared" ca="1" si="190"/>
        <v>85.25</v>
      </c>
      <c r="FZ78" s="276">
        <f t="shared" ca="1" si="191"/>
        <v>85.25</v>
      </c>
      <c r="GA78" s="276">
        <f t="shared" ca="1" si="192"/>
        <v>706.25</v>
      </c>
      <c r="GB78" s="277">
        <f ca="1">IF(FY78="","",2+SUM(FO78:OFFSET(FO78,(FU78-1)*-1,0)))</f>
        <v>8</v>
      </c>
      <c r="GC78" s="316">
        <f t="shared" si="193"/>
        <v>-0.25</v>
      </c>
      <c r="GD78" s="324" t="str">
        <f t="shared" si="166"/>
        <v/>
      </c>
      <c r="GE78" s="325" t="str">
        <f t="shared" si="167"/>
        <v/>
      </c>
      <c r="GF78" s="278" t="str">
        <f t="shared" si="168"/>
        <v>#1</v>
      </c>
      <c r="GG78" s="279" t="str">
        <f t="shared" si="169"/>
        <v/>
      </c>
      <c r="GH78" s="279" t="str">
        <f t="shared" si="170"/>
        <v/>
      </c>
      <c r="GI78" s="280" t="str">
        <f t="shared" si="171"/>
        <v/>
      </c>
      <c r="GJ78" s="530">
        <f t="shared" ca="1" si="172"/>
        <v>0</v>
      </c>
      <c r="GK78" s="895" t="str">
        <f t="shared" ca="1" si="194"/>
        <v>A</v>
      </c>
    </row>
    <row r="79" spans="78:193" ht="12.6" hidden="1" customHeight="1" x14ac:dyDescent="0.2">
      <c r="BZ79" s="293"/>
      <c r="CA79" s="293"/>
      <c r="CB79" s="365" t="str">
        <f t="shared" si="100"/>
        <v>G42</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1"/>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2"/>
        <v>0</v>
      </c>
      <c r="CU79" s="1317">
        <f t="shared" si="103"/>
        <v>0</v>
      </c>
      <c r="CV79" s="1311">
        <f t="shared" si="104"/>
        <v>708.25</v>
      </c>
      <c r="CW79" s="1311">
        <f t="shared" si="105"/>
        <v>7.5</v>
      </c>
      <c r="CX79" s="1311">
        <f t="shared" si="106"/>
        <v>7.5</v>
      </c>
      <c r="CY79" s="1313">
        <f t="shared" si="107"/>
        <v>0</v>
      </c>
      <c r="CZ79" s="1313">
        <f t="shared" si="108"/>
        <v>9</v>
      </c>
      <c r="DA79" s="1313">
        <f t="shared" si="109"/>
        <v>9</v>
      </c>
      <c r="DB79" s="1311">
        <f t="shared" si="173"/>
        <v>8.75</v>
      </c>
      <c r="DC79" s="1311">
        <f t="shared" si="110"/>
        <v>2.75</v>
      </c>
      <c r="DD79" s="875">
        <f t="shared" si="174"/>
        <v>2.75</v>
      </c>
      <c r="DE79" s="873">
        <f t="shared" si="111"/>
        <v>0</v>
      </c>
      <c r="DF79" s="874">
        <f t="shared" si="112"/>
        <v>12</v>
      </c>
      <c r="DG79" s="874">
        <f t="shared" si="113"/>
        <v>12</v>
      </c>
      <c r="DH79" s="1311">
        <f t="shared" si="175"/>
        <v>5.5</v>
      </c>
      <c r="DI79" s="1311">
        <f t="shared" si="114"/>
        <v>0</v>
      </c>
      <c r="DJ79" s="1312">
        <f t="shared" si="176"/>
        <v>0</v>
      </c>
      <c r="DK79" s="1311">
        <f t="shared" si="115"/>
        <v>705.5</v>
      </c>
      <c r="DL79" s="1311">
        <f t="shared" si="116"/>
        <v>-7.5</v>
      </c>
      <c r="DM79" s="1311">
        <f t="shared" si="117"/>
        <v>7.25</v>
      </c>
      <c r="DN79" s="1311">
        <f t="shared" si="118"/>
        <v>7.25</v>
      </c>
      <c r="DO79" s="889">
        <f t="shared" si="119"/>
        <v>7.25</v>
      </c>
      <c r="DP79" s="889">
        <f t="shared" si="120"/>
        <v>7.25</v>
      </c>
      <c r="DQ79" s="1311">
        <f t="shared" si="121"/>
        <v>7.25</v>
      </c>
      <c r="DR79" s="1311">
        <f t="shared" si="121"/>
        <v>7.25</v>
      </c>
      <c r="DS79" s="1311">
        <f t="shared" si="122"/>
        <v>-9.5</v>
      </c>
      <c r="DT79" s="1311">
        <f t="shared" si="123"/>
        <v>3</v>
      </c>
      <c r="DU79" s="1311">
        <f t="shared" si="124"/>
        <v>3</v>
      </c>
      <c r="DV79" s="889">
        <f t="shared" si="125"/>
        <v>3</v>
      </c>
      <c r="DW79" s="889">
        <f t="shared" si="126"/>
        <v>3</v>
      </c>
      <c r="DX79" s="873">
        <f t="shared" si="195"/>
        <v>3</v>
      </c>
      <c r="DY79" s="873">
        <f t="shared" si="195"/>
        <v>3</v>
      </c>
      <c r="DZ79" s="873">
        <f t="shared" si="128"/>
        <v>7.75</v>
      </c>
      <c r="EA79" s="873">
        <f t="shared" si="129"/>
        <v>1.5</v>
      </c>
      <c r="EB79" s="876">
        <f t="shared" si="130"/>
        <v>5</v>
      </c>
      <c r="EC79" s="877">
        <f t="shared" si="131"/>
        <v>5</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f t="shared" si="143"/>
        <v>0</v>
      </c>
      <c r="EP79" s="874">
        <f t="shared" si="144"/>
        <v>0</v>
      </c>
      <c r="EQ79" s="874">
        <f t="shared" si="145"/>
        <v>0</v>
      </c>
      <c r="ER79" s="874">
        <f t="shared" si="146"/>
        <v>0</v>
      </c>
      <c r="ES79" s="874" t="str">
        <f t="shared" si="147"/>
        <v/>
      </c>
      <c r="ET79" s="873">
        <f t="shared" si="148"/>
        <v>0</v>
      </c>
      <c r="EU79" s="873">
        <f t="shared" si="149"/>
        <v>0</v>
      </c>
      <c r="EV79" s="876">
        <f t="shared" si="150"/>
        <v>6</v>
      </c>
      <c r="EW79" s="876">
        <f t="shared" si="151"/>
        <v>5.5</v>
      </c>
      <c r="EX79" s="878" t="e">
        <f t="shared" si="152"/>
        <v>#VALUE!</v>
      </c>
      <c r="EY79" s="879" t="e">
        <f t="shared" si="153"/>
        <v>#VALUE!</v>
      </c>
      <c r="EZ79" s="959" t="e">
        <f t="shared" si="154"/>
        <v>#VALUE!</v>
      </c>
      <c r="FA79" s="960" t="e">
        <f t="shared" si="155"/>
        <v>#VALUE!</v>
      </c>
      <c r="FB79" s="880">
        <f t="shared" si="156"/>
        <v>0</v>
      </c>
      <c r="FC79" s="881">
        <f t="shared" si="157"/>
        <v>0</v>
      </c>
      <c r="FD79" s="890">
        <f t="shared" si="158"/>
        <v>2.75</v>
      </c>
      <c r="FE79" s="833">
        <f t="shared" si="159"/>
        <v>0</v>
      </c>
      <c r="FF79" s="754" t="b">
        <f t="shared" si="160"/>
        <v>0</v>
      </c>
      <c r="FG79" s="754" t="b">
        <f t="shared" si="161"/>
        <v>0</v>
      </c>
      <c r="FH79" s="754" t="b">
        <f t="shared" si="162"/>
        <v>0</v>
      </c>
      <c r="FI79" s="754" t="b">
        <f t="shared" si="163"/>
        <v>0</v>
      </c>
      <c r="FJ79" s="920" t="str">
        <f t="shared" si="177"/>
        <v/>
      </c>
      <c r="FK79" s="919" t="str">
        <f t="shared" si="178"/>
        <v>G42</v>
      </c>
      <c r="FL79" s="320">
        <f t="shared" si="179"/>
        <v>705.5</v>
      </c>
      <c r="FM79" s="312" t="str">
        <f t="shared" si="164"/>
        <v/>
      </c>
      <c r="FN79" s="272">
        <f t="shared" ca="1" si="180"/>
        <v>48</v>
      </c>
      <c r="FO79" s="273">
        <f t="shared" ca="1" si="181"/>
        <v>6</v>
      </c>
      <c r="FP79" s="274">
        <f t="shared" ca="1" si="182"/>
        <v>96</v>
      </c>
      <c r="FQ79" s="274">
        <f t="shared" ca="1" si="183"/>
        <v>91</v>
      </c>
      <c r="FR79" s="321">
        <f t="shared" ca="1" si="184"/>
        <v>0</v>
      </c>
      <c r="FS79" s="322">
        <f t="shared" ca="1" si="185"/>
        <v>715</v>
      </c>
      <c r="FT79" s="272">
        <f t="shared" ca="1" si="186"/>
        <v>705.5</v>
      </c>
      <c r="FU79" s="275">
        <f t="shared" ca="1" si="187"/>
        <v>1</v>
      </c>
      <c r="FV79" s="323">
        <f t="shared" ca="1" si="165"/>
        <v>45</v>
      </c>
      <c r="FW79" s="276">
        <f t="shared" ca="1" si="188"/>
        <v>45</v>
      </c>
      <c r="FX79" s="276">
        <f t="shared" ca="1" si="189"/>
        <v>96</v>
      </c>
      <c r="FY79" s="276">
        <f t="shared" ca="1" si="190"/>
        <v>84.5</v>
      </c>
      <c r="FZ79" s="276">
        <f t="shared" ca="1" si="191"/>
        <v>84.5</v>
      </c>
      <c r="GA79" s="276">
        <f t="shared" ca="1" si="192"/>
        <v>705.5</v>
      </c>
      <c r="GB79" s="277">
        <f ca="1">IF(FY79="","",2+SUM(FO79:OFFSET(FO79,(FU79-1)*-1,0)))</f>
        <v>8</v>
      </c>
      <c r="GC79" s="316">
        <f t="shared" si="193"/>
        <v>-0.25</v>
      </c>
      <c r="GD79" s="324" t="str">
        <f t="shared" si="166"/>
        <v/>
      </c>
      <c r="GE79" s="325" t="str">
        <f t="shared" si="167"/>
        <v/>
      </c>
      <c r="GF79" s="278" t="str">
        <f t="shared" si="168"/>
        <v>#1</v>
      </c>
      <c r="GG79" s="279" t="str">
        <f t="shared" si="169"/>
        <v/>
      </c>
      <c r="GH79" s="279" t="str">
        <f t="shared" si="170"/>
        <v/>
      </c>
      <c r="GI79" s="280" t="str">
        <f t="shared" si="171"/>
        <v/>
      </c>
      <c r="GJ79" s="530">
        <f t="shared" ca="1" si="172"/>
        <v>0</v>
      </c>
      <c r="GK79" s="895" t="str">
        <f t="shared" ca="1" si="194"/>
        <v>A</v>
      </c>
    </row>
    <row r="80" spans="78:193" ht="12.6" hidden="1" customHeight="1" x14ac:dyDescent="0.2">
      <c r="BZ80" s="293"/>
      <c r="CA80" s="293"/>
      <c r="CB80" s="365" t="str">
        <f t="shared" si="100"/>
        <v>G43</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1"/>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2"/>
        <v>0</v>
      </c>
      <c r="CU80" s="1317">
        <f t="shared" si="103"/>
        <v>0</v>
      </c>
      <c r="CV80" s="1311">
        <f t="shared" si="104"/>
        <v>670.25</v>
      </c>
      <c r="CW80" s="1311">
        <f t="shared" si="105"/>
        <v>7.5</v>
      </c>
      <c r="CX80" s="1311">
        <f t="shared" si="106"/>
        <v>7.5</v>
      </c>
      <c r="CY80" s="1313">
        <f t="shared" si="107"/>
        <v>0</v>
      </c>
      <c r="CZ80" s="1313">
        <f t="shared" si="108"/>
        <v>9</v>
      </c>
      <c r="DA80" s="1313">
        <f t="shared" si="109"/>
        <v>9</v>
      </c>
      <c r="DB80" s="1311">
        <f t="shared" si="173"/>
        <v>8.75</v>
      </c>
      <c r="DC80" s="1311">
        <f t="shared" si="110"/>
        <v>2.75</v>
      </c>
      <c r="DD80" s="875">
        <f t="shared" si="174"/>
        <v>2.75</v>
      </c>
      <c r="DE80" s="873">
        <f t="shared" si="111"/>
        <v>0</v>
      </c>
      <c r="DF80" s="874">
        <f t="shared" si="112"/>
        <v>12</v>
      </c>
      <c r="DG80" s="874">
        <f t="shared" si="113"/>
        <v>12</v>
      </c>
      <c r="DH80" s="1311">
        <f t="shared" si="175"/>
        <v>5.5</v>
      </c>
      <c r="DI80" s="1311">
        <f t="shared" si="114"/>
        <v>0</v>
      </c>
      <c r="DJ80" s="1312">
        <f t="shared" si="176"/>
        <v>0</v>
      </c>
      <c r="DK80" s="1311">
        <f t="shared" si="115"/>
        <v>667.5</v>
      </c>
      <c r="DL80" s="1311">
        <f t="shared" si="116"/>
        <v>-7.5</v>
      </c>
      <c r="DM80" s="1311">
        <f t="shared" si="117"/>
        <v>7.25</v>
      </c>
      <c r="DN80" s="1311">
        <f t="shared" si="118"/>
        <v>7.25</v>
      </c>
      <c r="DO80" s="889">
        <f t="shared" si="119"/>
        <v>7.25</v>
      </c>
      <c r="DP80" s="889">
        <f t="shared" si="120"/>
        <v>7.25</v>
      </c>
      <c r="DQ80" s="1311">
        <f t="shared" si="121"/>
        <v>7.25</v>
      </c>
      <c r="DR80" s="1311">
        <f t="shared" si="121"/>
        <v>7.25</v>
      </c>
      <c r="DS80" s="1311">
        <f t="shared" si="122"/>
        <v>-9.5</v>
      </c>
      <c r="DT80" s="1311">
        <f t="shared" si="123"/>
        <v>3</v>
      </c>
      <c r="DU80" s="1311">
        <f t="shared" si="124"/>
        <v>3</v>
      </c>
      <c r="DV80" s="889">
        <f t="shared" si="125"/>
        <v>3</v>
      </c>
      <c r="DW80" s="889">
        <f t="shared" si="126"/>
        <v>3</v>
      </c>
      <c r="DX80" s="873">
        <f t="shared" si="195"/>
        <v>3</v>
      </c>
      <c r="DY80" s="873">
        <f t="shared" si="195"/>
        <v>3</v>
      </c>
      <c r="DZ80" s="873">
        <f t="shared" si="128"/>
        <v>7.75</v>
      </c>
      <c r="EA80" s="873">
        <f t="shared" si="129"/>
        <v>1.5</v>
      </c>
      <c r="EB80" s="876">
        <f t="shared" si="130"/>
        <v>5</v>
      </c>
      <c r="EC80" s="877">
        <f t="shared" si="131"/>
        <v>5</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f t="shared" si="143"/>
        <v>0</v>
      </c>
      <c r="EP80" s="874">
        <f t="shared" si="144"/>
        <v>0</v>
      </c>
      <c r="EQ80" s="874">
        <f t="shared" si="145"/>
        <v>0</v>
      </c>
      <c r="ER80" s="874">
        <f t="shared" si="146"/>
        <v>0</v>
      </c>
      <c r="ES80" s="874" t="str">
        <f t="shared" si="147"/>
        <v/>
      </c>
      <c r="ET80" s="873">
        <f t="shared" si="148"/>
        <v>0</v>
      </c>
      <c r="EU80" s="873">
        <f t="shared" si="149"/>
        <v>0</v>
      </c>
      <c r="EV80" s="876">
        <f t="shared" si="150"/>
        <v>6</v>
      </c>
      <c r="EW80" s="876">
        <f t="shared" si="151"/>
        <v>5.5</v>
      </c>
      <c r="EX80" s="878" t="e">
        <f t="shared" si="152"/>
        <v>#VALUE!</v>
      </c>
      <c r="EY80" s="879" t="e">
        <f t="shared" si="153"/>
        <v>#VALUE!</v>
      </c>
      <c r="EZ80" s="959" t="e">
        <f t="shared" si="154"/>
        <v>#VALUE!</v>
      </c>
      <c r="FA80" s="960" t="e">
        <f t="shared" si="155"/>
        <v>#VALUE!</v>
      </c>
      <c r="FB80" s="880">
        <f t="shared" si="156"/>
        <v>0</v>
      </c>
      <c r="FC80" s="881">
        <f t="shared" si="157"/>
        <v>0</v>
      </c>
      <c r="FD80" s="890">
        <f t="shared" si="158"/>
        <v>2.75</v>
      </c>
      <c r="FE80" s="833">
        <f t="shared" si="159"/>
        <v>0</v>
      </c>
      <c r="FF80" s="754" t="b">
        <f t="shared" si="160"/>
        <v>0</v>
      </c>
      <c r="FG80" s="754" t="b">
        <f t="shared" si="161"/>
        <v>0</v>
      </c>
      <c r="FH80" s="754" t="b">
        <f t="shared" si="162"/>
        <v>0</v>
      </c>
      <c r="FI80" s="754" t="b">
        <f t="shared" si="163"/>
        <v>0</v>
      </c>
      <c r="FJ80" s="920" t="str">
        <f t="shared" si="177"/>
        <v/>
      </c>
      <c r="FK80" s="919" t="str">
        <f t="shared" si="178"/>
        <v>G43</v>
      </c>
      <c r="FL80" s="320">
        <f t="shared" si="179"/>
        <v>667.5</v>
      </c>
      <c r="FM80" s="312" t="str">
        <f t="shared" si="164"/>
        <v/>
      </c>
      <c r="FN80" s="272">
        <f t="shared" ca="1" si="180"/>
        <v>96</v>
      </c>
      <c r="FO80" s="273">
        <f t="shared" ca="1" si="181"/>
        <v>5</v>
      </c>
      <c r="FP80" s="274">
        <f t="shared" ca="1" si="182"/>
        <v>96</v>
      </c>
      <c r="FQ80" s="274">
        <f t="shared" ca="1" si="183"/>
        <v>101</v>
      </c>
      <c r="FR80" s="321">
        <f t="shared" ca="1" si="184"/>
        <v>0</v>
      </c>
      <c r="FS80" s="322">
        <f t="shared" ca="1" si="185"/>
        <v>677</v>
      </c>
      <c r="FT80" s="272">
        <f t="shared" ca="1" si="186"/>
        <v>667.5</v>
      </c>
      <c r="FU80" s="275">
        <f t="shared" ca="1" si="187"/>
        <v>1</v>
      </c>
      <c r="FV80" s="323">
        <f t="shared" ca="1" si="165"/>
        <v>93</v>
      </c>
      <c r="FW80" s="276">
        <f t="shared" ca="1" si="188"/>
        <v>93</v>
      </c>
      <c r="FX80" s="276">
        <f t="shared" ca="1" si="189"/>
        <v>96</v>
      </c>
      <c r="FY80" s="276">
        <f t="shared" ca="1" si="190"/>
        <v>94.5</v>
      </c>
      <c r="FZ80" s="276">
        <f t="shared" ca="1" si="191"/>
        <v>94.5</v>
      </c>
      <c r="GA80" s="276">
        <f t="shared" ca="1" si="192"/>
        <v>667.5</v>
      </c>
      <c r="GB80" s="277">
        <f ca="1">IF(FY80="","",2+SUM(FO80:OFFSET(FO80,(FU80-1)*-1,0)))</f>
        <v>7</v>
      </c>
      <c r="GC80" s="316">
        <f t="shared" si="193"/>
        <v>-0.25</v>
      </c>
      <c r="GD80" s="324">
        <f t="shared" si="166"/>
        <v>1.75</v>
      </c>
      <c r="GE80" s="325" t="str">
        <f t="shared" si="167"/>
        <v/>
      </c>
      <c r="GF80" s="278">
        <f t="shared" si="168"/>
        <v>12</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1"/>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2"/>
        <v>0</v>
      </c>
      <c r="CU81" s="1317">
        <f t="shared" si="103"/>
        <v>0</v>
      </c>
      <c r="CV81" s="1311" t="str">
        <f t="shared" si="104"/>
        <v/>
      </c>
      <c r="CW81" s="1311" t="str">
        <f t="shared" si="105"/>
        <v/>
      </c>
      <c r="CX81" s="1311" t="str">
        <f t="shared" si="106"/>
        <v/>
      </c>
      <c r="CY81" s="1313">
        <f t="shared" si="107"/>
        <v>0</v>
      </c>
      <c r="CZ81" s="1313">
        <f t="shared" si="108"/>
        <v>0</v>
      </c>
      <c r="DA81" s="1313" t="str">
        <f t="shared" si="109"/>
        <v/>
      </c>
      <c r="DB81" s="1311" t="str">
        <f t="shared" si="173"/>
        <v/>
      </c>
      <c r="DC81" s="1311" t="str">
        <f t="shared" si="110"/>
        <v/>
      </c>
      <c r="DD81" s="875">
        <f t="shared" si="174"/>
        <v>0</v>
      </c>
      <c r="DE81" s="873">
        <f t="shared" si="111"/>
        <v>0</v>
      </c>
      <c r="DF81" s="874">
        <f t="shared" si="112"/>
        <v>0</v>
      </c>
      <c r="DG81" s="874" t="str">
        <f t="shared" si="113"/>
        <v/>
      </c>
      <c r="DH81" s="1311" t="str">
        <f t="shared" si="175"/>
        <v/>
      </c>
      <c r="DI81" s="1311" t="str">
        <f t="shared" si="114"/>
        <v/>
      </c>
      <c r="DJ81" s="1312">
        <f t="shared" si="176"/>
        <v>0</v>
      </c>
      <c r="DK81" s="1311" t="str">
        <f t="shared" si="115"/>
        <v/>
      </c>
      <c r="DL81" s="1311" t="str">
        <f t="shared" si="116"/>
        <v/>
      </c>
      <c r="DM81" s="1311" t="str">
        <f t="shared" si="117"/>
        <v/>
      </c>
      <c r="DN81" s="1311" t="str">
        <f t="shared" si="118"/>
        <v/>
      </c>
      <c r="DO81" s="889" t="str">
        <f t="shared" si="119"/>
        <v>ERR</v>
      </c>
      <c r="DP81" s="889" t="str">
        <f t="shared" si="120"/>
        <v>ERR</v>
      </c>
      <c r="DQ81" s="1311" t="str">
        <f t="shared" si="121"/>
        <v/>
      </c>
      <c r="DR81" s="1311" t="str">
        <f t="shared" si="121"/>
        <v/>
      </c>
      <c r="DS81" s="1311" t="str">
        <f t="shared" si="122"/>
        <v/>
      </c>
      <c r="DT81" s="1311" t="str">
        <f t="shared" si="123"/>
        <v/>
      </c>
      <c r="DU81" s="1311"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G43</v>
      </c>
      <c r="FL81" s="320">
        <f t="shared" si="179"/>
        <v>667.5</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f t="shared" si="193"/>
        <v>-0.25</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1"/>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2"/>
        <v>0</v>
      </c>
      <c r="CU82" s="1317">
        <f t="shared" si="103"/>
        <v>0</v>
      </c>
      <c r="CV82" s="1311" t="str">
        <f t="shared" si="104"/>
        <v/>
      </c>
      <c r="CW82" s="1311" t="str">
        <f t="shared" si="105"/>
        <v/>
      </c>
      <c r="CX82" s="1311" t="str">
        <f t="shared" si="106"/>
        <v/>
      </c>
      <c r="CY82" s="1313">
        <f t="shared" si="107"/>
        <v>0</v>
      </c>
      <c r="CZ82" s="1313">
        <f t="shared" si="108"/>
        <v>0</v>
      </c>
      <c r="DA82" s="1313" t="str">
        <f t="shared" si="109"/>
        <v/>
      </c>
      <c r="DB82" s="1311" t="str">
        <f t="shared" si="173"/>
        <v/>
      </c>
      <c r="DC82" s="1311" t="str">
        <f t="shared" si="110"/>
        <v/>
      </c>
      <c r="DD82" s="875">
        <f t="shared" si="174"/>
        <v>0</v>
      </c>
      <c r="DE82" s="873">
        <f t="shared" si="111"/>
        <v>0</v>
      </c>
      <c r="DF82" s="874">
        <f t="shared" si="112"/>
        <v>0</v>
      </c>
      <c r="DG82" s="874" t="str">
        <f t="shared" si="113"/>
        <v/>
      </c>
      <c r="DH82" s="1311" t="str">
        <f t="shared" si="175"/>
        <v/>
      </c>
      <c r="DI82" s="1311" t="str">
        <f t="shared" si="114"/>
        <v/>
      </c>
      <c r="DJ82" s="1312">
        <f t="shared" si="176"/>
        <v>0</v>
      </c>
      <c r="DK82" s="1311" t="str">
        <f t="shared" si="115"/>
        <v/>
      </c>
      <c r="DL82" s="1311" t="str">
        <f t="shared" si="116"/>
        <v/>
      </c>
      <c r="DM82" s="1311" t="str">
        <f t="shared" si="117"/>
        <v/>
      </c>
      <c r="DN82" s="1311" t="str">
        <f t="shared" si="118"/>
        <v/>
      </c>
      <c r="DO82" s="889" t="str">
        <f t="shared" si="119"/>
        <v>ERR</v>
      </c>
      <c r="DP82" s="889" t="str">
        <f t="shared" si="120"/>
        <v>ERR</v>
      </c>
      <c r="DQ82" s="1311" t="str">
        <f t="shared" si="121"/>
        <v/>
      </c>
      <c r="DR82" s="1311" t="str">
        <f t="shared" si="121"/>
        <v/>
      </c>
      <c r="DS82" s="1311" t="str">
        <f t="shared" si="122"/>
        <v/>
      </c>
      <c r="DT82" s="1311" t="str">
        <f t="shared" si="123"/>
        <v/>
      </c>
      <c r="DU82" s="1311"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G43</v>
      </c>
      <c r="FL82" s="320">
        <f t="shared" si="179"/>
        <v>667.5</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f t="shared" si="193"/>
        <v>-0.25</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1"/>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2"/>
        <v>0</v>
      </c>
      <c r="CU83" s="1317">
        <f t="shared" si="103"/>
        <v>0</v>
      </c>
      <c r="CV83" s="1311" t="str">
        <f t="shared" si="104"/>
        <v/>
      </c>
      <c r="CW83" s="1311" t="str">
        <f t="shared" si="105"/>
        <v/>
      </c>
      <c r="CX83" s="1311" t="str">
        <f t="shared" si="106"/>
        <v/>
      </c>
      <c r="CY83" s="1313">
        <f t="shared" si="107"/>
        <v>0</v>
      </c>
      <c r="CZ83" s="1313">
        <f t="shared" si="108"/>
        <v>0</v>
      </c>
      <c r="DA83" s="1313" t="str">
        <f t="shared" si="109"/>
        <v/>
      </c>
      <c r="DB83" s="1311" t="str">
        <f t="shared" si="173"/>
        <v/>
      </c>
      <c r="DC83" s="1311" t="str">
        <f t="shared" si="110"/>
        <v/>
      </c>
      <c r="DD83" s="875">
        <f t="shared" si="174"/>
        <v>0</v>
      </c>
      <c r="DE83" s="873">
        <f t="shared" si="111"/>
        <v>0</v>
      </c>
      <c r="DF83" s="874">
        <f t="shared" si="112"/>
        <v>0</v>
      </c>
      <c r="DG83" s="874" t="str">
        <f t="shared" si="113"/>
        <v/>
      </c>
      <c r="DH83" s="1311" t="str">
        <f t="shared" si="175"/>
        <v/>
      </c>
      <c r="DI83" s="1311" t="str">
        <f t="shared" si="114"/>
        <v/>
      </c>
      <c r="DJ83" s="1312">
        <f t="shared" si="176"/>
        <v>0</v>
      </c>
      <c r="DK83" s="1311" t="str">
        <f t="shared" si="115"/>
        <v/>
      </c>
      <c r="DL83" s="1311" t="str">
        <f t="shared" si="116"/>
        <v/>
      </c>
      <c r="DM83" s="1311" t="str">
        <f t="shared" si="117"/>
        <v/>
      </c>
      <c r="DN83" s="1311" t="str">
        <f t="shared" si="118"/>
        <v/>
      </c>
      <c r="DO83" s="889" t="str">
        <f t="shared" si="119"/>
        <v>ERR</v>
      </c>
      <c r="DP83" s="889" t="str">
        <f t="shared" si="120"/>
        <v>ERR</v>
      </c>
      <c r="DQ83" s="1311" t="str">
        <f t="shared" si="121"/>
        <v/>
      </c>
      <c r="DR83" s="1311" t="str">
        <f t="shared" si="121"/>
        <v/>
      </c>
      <c r="DS83" s="1311" t="str">
        <f t="shared" si="122"/>
        <v/>
      </c>
      <c r="DT83" s="1311" t="str">
        <f t="shared" si="123"/>
        <v/>
      </c>
      <c r="DU83" s="1311"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G43</v>
      </c>
      <c r="FL83" s="320">
        <f t="shared" si="179"/>
        <v>667.5</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f t="shared" si="193"/>
        <v>-0.25</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1"/>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2"/>
        <v>0</v>
      </c>
      <c r="CU84" s="1317">
        <f t="shared" si="103"/>
        <v>0</v>
      </c>
      <c r="CV84" s="1311" t="str">
        <f t="shared" si="104"/>
        <v/>
      </c>
      <c r="CW84" s="1311" t="str">
        <f t="shared" si="105"/>
        <v/>
      </c>
      <c r="CX84" s="1311" t="str">
        <f t="shared" si="106"/>
        <v/>
      </c>
      <c r="CY84" s="1313">
        <f t="shared" si="107"/>
        <v>0</v>
      </c>
      <c r="CZ84" s="1313">
        <f t="shared" si="108"/>
        <v>0</v>
      </c>
      <c r="DA84" s="1313" t="str">
        <f t="shared" si="109"/>
        <v/>
      </c>
      <c r="DB84" s="1311" t="str">
        <f t="shared" si="173"/>
        <v/>
      </c>
      <c r="DC84" s="1311" t="str">
        <f t="shared" si="110"/>
        <v/>
      </c>
      <c r="DD84" s="875">
        <f t="shared" si="174"/>
        <v>0</v>
      </c>
      <c r="DE84" s="873">
        <f t="shared" si="111"/>
        <v>0</v>
      </c>
      <c r="DF84" s="874">
        <f t="shared" si="112"/>
        <v>0</v>
      </c>
      <c r="DG84" s="874" t="str">
        <f t="shared" si="113"/>
        <v/>
      </c>
      <c r="DH84" s="1311" t="str">
        <f t="shared" si="175"/>
        <v/>
      </c>
      <c r="DI84" s="1311" t="str">
        <f t="shared" si="114"/>
        <v/>
      </c>
      <c r="DJ84" s="1312">
        <f t="shared" si="176"/>
        <v>0</v>
      </c>
      <c r="DK84" s="1311" t="str">
        <f t="shared" si="115"/>
        <v/>
      </c>
      <c r="DL84" s="1311" t="str">
        <f t="shared" si="116"/>
        <v/>
      </c>
      <c r="DM84" s="1311" t="str">
        <f t="shared" si="117"/>
        <v/>
      </c>
      <c r="DN84" s="1311" t="str">
        <f t="shared" si="118"/>
        <v/>
      </c>
      <c r="DO84" s="889" t="str">
        <f t="shared" si="119"/>
        <v>ERR</v>
      </c>
      <c r="DP84" s="889" t="str">
        <f t="shared" si="120"/>
        <v>ERR</v>
      </c>
      <c r="DQ84" s="1311" t="str">
        <f t="shared" si="121"/>
        <v/>
      </c>
      <c r="DR84" s="1311" t="str">
        <f t="shared" si="121"/>
        <v/>
      </c>
      <c r="DS84" s="1311" t="str">
        <f t="shared" si="122"/>
        <v/>
      </c>
      <c r="DT84" s="1311" t="str">
        <f t="shared" si="123"/>
        <v/>
      </c>
      <c r="DU84" s="1311"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G43</v>
      </c>
      <c r="FL84" s="320">
        <f t="shared" si="179"/>
        <v>667.5</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f t="shared" si="193"/>
        <v>-0.25</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1"/>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2"/>
        <v>0</v>
      </c>
      <c r="CU85" s="1317">
        <f t="shared" si="103"/>
        <v>0</v>
      </c>
      <c r="CV85" s="1311" t="str">
        <f t="shared" si="104"/>
        <v/>
      </c>
      <c r="CW85" s="1311" t="str">
        <f t="shared" si="105"/>
        <v/>
      </c>
      <c r="CX85" s="1311" t="str">
        <f t="shared" si="106"/>
        <v/>
      </c>
      <c r="CY85" s="1313">
        <f t="shared" si="107"/>
        <v>0</v>
      </c>
      <c r="CZ85" s="1313">
        <f t="shared" si="108"/>
        <v>0</v>
      </c>
      <c r="DA85" s="1313" t="str">
        <f t="shared" si="109"/>
        <v/>
      </c>
      <c r="DB85" s="1311" t="str">
        <f t="shared" si="173"/>
        <v/>
      </c>
      <c r="DC85" s="1311" t="str">
        <f t="shared" si="110"/>
        <v/>
      </c>
      <c r="DD85" s="875">
        <f t="shared" si="174"/>
        <v>0</v>
      </c>
      <c r="DE85" s="873">
        <f t="shared" si="111"/>
        <v>0</v>
      </c>
      <c r="DF85" s="874">
        <f t="shared" si="112"/>
        <v>0</v>
      </c>
      <c r="DG85" s="874" t="str">
        <f t="shared" si="113"/>
        <v/>
      </c>
      <c r="DH85" s="1311" t="str">
        <f t="shared" si="175"/>
        <v/>
      </c>
      <c r="DI85" s="1311" t="str">
        <f t="shared" si="114"/>
        <v/>
      </c>
      <c r="DJ85" s="1312">
        <f t="shared" si="176"/>
        <v>0</v>
      </c>
      <c r="DK85" s="1311" t="str">
        <f t="shared" si="115"/>
        <v/>
      </c>
      <c r="DL85" s="1311" t="str">
        <f t="shared" si="116"/>
        <v/>
      </c>
      <c r="DM85" s="1311" t="str">
        <f t="shared" si="117"/>
        <v/>
      </c>
      <c r="DN85" s="1311" t="str">
        <f t="shared" si="118"/>
        <v/>
      </c>
      <c r="DO85" s="889" t="str">
        <f t="shared" si="119"/>
        <v>ERR</v>
      </c>
      <c r="DP85" s="889" t="str">
        <f t="shared" si="120"/>
        <v>ERR</v>
      </c>
      <c r="DQ85" s="1311" t="str">
        <f t="shared" si="121"/>
        <v/>
      </c>
      <c r="DR85" s="1311" t="str">
        <f t="shared" si="121"/>
        <v/>
      </c>
      <c r="DS85" s="1311" t="str">
        <f t="shared" si="122"/>
        <v/>
      </c>
      <c r="DT85" s="1311" t="str">
        <f t="shared" si="123"/>
        <v/>
      </c>
      <c r="DU85" s="1311"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G43</v>
      </c>
      <c r="FL85" s="327">
        <f t="shared" si="179"/>
        <v>667.5</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f t="shared" si="193"/>
        <v>-0.25</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1"/>
      <c r="AA86" s="947"/>
      <c r="AB86" s="948"/>
    </row>
    <row r="87" spans="1:193" ht="15" hidden="1" customHeight="1" x14ac:dyDescent="0.25">
      <c r="A87" s="1215" t="str">
        <f>IF(ISBLANK(CB87),"",CB87)</f>
        <v/>
      </c>
      <c r="B87" s="1679" t="str">
        <f t="shared" ref="B87" si="196">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t4XTNJIOPP+Kgjs/eNAownkbSk0WLOHeiIA+ZznGdwlJsjXFJFwjNJd8BYrelHpf/f1mjWzx05s+oRmymYfRGQ==" saltValue="++OA0JbQdV7AQrLG5jsOjw==" spinCount="100000" sheet="1" objects="1" scenarios="1" selectLockedCells="1"/>
  <mergeCells count="314">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IT12:IT13"/>
    <mergeCell ref="IU12:IU13"/>
    <mergeCell ref="IV12:IV13"/>
    <mergeCell ref="IW12:IW13"/>
    <mergeCell ref="IL12:IL13"/>
    <mergeCell ref="IM12:IM13"/>
    <mergeCell ref="IN12:IN13"/>
    <mergeCell ref="IO12:IO13"/>
    <mergeCell ref="IP12:IP13"/>
    <mergeCell ref="IQ12:IQ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GF12:GF13"/>
    <mergeCell ref="GG12:GH12"/>
    <mergeCell ref="GI12:GJ12"/>
    <mergeCell ref="GK12:GK13"/>
    <mergeCell ref="GL12:GL13"/>
    <mergeCell ref="GM12:GM13"/>
    <mergeCell ref="EN12:EP12"/>
    <mergeCell ref="EQ12:EQ13"/>
    <mergeCell ref="ER12:ES12"/>
    <mergeCell ref="GA12:GB12"/>
    <mergeCell ref="GC12:GD12"/>
    <mergeCell ref="GE12:GE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DL12:DL13"/>
    <mergeCell ref="DM12:DN13"/>
    <mergeCell ref="DQ12:DQ13"/>
    <mergeCell ref="DS12:DS13"/>
    <mergeCell ref="DT12:DU12"/>
    <mergeCell ref="DV12:DW12"/>
    <mergeCell ref="CX12:CZ12"/>
    <mergeCell ref="DA12:DA13"/>
    <mergeCell ref="DD12:DD13"/>
    <mergeCell ref="DE12:DE13"/>
    <mergeCell ref="DI12:DI13"/>
    <mergeCell ref="DJ12:D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S12:W12"/>
    <mergeCell ref="X12:Y12"/>
    <mergeCell ref="AA12:AA13"/>
    <mergeCell ref="B12:B13"/>
    <mergeCell ref="C12:C13"/>
    <mergeCell ref="D12:E13"/>
    <mergeCell ref="F12:F13"/>
    <mergeCell ref="G12:I12"/>
    <mergeCell ref="J12:L12"/>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s>
  <conditionalFormatting sqref="FQ54:FR85">
    <cfRule type="cellIs" dxfId="651" priority="58" stopIfTrue="1" operator="lessThan">
      <formula>0</formula>
    </cfRule>
  </conditionalFormatting>
  <conditionalFormatting sqref="DI14">
    <cfRule type="expression" dxfId="650" priority="48">
      <formula>UPPER(#REF!)="X"</formula>
    </cfRule>
  </conditionalFormatting>
  <conditionalFormatting sqref="DJ14">
    <cfRule type="expression" dxfId="649" priority="59">
      <formula>OR(UPPER(#REF!)="X",UPPER(#REF!="X"))</formula>
    </cfRule>
  </conditionalFormatting>
  <conditionalFormatting sqref="DK14">
    <cfRule type="expression" dxfId="648" priority="60">
      <formula>OR(UPPER(#REF!)="X",UPPER(#REF!="X"))</formula>
    </cfRule>
  </conditionalFormatting>
  <conditionalFormatting sqref="Q2:T4 AU2:AX4">
    <cfRule type="cellIs" dxfId="647" priority="62" stopIfTrue="1" operator="equal">
      <formula>""</formula>
    </cfRule>
  </conditionalFormatting>
  <conditionalFormatting sqref="DM54:DM85">
    <cfRule type="cellIs" dxfId="646" priority="57" stopIfTrue="1" operator="notEqual">
      <formula>DN54</formula>
    </cfRule>
  </conditionalFormatting>
  <conditionalFormatting sqref="DT54:DT85">
    <cfRule type="cellIs" dxfId="645" priority="56" stopIfTrue="1" operator="notEqual">
      <formula>DU54</formula>
    </cfRule>
  </conditionalFormatting>
  <conditionalFormatting sqref="DA4">
    <cfRule type="expression" dxfId="644" priority="55" stopIfTrue="1">
      <formula>NOT(ISBLANK($DA$4))</formula>
    </cfRule>
  </conditionalFormatting>
  <conditionalFormatting sqref="M7">
    <cfRule type="expression" dxfId="643" priority="53" stopIfTrue="1">
      <formula>OR(ISBLANK($M$7),$M$7="")</formula>
    </cfRule>
    <cfRule type="expression" dxfId="642" priority="54" stopIfTrue="1">
      <formula>NOT(OR(COUNTIF(masterFinishList, $M$7) &gt; 0, COUNTIF($M$7, "Other:*") &gt; 0))</formula>
    </cfRule>
  </conditionalFormatting>
  <conditionalFormatting sqref="A14:B45 A87:B87">
    <cfRule type="expression" dxfId="641" priority="40" stopIfTrue="1">
      <formula>AND(NOT($BK$1),$B14=0,OR($BJ$1="",$BJ$1="M"))</formula>
    </cfRule>
  </conditionalFormatting>
  <conditionalFormatting sqref="C14:C45">
    <cfRule type="expression" dxfId="640" priority="46">
      <formula>AND(NOT($BK14),NOT(BR14))</formula>
    </cfRule>
  </conditionalFormatting>
  <conditionalFormatting sqref="U14:U45">
    <cfRule type="expression" dxfId="639" priority="51">
      <formula>AND(NOT($BK14),BV14="No")</formula>
    </cfRule>
  </conditionalFormatting>
  <conditionalFormatting sqref="V14:V45">
    <cfRule type="expression" dxfId="638" priority="52">
      <formula>AND(NOT($BK14),BV14="No")</formula>
    </cfRule>
  </conditionalFormatting>
  <conditionalFormatting sqref="S14:S45">
    <cfRule type="expression" dxfId="637" priority="49">
      <formula>AND(NOT($BK14),BT14="No")</formula>
    </cfRule>
  </conditionalFormatting>
  <conditionalFormatting sqref="T14:T45">
    <cfRule type="expression" dxfId="636" priority="50">
      <formula>AND(NOT($BK14),BT14="No")</formula>
    </cfRule>
  </conditionalFormatting>
  <conditionalFormatting sqref="W14:W45">
    <cfRule type="expression" dxfId="635" priority="36">
      <formula>$W14=0</formula>
    </cfRule>
  </conditionalFormatting>
  <conditionalFormatting sqref="DI15:DI45">
    <cfRule type="expression" dxfId="634" priority="61">
      <formula>FM54="X"</formula>
    </cfRule>
  </conditionalFormatting>
  <conditionalFormatting sqref="DJ15:DJ45">
    <cfRule type="expression" dxfId="633" priority="63">
      <formula>FM54="X"</formula>
    </cfRule>
  </conditionalFormatting>
  <conditionalFormatting sqref="DK15:DK45">
    <cfRule type="expression" dxfId="632" priority="64">
      <formula>FM54="X"</formula>
    </cfRule>
  </conditionalFormatting>
  <conditionalFormatting sqref="DT14:DU45">
    <cfRule type="expression" dxfId="631" priority="65">
      <formula>GD54=0</formula>
    </cfRule>
  </conditionalFormatting>
  <conditionalFormatting sqref="DH14:DH45">
    <cfRule type="expression" dxfId="630" priority="15">
      <formula>NOT($FQ14)</formula>
    </cfRule>
    <cfRule type="expression" dxfId="629" priority="66">
      <formula>FJ54="G"</formula>
    </cfRule>
  </conditionalFormatting>
  <conditionalFormatting sqref="DM14:DN45">
    <cfRule type="expression" dxfId="628" priority="67">
      <formula>FIND("B",$GK54)</formula>
    </cfRule>
  </conditionalFormatting>
  <conditionalFormatting sqref="DJ14:DK45">
    <cfRule type="expression" dxfId="627" priority="68">
      <formula>FIND("A",$GK54)</formula>
    </cfRule>
  </conditionalFormatting>
  <conditionalFormatting sqref="DL14:DL45">
    <cfRule type="expression" dxfId="626" priority="3">
      <formula>AND(NOT(ISBLANK($DH14)),ISBLANK($DL14))</formula>
    </cfRule>
    <cfRule type="expression" dxfId="625" priority="47">
      <formula>FIND("B",$GK54)</formula>
    </cfRule>
  </conditionalFormatting>
  <conditionalFormatting sqref="DI14:DI45">
    <cfRule type="expression" dxfId="624" priority="69">
      <formula>NOT($EY14)</formula>
    </cfRule>
  </conditionalFormatting>
  <conditionalFormatting sqref="DQ14:DQ45">
    <cfRule type="expression" dxfId="623" priority="39">
      <formula>DQ14&lt;&gt;EZ14</formula>
    </cfRule>
  </conditionalFormatting>
  <conditionalFormatting sqref="AD87:AE87 AD14:AE45">
    <cfRule type="expression" dxfId="622" priority="43">
      <formula>AND(NOT($BZ14),FIND("A",$GK54))</formula>
    </cfRule>
  </conditionalFormatting>
  <conditionalFormatting sqref="AI87:AJ87 AI14:AJ45">
    <cfRule type="expression" dxfId="621" priority="44">
      <formula>AND(NOT($BZ14),FIND("B",$GK54))</formula>
    </cfRule>
  </conditionalFormatting>
  <conditionalFormatting sqref="AC14:AC45">
    <cfRule type="expression" dxfId="620" priority="45">
      <formula>AND(NOT($BZ14),NOT($EY14))</formula>
    </cfRule>
  </conditionalFormatting>
  <conditionalFormatting sqref="AM14:AM45">
    <cfRule type="expression" dxfId="619" priority="41">
      <formula>AND(NOT($BZ14),AM14&lt;&gt;EZ14)</formula>
    </cfRule>
  </conditionalFormatting>
  <conditionalFormatting sqref="FF14:FF45">
    <cfRule type="expression" dxfId="618" priority="42">
      <formula>$FC14=0</formula>
    </cfRule>
  </conditionalFormatting>
  <conditionalFormatting sqref="AD14:AJ45">
    <cfRule type="expression" dxfId="617" priority="38">
      <formula>AND(NOT($BZ14),NOT($FA14))</formula>
    </cfRule>
  </conditionalFormatting>
  <conditionalFormatting sqref="DB14:DC45">
    <cfRule type="expression" dxfId="616" priority="37">
      <formula>AND(NOT($BK14),LEN($Z14)&gt;27)</formula>
    </cfRule>
  </conditionalFormatting>
  <conditionalFormatting sqref="C87">
    <cfRule type="expression" dxfId="615" priority="30" stopIfTrue="1">
      <formula>AND(NOT($BK87),NOT(BR87))</formula>
    </cfRule>
  </conditionalFormatting>
  <conditionalFormatting sqref="U87">
    <cfRule type="expression" dxfId="614" priority="34" stopIfTrue="1">
      <formula>AND(NOT($BK87),BV87="No")</formula>
    </cfRule>
  </conditionalFormatting>
  <conditionalFormatting sqref="V87">
    <cfRule type="expression" dxfId="613" priority="35" stopIfTrue="1">
      <formula>AND(NOT($BK87),BV87="No")</formula>
    </cfRule>
  </conditionalFormatting>
  <conditionalFormatting sqref="S87">
    <cfRule type="expression" dxfId="612" priority="32" stopIfTrue="1">
      <formula>AND(NOT($BK87),BT87="No")</formula>
    </cfRule>
  </conditionalFormatting>
  <conditionalFormatting sqref="T87">
    <cfRule type="expression" dxfId="611" priority="33" stopIfTrue="1">
      <formula>AND(NOT($BK87),BT87="No")</formula>
    </cfRule>
  </conditionalFormatting>
  <conditionalFormatting sqref="W87">
    <cfRule type="expression" dxfId="610" priority="22">
      <formula>$W87=0</formula>
    </cfRule>
  </conditionalFormatting>
  <conditionalFormatting sqref="AR87:AS87 AR14:AS45">
    <cfRule type="expression" dxfId="609" priority="25">
      <formula>AND(NOT($BZ14),$FF54)</formula>
    </cfRule>
  </conditionalFormatting>
  <conditionalFormatting sqref="AV87:AW87 AV14:AW45">
    <cfRule type="expression" dxfId="608" priority="26">
      <formula>AND(NOT($BZ14),$FG54)</formula>
    </cfRule>
  </conditionalFormatting>
  <conditionalFormatting sqref="AZ87:BA87 AZ14:BA45">
    <cfRule type="expression" dxfId="607" priority="27">
      <formula>AND(NOT($BZ14),$FH54)</formula>
    </cfRule>
  </conditionalFormatting>
  <conditionalFormatting sqref="BD87:BE87 BD14:BE45">
    <cfRule type="expression" dxfId="606" priority="28">
      <formula>AND(NOT($BZ14),$FI54)</formula>
    </cfRule>
  </conditionalFormatting>
  <conditionalFormatting sqref="AC87">
    <cfRule type="expression" dxfId="605" priority="29">
      <formula>AND(NOT($BZ87),NOT($EY87))</formula>
    </cfRule>
  </conditionalFormatting>
  <conditionalFormatting sqref="AM87">
    <cfRule type="expression" dxfId="604" priority="24">
      <formula>AND(NOT($BZ87),AM87&lt;&gt;EZ87)</formula>
    </cfRule>
  </conditionalFormatting>
  <conditionalFormatting sqref="AD87:AJ87">
    <cfRule type="expression" dxfId="603" priority="23">
      <formula>AND(NOT($BZ87),NOT($FA87))</formula>
    </cfRule>
  </conditionalFormatting>
  <conditionalFormatting sqref="AA87 A87:Y87">
    <cfRule type="expression" dxfId="602" priority="31">
      <formula>$BI87</formula>
    </cfRule>
  </conditionalFormatting>
  <conditionalFormatting sqref="AB87:BG87">
    <cfRule type="expression" dxfId="601" priority="21">
      <formula>$CA87</formula>
    </cfRule>
  </conditionalFormatting>
  <conditionalFormatting sqref="CD14:CD45">
    <cfRule type="expression" dxfId="600" priority="16">
      <formula>AND(NOT($BK14),NOT($BR14))</formula>
    </cfRule>
  </conditionalFormatting>
  <conditionalFormatting sqref="DD14:DD45">
    <cfRule type="cellIs" dxfId="599" priority="17" operator="greaterThan">
      <formula>EY54</formula>
    </cfRule>
    <cfRule type="expression" dxfId="598" priority="18">
      <formula>AND(ISBLANK(DD14),EY54&gt;0)</formula>
    </cfRule>
  </conditionalFormatting>
  <conditionalFormatting sqref="DE14:DE45">
    <cfRule type="cellIs" dxfId="597" priority="19" operator="lessThan">
      <formula>EX54</formula>
    </cfRule>
    <cfRule type="expression" dxfId="596" priority="20">
      <formula>AND(ISBLANK(DE14),EX54&lt;&gt;"")</formula>
    </cfRule>
  </conditionalFormatting>
  <conditionalFormatting sqref="AB14:AO45 DH14:EK45 BF14:BG45">
    <cfRule type="expression" dxfId="595" priority="70">
      <formula>$FP14</formula>
    </cfRule>
  </conditionalFormatting>
  <conditionalFormatting sqref="A14:Y45 AA14:AA45 DA14:DE45 CB14:CY45">
    <cfRule type="expression" dxfId="594" priority="71">
      <formula>$FN14</formula>
    </cfRule>
  </conditionalFormatting>
  <conditionalFormatting sqref="AB14:AB45">
    <cfRule type="expression" dxfId="593" priority="14">
      <formula>NOT($FQ14)</formula>
    </cfRule>
  </conditionalFormatting>
  <conditionalFormatting sqref="CB14:CB45">
    <cfRule type="expression" dxfId="592" priority="4">
      <formula>NOT($FO14)</formula>
    </cfRule>
  </conditionalFormatting>
  <conditionalFormatting sqref="A14:A45">
    <cfRule type="expression" dxfId="591" priority="12">
      <formula>NOT($FO14)</formula>
    </cfRule>
  </conditionalFormatting>
  <conditionalFormatting sqref="CZ14:CZ45">
    <cfRule type="expression" dxfId="590" priority="11">
      <formula>$FN14</formula>
    </cfRule>
  </conditionalFormatting>
  <conditionalFormatting sqref="Z87">
    <cfRule type="expression" dxfId="589" priority="9">
      <formula>$FN87</formula>
    </cfRule>
  </conditionalFormatting>
  <conditionalFormatting sqref="Z87">
    <cfRule type="expression" dxfId="588" priority="10">
      <formula>AND(NOT($BK87),LEN($Z87)&gt;27)</formula>
    </cfRule>
  </conditionalFormatting>
  <conditionalFormatting sqref="Z14:Z45">
    <cfRule type="expression" dxfId="587" priority="7">
      <formula>$FN14</formula>
    </cfRule>
  </conditionalFormatting>
  <conditionalFormatting sqref="Z14:Z45">
    <cfRule type="expression" dxfId="586" priority="8">
      <formula>AND(NOT($BK14),LEN($Z14)&gt;27)</formula>
    </cfRule>
  </conditionalFormatting>
  <conditionalFormatting sqref="AP14:AQ45">
    <cfRule type="expression" dxfId="585" priority="6">
      <formula>$FP14</formula>
    </cfRule>
  </conditionalFormatting>
  <conditionalFormatting sqref="AR14:BE45">
    <cfRule type="expression" dxfId="584" priority="5">
      <formula>$FP14</formula>
    </cfRule>
  </conditionalFormatting>
  <conditionalFormatting sqref="CB14:CC45">
    <cfRule type="expression" dxfId="583" priority="13">
      <formula>AND(NOT($BK$1),$B14=0,OR($BJ$1="",$BJ$1="M"))</formula>
    </cfRule>
  </conditionalFormatting>
  <conditionalFormatting sqref="CJ14:CJ45">
    <cfRule type="expression" dxfId="582" priority="72">
      <formula>AND(NOT($BK14),OR($CC54="M",$CC54="C",$CC54="G"))</formula>
    </cfRule>
    <cfRule type="expression" dxfId="581" priority="73">
      <formula>AND(NOT($BK14),AND(OR($CC54="B",$CC54="G"),CJ14="",CK14=""))</formula>
    </cfRule>
    <cfRule type="expression" dxfId="580" priority="74">
      <formula>AND(NOT($BK14),EG54="ERR")</formula>
    </cfRule>
  </conditionalFormatting>
  <conditionalFormatting sqref="CK14:CK45">
    <cfRule type="expression" dxfId="579" priority="75">
      <formula>AND(NOT($BK14),OR($CC54="M",$CC54="C",$CC54="G"))</formula>
    </cfRule>
    <cfRule type="expression" dxfId="578" priority="76">
      <formula>AND(NOT($BK14),AND(OR($CC54="B",$CC54="G"),CJ14="",CK14=""))</formula>
    </cfRule>
    <cfRule type="expression" dxfId="577" priority="77">
      <formula>AND(NOT($BK14),EG54="ERR")</formula>
    </cfRule>
  </conditionalFormatting>
  <conditionalFormatting sqref="CH14:CH45">
    <cfRule type="expression" dxfId="576" priority="78">
      <formula>AND(NOT($BK14),OR($CC54="M",$CC54="C"))</formula>
    </cfRule>
    <cfRule type="expression" dxfId="575" priority="79">
      <formula>AND(NOT($BK14),AND(CH14="",CI14="",OR($CC54="B",$CC54="G")))</formula>
    </cfRule>
    <cfRule type="expression" dxfId="574" priority="80">
      <formula>AND(NOT($BK14),(CH14/2)/COS(RADIANS(CL14))+CD54-DC54&lt;$FB$4)</formula>
    </cfRule>
  </conditionalFormatting>
  <conditionalFormatting sqref="CI14:CI45">
    <cfRule type="expression" dxfId="573" priority="81">
      <formula>AND(NOT($BK14),OR($CC54="M",$CC54="C"))</formula>
    </cfRule>
    <cfRule type="expression" dxfId="572" priority="82">
      <formula>AND(NOT($BK14),AND(CH14="",CI14="",OR($CC54="B",$CC54="G")))</formula>
    </cfRule>
    <cfRule type="expression" dxfId="571" priority="83">
      <formula>AND(NOT($BK14),(CI14/2)/COS(RADIANS(CL14))+CD54-DC54&lt;$FB$4)</formula>
    </cfRule>
  </conditionalFormatting>
  <conditionalFormatting sqref="CT14:CT45">
    <cfRule type="expression" dxfId="570" priority="84">
      <formula>AND(NOT($BK14),OR($CL54="M",$CL54="C",$CL54="G"))</formula>
    </cfRule>
    <cfRule type="expression" dxfId="569" priority="85">
      <formula>AND(NOT($BK14),AND(OR($CL54="B",$CL54="G"),CT14="",CU14=""))</formula>
    </cfRule>
    <cfRule type="expression" dxfId="568" priority="86">
      <formula>AND(NOT($BK14),EJ54="ERR")</formula>
    </cfRule>
  </conditionalFormatting>
  <conditionalFormatting sqref="CU14:CU45">
    <cfRule type="expression" dxfId="567" priority="87">
      <formula>AND(NOT($BK14),OR($CL54="M",$CL54="C",$CL54="G"))</formula>
    </cfRule>
    <cfRule type="expression" dxfId="566" priority="88">
      <formula>AND(NOT($BK14),AND(OR($CL54="B",$CL54="G"),CT14="",CU14=""))</formula>
    </cfRule>
    <cfRule type="expression" dxfId="565" priority="89">
      <formula>AND(NOT($BK14),EJ54="ERR")</formula>
    </cfRule>
  </conditionalFormatting>
  <conditionalFormatting sqref="CR14:CR45">
    <cfRule type="expression" dxfId="564" priority="90">
      <formula>AND(NOT($BK14),OR($CL54="M",$CL54="C"))</formula>
    </cfRule>
    <cfRule type="expression" dxfId="563" priority="91">
      <formula>AND(NOT($BK14),AND(CR14="",CS14="",OR($CL54="B",$CL54="G")))</formula>
    </cfRule>
    <cfRule type="expression" dxfId="562" priority="92">
      <formula>AND(NOT($BK14),(CR14/2)/COS(RADIANS(CV14))+CM54-DI54&lt;$FB$4)</formula>
    </cfRule>
  </conditionalFormatting>
  <conditionalFormatting sqref="CS14:CS45">
    <cfRule type="expression" dxfId="561" priority="93">
      <formula>AND(NOT($BK14),OR($CL54="M",$CL54="C"))</formula>
    </cfRule>
    <cfRule type="expression" dxfId="560" priority="94">
      <formula>AND(NOT($BK14),AND(CR14="",CS14="",OR($CL54="B",$CL54="G")))</formula>
    </cfRule>
    <cfRule type="expression" dxfId="559" priority="95">
      <formula>AND(NOT($BK14),(CS14/2)/COS(RADIANS(CV14))+CM54-DI54&lt;$FB$4)</formula>
    </cfRule>
  </conditionalFormatting>
  <conditionalFormatting sqref="CW14:CW45 CM14:CM45">
    <cfRule type="expression" dxfId="558" priority="96">
      <formula>AND(NOT($BK14),AND(ISBLANK(CM14),AND(NOT(ISBLANK(CL14)),$DA14&lt;&gt;0)))</formula>
    </cfRule>
  </conditionalFormatting>
  <conditionalFormatting sqref="GA48:GB48">
    <cfRule type="expression" dxfId="557" priority="2" stopIfTrue="1">
      <formula>$GM50&gt;=0.125</formula>
    </cfRule>
  </conditionalFormatting>
  <conditionalFormatting sqref="CO14:CO45">
    <cfRule type="expression" dxfId="556" priority="97">
      <formula>ET14&lt;&gt;""</formula>
    </cfRule>
  </conditionalFormatting>
  <conditionalFormatting sqref="CY14:CY45">
    <cfRule type="expression" dxfId="555" priority="98">
      <formula>EU14&lt;&gt;""</formula>
    </cfRule>
  </conditionalFormatting>
  <conditionalFormatting sqref="CG14:CG45">
    <cfRule type="expression" dxfId="554" priority="99">
      <formula>AND(NOT($BK14),ISERROR(CC54))</formula>
    </cfRule>
    <cfRule type="expression" dxfId="553" priority="100">
      <formula>AND(NOT($BK14),OR(ISERROR(CC54),CC54="", ET14&lt;&gt;""))</formula>
    </cfRule>
  </conditionalFormatting>
  <conditionalFormatting sqref="CQ14:CQ45">
    <cfRule type="expression" dxfId="552" priority="101">
      <formula>AND(NOT($BK14),ISERROR(CL54))</formula>
    </cfRule>
    <cfRule type="expression" dxfId="551" priority="102">
      <formula>AND(NOT($BK14),OR(CL54="", EU14&lt;&gt;""))</formula>
    </cfRule>
  </conditionalFormatting>
  <conditionalFormatting sqref="DC14:DC45">
    <cfRule type="expression" dxfId="550" priority="103">
      <formula>OR(EN14&lt;&gt;"",EO14&lt;&gt;"",EP14&lt;&gt;"",EQ14&lt;&gt;"",ER14&lt;&gt;"",ES14&lt;&gt;"",ET14&lt;&gt;"",EU14&lt;&gt;"")</formula>
    </cfRule>
  </conditionalFormatting>
  <conditionalFormatting sqref="B87">
    <cfRule type="expression" dxfId="549" priority="1">
      <formula>$FN87</formula>
    </cfRule>
  </conditionalFormatting>
  <conditionalFormatting sqref="GA14:GB45">
    <cfRule type="expression" dxfId="548" priority="104" stopIfTrue="1">
      <formula xml:space="preserve"> $GM14 &gt;= 0.125</formula>
    </cfRule>
  </conditionalFormatting>
  <dataValidations count="21">
    <dataValidation type="decimal" allowBlank="1" showInputMessage="1" showErrorMessage="1" error="Load must be blank or a number." sqref="DO14:DO45" xr:uid="{F1372A68-B984-421E-86C8-B27871B8BA5E}">
      <formula1>0</formula1>
      <formula2>99</formula2>
    </dataValidation>
    <dataValidation type="whole" operator="greaterThan" allowBlank="1" showInputMessage="1" showErrorMessage="1" errorTitle="Quantity Error" error="Value must be an integer greater than -1000." sqref="B14:B45 CC14:CC45" xr:uid="{EBFF9982-31E7-4676-BA7D-07E66F917BF2}">
      <formula1>-1001</formula1>
    </dataValidation>
    <dataValidation type="whole" operator="notBetween" allowBlank="1" showInputMessage="1" showErrorMessage="1" sqref="B87" xr:uid="{A0AE7240-62E0-4885-8627-A6363F9B2643}">
      <formula1>-10001</formula1>
      <formula2>-10000</formula2>
    </dataValidation>
    <dataValidation type="decimal" operator="greaterThan" allowBlank="1" showInputMessage="1" showErrorMessage="1" errorTitle="Input Error" error="Positive Numeric Values Only!" sqref="CP14:CP45 CZ14:CZ45" xr:uid="{8C8838F4-0175-464A-B217-0E5B89221141}">
      <formula1>0</formula1>
    </dataValidation>
    <dataValidation type="decimal" allowBlank="1" showInputMessage="1" showErrorMessage="1" errorTitle="Input Error" error="Numbers from 0&quot; to 11 7/8&quot; only!" sqref="GB15" xr:uid="{E4846817-804C-4F5E-9EDA-D5300CB8359B}">
      <formula1>0</formula1>
      <formula2>11.875</formula2>
    </dataValidation>
    <dataValidation type="decimal" allowBlank="1" showInputMessage="1" showErrorMessage="1" errorTitle="Input Error" error="Positive numbers from 0&quot; to 11 7/8&quot; only!" sqref="GB14 GB16:GB45 GB48" xr:uid="{FD87B0B1-6C06-4105-A2CF-0F8F01E7D7D1}">
      <formula1>0</formula1>
      <formula2>11.875</formula2>
    </dataValidation>
    <dataValidation type="whole" operator="greaterThanOrEqual" allowBlank="1" showInputMessage="1" showErrorMessage="1" errorTitle="Input Error" error="Positive Integers Only!" sqref="GA14:GA45 GA48" xr:uid="{1DD137F5-3384-455F-9623-9AC3FF52131B}">
      <formula1>0</formula1>
    </dataValidation>
    <dataValidation type="decimal" allowBlank="1" showInputMessage="1" showErrorMessage="1" errorTitle="Input Error" error="Numeric Values Only!" sqref="GC14:GD45 GC48:GD48 CN14:CN45 CX14:CX45" xr:uid="{10C900F4-F7AA-436F-9110-CED8860B9119}">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E8C02C33-0D22-4B87-8EB0-70E0F804F349}">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E235274F-E44D-4C35-B498-4FEAAAD39525}">
      <formula1>9</formula1>
      <formula2>17</formula2>
    </dataValidation>
    <dataValidation type="decimal" operator="greaterThanOrEqual" allowBlank="1" showInputMessage="1" showErrorMessage="1" errorTitle="Input Error" error="Enter a numeric value greater than 1/2&quot;." sqref="AP14:AQ45" xr:uid="{80187CA1-8193-4D4D-A130-792C9DB52749}">
      <formula1>0.75</formula1>
    </dataValidation>
    <dataValidation type="decimal" operator="lessThanOrEqual" allowBlank="1" showInputMessage="1" showErrorMessage="1" errorTitle="BL Over-Ride Error!" error="Base Length can't be past Girder Overall Length!  See section for Maximum Over-Ride Dimension." sqref="CO14:CO45" xr:uid="{BC9878FC-A571-41CC-A15C-B61B800BFA17}">
      <formula1>$CD54</formula1>
    </dataValidation>
    <dataValidation type="decimal" operator="lessThanOrEqual" allowBlank="1" showInputMessage="1" showErrorMessage="1" errorTitle="BL Over-Ride Error!" error="Base Length can't be past Girder Overall Length!  See section for Maximum Over-Ride Dimension." sqref="CY14:CY45" xr:uid="{63426B5F-99B8-42CA-AE3D-F0EE0779CDEE}">
      <formula1>$CM54</formula1>
    </dataValidation>
    <dataValidation type="decimal" operator="greaterThan" allowBlank="1" showInputMessage="1" showErrorMessage="1" errorTitle="Dimensional Error" error="Only positive numeric values permitted here." sqref="M14:N45 M87:N87" xr:uid="{614BB571-E2EE-4E89-BD6A-5C4B441B7933}">
      <formula1>0</formula1>
    </dataValidation>
    <dataValidation type="decimal" operator="notEqual" allowBlank="1" showInputMessage="1" showErrorMessage="1" errorTitle="Input Error" error="Enter + or - Numbers Only._x000a_Do NOT use &quot;&lt;&quot; or &quot;&gt;&quot;." sqref="X14:Y45 X87:Y87" xr:uid="{6EEDFB8D-6FDB-48B0-A336-57399EEF6DA3}">
      <formula1>0</formula1>
    </dataValidation>
    <dataValidation type="decimal" operator="greaterThanOrEqual" allowBlank="1" showInputMessage="1" showErrorMessage="1" errorTitle="Dimensional Error" error="&quot;Inches&quot; must be a number." sqref="CH14:CK45 CR14:CU45" xr:uid="{A7D2CAC4-0F2B-48E4-BD48-D39306897221}">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C6F38AE9-6C69-4F23-9097-3C3D028B04FC}">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4F70399-C29B-4DA3-A99D-E48A56013E33}">
      <formula1>IF(ISERROR(INT(AR14)),AR14="P",INT(AR14)=AR14)</formula1>
    </dataValidation>
    <dataValidation type="whole" operator="greaterThanOrEqual" allowBlank="1" showErrorMessage="1" errorTitle="Error" error="&quot;Number of Panels&quot; can only be whole numbers." sqref="DL14:DL45 AF87 AF14:AF45" xr:uid="{E21AD283-A663-49DD-9E49-50913C9DD743}">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306EB73-0723-4B02-8C52-672CF4F76E2C}">
      <formula1>0</formula1>
    </dataValidation>
    <dataValidation type="list" allowBlank="1" showInputMessage="1" sqref="M7:S7 DA4:DB4" xr:uid="{56FA26B0-B516-4310-8D9D-E2896D3FE6C5}">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D6D9B-7890-4BED-A05F-1469CDD0819D}">
  <sheetPr codeName="Sheet35">
    <tabColor indexed="42"/>
  </sheetPr>
  <dimension ref="A1:AAD111"/>
  <sheetViews>
    <sheetView showGridLines="0" topLeftCell="CV1" zoomScale="112" zoomScaleNormal="112" zoomScaleSheetLayoutView="75" workbookViewId="0">
      <selection activeCell="GG35" sqref="GG3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1802" t="str">
        <f>Q1</f>
        <v>Master</v>
      </c>
      <c r="AV1" s="1802"/>
      <c r="AW1" s="1802"/>
      <c r="AX1" s="1802"/>
      <c r="AY1" s="382"/>
      <c r="AZ1" s="382"/>
      <c r="BA1" s="2117" t="s">
        <v>95</v>
      </c>
      <c r="BB1" s="2117"/>
      <c r="BC1" s="2117"/>
      <c r="BD1" s="1805" t="str">
        <f ca="1">'Job Info.'!D12</f>
        <v>775-428-0600</v>
      </c>
      <c r="BE1" s="1805"/>
      <c r="BF1" s="180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66" t="s">
        <v>1107</v>
      </c>
      <c r="FH3" s="2167"/>
      <c r="FI3" s="2168"/>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13" t="str">
        <f>Q4</f>
        <v/>
      </c>
      <c r="AV4" s="2261"/>
      <c r="AW4" s="2261"/>
      <c r="AX4" s="2262"/>
      <c r="AY4" s="382"/>
      <c r="AZ4" s="382"/>
      <c r="BA4" s="2117" t="s">
        <v>97</v>
      </c>
      <c r="BB4" s="2117"/>
      <c r="BC4" s="2117"/>
      <c r="BD4" s="1805" t="str">
        <f ca="1">'Job Info.'!D15</f>
        <v>775-867-2060</v>
      </c>
      <c r="BE4" s="1805"/>
      <c r="BF4" s="180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13" t="s">
        <v>1389</v>
      </c>
      <c r="DB4" s="221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260"/>
      <c r="AD5" s="2260"/>
      <c r="AE5" s="2260"/>
      <c r="AF5" s="2260"/>
      <c r="AG5" s="2260"/>
      <c r="AH5" s="2260"/>
      <c r="AI5" s="2260"/>
      <c r="AJ5" s="2260"/>
      <c r="AK5" s="2260"/>
      <c r="AL5" s="2260"/>
      <c r="AM5" s="2260"/>
      <c r="AN5" s="2260"/>
      <c r="AO5" s="2260"/>
      <c r="AP5" s="2260"/>
      <c r="AQ5" s="2260"/>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3" t="s">
        <v>639</v>
      </c>
      <c r="DI6" s="2157"/>
      <c r="DJ6" s="2157"/>
      <c r="DK6" s="2157"/>
      <c r="DL6" s="2157"/>
      <c r="DM6" s="2157"/>
      <c r="DN6" s="2157"/>
      <c r="DO6" s="2157"/>
      <c r="DP6" s="2157"/>
      <c r="DQ6" s="2157"/>
      <c r="DR6" s="2157"/>
      <c r="DS6" s="2157"/>
      <c r="DT6" s="2157"/>
      <c r="DU6" s="2157"/>
      <c r="DV6" s="2157"/>
      <c r="DW6" s="2157"/>
      <c r="DX6" s="2157"/>
      <c r="DY6" s="2157"/>
      <c r="DZ6" s="2157"/>
      <c r="EA6" s="2157"/>
      <c r="EB6" s="2157"/>
      <c r="EC6" s="2157"/>
      <c r="ED6" s="2157"/>
      <c r="EE6" s="2157"/>
      <c r="EF6" s="2157"/>
      <c r="EG6" s="2157"/>
      <c r="EH6" s="2157"/>
      <c r="EI6" s="2157"/>
      <c r="EJ6" s="2157"/>
      <c r="EK6" s="2158"/>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125" t="s">
        <v>26</v>
      </c>
      <c r="L7" s="2134"/>
      <c r="M7" s="2746" t="str">
        <f>IF(ISBLANK(DA4),"",DA4)</f>
        <v>Gray Primer</v>
      </c>
      <c r="N7" s="2747"/>
      <c r="O7" s="2747"/>
      <c r="P7" s="2747"/>
      <c r="Q7" s="2747"/>
      <c r="R7" s="2747"/>
      <c r="S7" s="2747"/>
      <c r="T7"/>
      <c r="U7" s="1092"/>
      <c r="V7" s="2125" t="s">
        <v>21</v>
      </c>
      <c r="W7" s="2125"/>
      <c r="X7" s="1176" t="str">
        <f>CONCATENATE(BI7, " of ",IF(ISBLANK('Job Info.'!D9),"",'Job Info.'!D9))</f>
        <v>19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20 of 28</v>
      </c>
      <c r="BC7" s="658"/>
      <c r="BD7" s="658"/>
      <c r="BE7" s="374"/>
      <c r="BF7" s="374"/>
      <c r="BG7" s="374"/>
      <c r="BH7" s="261"/>
      <c r="BI7" s="1083">
        <v>19</v>
      </c>
      <c r="CA7" s="246"/>
      <c r="CB7" s="2155" t="s">
        <v>638</v>
      </c>
      <c r="CC7" s="2191"/>
      <c r="CD7" s="2191"/>
      <c r="CE7" s="2191"/>
      <c r="CF7" s="2191"/>
      <c r="CG7" s="2191"/>
      <c r="CH7" s="2191"/>
      <c r="CI7" s="2191"/>
      <c r="CJ7" s="2191"/>
      <c r="CK7" s="2191"/>
      <c r="CL7" s="2191"/>
      <c r="CM7" s="2191"/>
      <c r="CN7" s="2191"/>
      <c r="CO7" s="2191"/>
      <c r="CP7" s="2191"/>
      <c r="CQ7" s="2191"/>
      <c r="CR7" s="2191"/>
      <c r="CS7" s="2191"/>
      <c r="CT7" s="2191"/>
      <c r="CU7" s="2191"/>
      <c r="CV7" s="2191"/>
      <c r="CW7" s="2191"/>
      <c r="CX7" s="2191"/>
      <c r="CY7" s="2191"/>
      <c r="CZ7" s="2157"/>
      <c r="DA7" s="2157"/>
      <c r="DB7" s="2157"/>
      <c r="DC7" s="2157"/>
      <c r="DD7" s="2157"/>
      <c r="DE7" s="2158"/>
      <c r="DF7" s="244"/>
      <c r="DG7" s="244"/>
      <c r="DH7" s="2234"/>
      <c r="DI7" s="1971"/>
      <c r="DJ7" s="1971"/>
      <c r="DK7" s="1971"/>
      <c r="DL7" s="1971"/>
      <c r="DM7" s="1971"/>
      <c r="DN7" s="1971"/>
      <c r="DO7" s="1971"/>
      <c r="DP7" s="1971"/>
      <c r="DQ7" s="1971"/>
      <c r="DR7" s="1971"/>
      <c r="DS7" s="1971"/>
      <c r="DT7" s="1971"/>
      <c r="DU7" s="1971"/>
      <c r="DV7" s="1971"/>
      <c r="DW7" s="1971"/>
      <c r="DX7" s="1971"/>
      <c r="DY7" s="1971"/>
      <c r="DZ7" s="1971"/>
      <c r="EA7" s="1971"/>
      <c r="EB7" s="1971"/>
      <c r="EC7" s="1971"/>
      <c r="ED7" s="1971"/>
      <c r="EE7" s="1971"/>
      <c r="EF7" s="1971"/>
      <c r="EG7" s="1971"/>
      <c r="EH7" s="1971"/>
      <c r="EI7" s="1971"/>
      <c r="EJ7" s="1971"/>
      <c r="EK7" s="2161"/>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57"/>
      <c r="B8" s="2257"/>
      <c r="C8" s="2257"/>
      <c r="D8" s="2257"/>
      <c r="E8" s="2257"/>
      <c r="F8" s="2257"/>
      <c r="G8" s="2257"/>
      <c r="H8" s="2257"/>
      <c r="I8" s="2257"/>
      <c r="J8" s="2257"/>
      <c r="K8" s="2257"/>
      <c r="L8" s="2257"/>
      <c r="M8" s="2257"/>
      <c r="N8" s="2257"/>
      <c r="O8" s="2257"/>
      <c r="P8" s="2257"/>
      <c r="Q8" s="2257"/>
      <c r="R8" s="2257"/>
      <c r="S8" s="2257"/>
      <c r="T8" s="2257"/>
      <c r="U8" s="2257"/>
      <c r="V8" s="2257"/>
      <c r="W8" s="2257"/>
      <c r="X8" s="2257"/>
      <c r="Y8" s="2257"/>
      <c r="Z8" s="2257"/>
      <c r="AA8" s="2257"/>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BI8" s="245"/>
      <c r="CA8" s="246"/>
      <c r="CB8" s="2193"/>
      <c r="CC8" s="2194"/>
      <c r="CD8" s="2194"/>
      <c r="CE8" s="2194"/>
      <c r="CF8" s="2194"/>
      <c r="CG8" s="2194"/>
      <c r="CH8" s="2194"/>
      <c r="CI8" s="2194"/>
      <c r="CJ8" s="2194"/>
      <c r="CK8" s="2194"/>
      <c r="CL8" s="2194"/>
      <c r="CM8" s="2194"/>
      <c r="CN8" s="2194"/>
      <c r="CO8" s="2194"/>
      <c r="CP8" s="2194"/>
      <c r="CQ8" s="2194"/>
      <c r="CR8" s="2194"/>
      <c r="CS8" s="2194"/>
      <c r="CT8" s="2194"/>
      <c r="CU8" s="2194"/>
      <c r="CV8" s="2194"/>
      <c r="CW8" s="2194"/>
      <c r="CX8" s="2194"/>
      <c r="CY8" s="2194"/>
      <c r="CZ8" s="1971"/>
      <c r="DA8" s="1971"/>
      <c r="DB8" s="1971"/>
      <c r="DC8" s="1971"/>
      <c r="DD8" s="1971"/>
      <c r="DE8" s="2161"/>
      <c r="DF8" s="141"/>
      <c r="DG8" s="141"/>
      <c r="DH8" s="2264"/>
      <c r="DI8" s="2231"/>
      <c r="DJ8" s="2231"/>
      <c r="DK8" s="2231"/>
      <c r="DL8" s="2231"/>
      <c r="DM8" s="2231"/>
      <c r="DN8" s="2231"/>
      <c r="DO8" s="2231"/>
      <c r="DP8" s="2231"/>
      <c r="DQ8" s="2231"/>
      <c r="DR8" s="2231"/>
      <c r="DS8" s="2231"/>
      <c r="DT8" s="2231"/>
      <c r="DU8" s="2231"/>
      <c r="DV8" s="2231"/>
      <c r="DW8" s="2231"/>
      <c r="DX8" s="2231"/>
      <c r="DY8" s="2231"/>
      <c r="DZ8" s="2231"/>
      <c r="EA8" s="2231"/>
      <c r="EB8" s="2231"/>
      <c r="EC8" s="2231"/>
      <c r="ED8" s="2231"/>
      <c r="EE8" s="2231"/>
      <c r="EF8" s="2231"/>
      <c r="EG8" s="2231"/>
      <c r="EH8" s="2231"/>
      <c r="EI8" s="2231"/>
      <c r="EJ8" s="2231"/>
      <c r="EK8" s="2232"/>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258"/>
      <c r="AD9" s="2259"/>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7" t="str">
        <f>T9</f>
        <v>9122-0050</v>
      </c>
      <c r="AY9" s="2119"/>
      <c r="AZ9" s="2119"/>
      <c r="BA9" s="2119"/>
      <c r="BB9" s="2119"/>
      <c r="BC9" s="2119"/>
      <c r="BD9" s="2119"/>
      <c r="BE9" s="2119"/>
      <c r="BF9" s="2119"/>
      <c r="BG9" s="2119"/>
      <c r="BH9" s="1417"/>
      <c r="BI9" s="245"/>
      <c r="CA9" s="246"/>
      <c r="CB9" s="2193"/>
      <c r="CC9" s="2194"/>
      <c r="CD9" s="2194"/>
      <c r="CE9" s="2194"/>
      <c r="CF9" s="2194"/>
      <c r="CG9" s="2194"/>
      <c r="CH9" s="2194"/>
      <c r="CI9" s="2194"/>
      <c r="CJ9" s="2194"/>
      <c r="CK9" s="2194"/>
      <c r="CL9" s="2194"/>
      <c r="CM9" s="2194"/>
      <c r="CN9" s="2194"/>
      <c r="CO9" s="2194"/>
      <c r="CP9" s="2194"/>
      <c r="CQ9" s="2194"/>
      <c r="CR9" s="2194"/>
      <c r="CS9" s="2194"/>
      <c r="CT9" s="2194"/>
      <c r="CU9" s="2194"/>
      <c r="CV9" s="2194"/>
      <c r="CW9" s="2194"/>
      <c r="CX9" s="2194"/>
      <c r="CY9" s="2194"/>
      <c r="CZ9" s="1971"/>
      <c r="DA9" s="1971"/>
      <c r="DB9" s="1971"/>
      <c r="DC9" s="1971"/>
      <c r="DD9" s="1971"/>
      <c r="DE9" s="2161"/>
      <c r="DF9" s="141"/>
      <c r="DG9" s="141"/>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924"/>
      <c r="EP9" s="927"/>
      <c r="EQ9" s="241"/>
      <c r="ER9" s="241"/>
      <c r="ES9" s="241"/>
      <c r="ET9" s="2098" t="s">
        <v>615</v>
      </c>
      <c r="EU9" s="2243"/>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258"/>
      <c r="AD10" s="2259"/>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7" t="str">
        <f>Z10</f>
        <v>NR</v>
      </c>
      <c r="BF10" s="2119"/>
      <c r="BG10" s="2119"/>
      <c r="BH10" s="1417"/>
      <c r="BI10" s="245"/>
      <c r="CA10" s="246"/>
      <c r="CB10" s="2219"/>
      <c r="CC10" s="1971"/>
      <c r="CD10" s="1971"/>
      <c r="CE10" s="1971"/>
      <c r="CF10" s="2161"/>
      <c r="CG10" s="2215" t="s">
        <v>469</v>
      </c>
      <c r="CH10" s="2216"/>
      <c r="CI10" s="2216"/>
      <c r="CJ10" s="2216"/>
      <c r="CK10" s="2216"/>
      <c r="CL10" s="2216"/>
      <c r="CM10" s="2216"/>
      <c r="CN10" s="2157"/>
      <c r="CO10" s="2157"/>
      <c r="CP10" s="2158"/>
      <c r="CQ10" s="2215" t="s">
        <v>470</v>
      </c>
      <c r="CR10" s="2216"/>
      <c r="CS10" s="2216"/>
      <c r="CT10" s="2216"/>
      <c r="CU10" s="2216"/>
      <c r="CV10" s="2216"/>
      <c r="CW10" s="2216"/>
      <c r="CX10" s="2157"/>
      <c r="CY10" s="2157"/>
      <c r="CZ10" s="2158"/>
      <c r="DA10" s="2283"/>
      <c r="DB10" s="2238"/>
      <c r="DC10" s="2238"/>
      <c r="DD10" s="2238"/>
      <c r="DE10" s="2239"/>
      <c r="DF10" s="141"/>
      <c r="DG10" s="1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241"/>
      <c r="EO10" s="241"/>
      <c r="EP10" s="241"/>
      <c r="EQ10" s="241"/>
      <c r="ER10" s="241"/>
      <c r="ES10" s="241"/>
      <c r="ET10" s="2244"/>
      <c r="EU10" s="2245"/>
      <c r="FW10" s="245"/>
      <c r="FX10" s="245"/>
      <c r="FY10" s="245"/>
      <c r="FZ10" s="245"/>
      <c r="GA10" s="1970" t="s">
        <v>1140</v>
      </c>
      <c r="GB10" s="2280"/>
      <c r="GC10" s="2280"/>
      <c r="GD10" s="2280"/>
      <c r="GE10" s="2280"/>
      <c r="GF10" s="2280"/>
      <c r="GG10" s="1971"/>
      <c r="GH10" s="1971"/>
      <c r="GI10" s="1971"/>
      <c r="GJ10" s="1971"/>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0"/>
      <c r="CC11" s="2221"/>
      <c r="CD11" s="2221"/>
      <c r="CE11" s="2221"/>
      <c r="CF11" s="2222"/>
      <c r="CG11" s="2217"/>
      <c r="CH11" s="2218"/>
      <c r="CI11" s="2218"/>
      <c r="CJ11" s="2218"/>
      <c r="CK11" s="2218"/>
      <c r="CL11" s="2218"/>
      <c r="CM11" s="2218"/>
      <c r="CN11" s="1971"/>
      <c r="CO11" s="1971"/>
      <c r="CP11" s="2161"/>
      <c r="CQ11" s="2229"/>
      <c r="CR11" s="2230"/>
      <c r="CS11" s="2230"/>
      <c r="CT11" s="2230"/>
      <c r="CU11" s="2230"/>
      <c r="CV11" s="2230"/>
      <c r="CW11" s="2230"/>
      <c r="CX11" s="2231"/>
      <c r="CY11" s="2231"/>
      <c r="CZ11" s="2232"/>
      <c r="DA11" s="1577"/>
      <c r="DB11" s="2233"/>
      <c r="DC11" s="2158"/>
      <c r="DD11" s="2235"/>
      <c r="DE11" s="2236"/>
      <c r="DF11" s="141"/>
      <c r="DG11" s="141"/>
      <c r="DH11" s="2173"/>
      <c r="DI11" s="2241"/>
      <c r="DJ11" s="1971"/>
      <c r="DK11" s="1971"/>
      <c r="DL11" s="1971"/>
      <c r="DM11" s="1971"/>
      <c r="DN11" s="2242"/>
      <c r="DO11" s="2170"/>
      <c r="DP11" s="2284"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241"/>
      <c r="ES11" s="241"/>
      <c r="ET11" s="2244"/>
      <c r="EU11" s="2245"/>
      <c r="FW11" s="2"/>
      <c r="FX11" s="2"/>
      <c r="FY11" s="2"/>
      <c r="FZ11" s="2"/>
      <c r="GA11" s="2281"/>
      <c r="GB11" s="2281"/>
      <c r="GC11" s="2281"/>
      <c r="GD11" s="2281"/>
      <c r="GE11" s="2281"/>
      <c r="GF11" s="2281"/>
      <c r="GG11" s="2221"/>
      <c r="GH11" s="2221"/>
      <c r="GI11" s="2221"/>
      <c r="GJ11" s="2221"/>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1934" t="s">
        <v>40</v>
      </c>
      <c r="B12" s="1935" t="s">
        <v>130</v>
      </c>
      <c r="C12" s="1935" t="s">
        <v>31</v>
      </c>
      <c r="D12" s="1935" t="s">
        <v>25</v>
      </c>
      <c r="E12" s="1936"/>
      <c r="F12" s="1937" t="s">
        <v>88</v>
      </c>
      <c r="G12" s="1910" t="s">
        <v>9</v>
      </c>
      <c r="H12" s="1908"/>
      <c r="I12" s="1908"/>
      <c r="J12" s="1908" t="s">
        <v>10</v>
      </c>
      <c r="K12" s="1908"/>
      <c r="L12" s="1911"/>
      <c r="M12" s="1938" t="s">
        <v>11</v>
      </c>
      <c r="N12" s="1939"/>
      <c r="O12" s="1940" t="s">
        <v>12</v>
      </c>
      <c r="P12" s="1905"/>
      <c r="Q12" s="1905" t="s">
        <v>13</v>
      </c>
      <c r="R12" s="1906"/>
      <c r="S12" s="1907" t="s">
        <v>14</v>
      </c>
      <c r="T12" s="1908"/>
      <c r="U12" s="1908"/>
      <c r="V12" s="1908"/>
      <c r="W12" s="1909"/>
      <c r="X12" s="1910" t="s">
        <v>111</v>
      </c>
      <c r="Y12" s="1911"/>
      <c r="Z12" s="1117" t="s">
        <v>15</v>
      </c>
      <c r="AA12" s="2255" t="s">
        <v>939</v>
      </c>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267" t="s">
        <v>82</v>
      </c>
      <c r="AS12" s="2268"/>
      <c r="AT12" s="2268"/>
      <c r="AU12" s="2268"/>
      <c r="AV12" s="2268"/>
      <c r="AW12" s="2268"/>
      <c r="AX12" s="2268"/>
      <c r="AY12" s="2268"/>
      <c r="AZ12" s="2268"/>
      <c r="BA12" s="2268"/>
      <c r="BB12" s="2268"/>
      <c r="BC12" s="2268"/>
      <c r="BD12" s="2268"/>
      <c r="BE12" s="2268"/>
      <c r="BF12" s="2268"/>
      <c r="BG12" s="2268"/>
      <c r="BH12" s="1417"/>
      <c r="BJ12" s="117"/>
      <c r="BK12" s="117"/>
      <c r="BL12" s="117"/>
      <c r="BM12" s="117"/>
      <c r="BN12" s="117"/>
      <c r="BO12" s="117"/>
      <c r="BW12" s="2252" t="s">
        <v>630</v>
      </c>
      <c r="BX12" s="2253"/>
      <c r="BY12" s="2253"/>
      <c r="BZ12" s="2254"/>
      <c r="CA12" s="105"/>
      <c r="CB12" s="2079" t="s">
        <v>613</v>
      </c>
      <c r="CC12" s="2153" t="s">
        <v>130</v>
      </c>
      <c r="CD12" s="2081" t="s">
        <v>478</v>
      </c>
      <c r="CE12" s="2147" t="s">
        <v>1291</v>
      </c>
      <c r="CF12" s="2148"/>
      <c r="CG12" s="1943" t="s">
        <v>1292</v>
      </c>
      <c r="CH12" s="1945" t="s">
        <v>595</v>
      </c>
      <c r="CI12" s="1946"/>
      <c r="CJ12" s="1945" t="s">
        <v>596</v>
      </c>
      <c r="CK12" s="1946"/>
      <c r="CL12" s="1962" t="s">
        <v>488</v>
      </c>
      <c r="CM12" s="1964" t="s">
        <v>790</v>
      </c>
      <c r="CN12" s="2223" t="s">
        <v>1276</v>
      </c>
      <c r="CO12" s="2224"/>
      <c r="CP12" s="2225"/>
      <c r="CQ12" s="1949" t="s">
        <v>1292</v>
      </c>
      <c r="CR12" s="1951" t="s">
        <v>595</v>
      </c>
      <c r="CS12" s="1952"/>
      <c r="CT12" s="1951" t="s">
        <v>596</v>
      </c>
      <c r="CU12" s="1952"/>
      <c r="CV12" s="2151" t="s">
        <v>488</v>
      </c>
      <c r="CW12" s="1960" t="s">
        <v>790</v>
      </c>
      <c r="CX12" s="2226" t="s">
        <v>1276</v>
      </c>
      <c r="CY12" s="2227"/>
      <c r="CZ12" s="2228"/>
      <c r="DA12" s="1941" t="s">
        <v>806</v>
      </c>
      <c r="DB12" s="2234"/>
      <c r="DC12" s="2161"/>
      <c r="DD12" s="1957" t="s">
        <v>1284</v>
      </c>
      <c r="DE12" s="1959" t="s">
        <v>1285</v>
      </c>
      <c r="DF12" s="141"/>
      <c r="DG12" s="141"/>
      <c r="DH12" s="2173"/>
      <c r="DI12" s="2180" t="s">
        <v>1289</v>
      </c>
      <c r="DJ12" s="2182" t="s">
        <v>32</v>
      </c>
      <c r="DK12" s="2183"/>
      <c r="DL12" s="2164" t="s">
        <v>34</v>
      </c>
      <c r="DM12" s="2163" t="s">
        <v>489</v>
      </c>
      <c r="DN12" s="2175"/>
      <c r="DO12" s="2170"/>
      <c r="DP12" s="2284"/>
      <c r="DQ12" s="2186" t="s">
        <v>602</v>
      </c>
      <c r="DR12" s="2211"/>
      <c r="DS12" s="2186" t="s">
        <v>604</v>
      </c>
      <c r="DT12" s="2188" t="s">
        <v>605</v>
      </c>
      <c r="DU12" s="2189"/>
      <c r="DV12" s="2265" t="s">
        <v>598</v>
      </c>
      <c r="DW12" s="2266"/>
      <c r="DX12" s="2021" t="s">
        <v>1287</v>
      </c>
      <c r="DY12" s="2178" t="s">
        <v>1288</v>
      </c>
      <c r="DZ12" s="2265" t="s">
        <v>598</v>
      </c>
      <c r="EA12" s="2266"/>
      <c r="EB12" s="2021" t="s">
        <v>1287</v>
      </c>
      <c r="EC12" s="2178" t="s">
        <v>1288</v>
      </c>
      <c r="ED12" s="2265" t="s">
        <v>598</v>
      </c>
      <c r="EE12" s="2266"/>
      <c r="EF12" s="2021" t="s">
        <v>1287</v>
      </c>
      <c r="EG12" s="2178" t="s">
        <v>1288</v>
      </c>
      <c r="EH12" s="2265" t="s">
        <v>598</v>
      </c>
      <c r="EI12" s="2266"/>
      <c r="EJ12" s="2021" t="s">
        <v>1287</v>
      </c>
      <c r="EK12" s="2023" t="s">
        <v>1288</v>
      </c>
      <c r="EL12" s="241"/>
      <c r="EM12" s="1966" t="s">
        <v>789</v>
      </c>
      <c r="EN12" s="1968" t="s">
        <v>588</v>
      </c>
      <c r="EO12" s="1969"/>
      <c r="EP12" s="1969"/>
      <c r="EQ12" s="1966" t="s">
        <v>589</v>
      </c>
      <c r="ER12" s="1955" t="s">
        <v>786</v>
      </c>
      <c r="ES12" s="1956"/>
      <c r="ET12" s="2246"/>
      <c r="EU12" s="2247"/>
      <c r="FW12" s="2"/>
      <c r="FX12" s="2"/>
      <c r="FY12" s="2"/>
      <c r="FZ12" s="2"/>
      <c r="GA12" s="2028" t="s">
        <v>708</v>
      </c>
      <c r="GB12" s="2029"/>
      <c r="GC12" s="2028" t="s">
        <v>558</v>
      </c>
      <c r="GD12" s="2029"/>
      <c r="GE12" s="2072" t="s">
        <v>711</v>
      </c>
      <c r="GF12" s="2074" t="s">
        <v>632</v>
      </c>
      <c r="GG12" s="2028" t="s">
        <v>1142</v>
      </c>
      <c r="GH12" s="2029"/>
      <c r="GI12" s="2028" t="s">
        <v>1141</v>
      </c>
      <c r="GJ12" s="2029"/>
      <c r="GK12" s="2032" t="s">
        <v>712</v>
      </c>
      <c r="GL12" s="2032" t="s">
        <v>713</v>
      </c>
      <c r="GM12" s="2032" t="s">
        <v>714</v>
      </c>
      <c r="HA12" s="2038" t="s">
        <v>632</v>
      </c>
      <c r="HB12" s="2014" t="s">
        <v>1134</v>
      </c>
      <c r="HC12" s="2014" t="s">
        <v>1159</v>
      </c>
      <c r="HD12" s="2014" t="str">
        <f>IF($HA$1,"Bay Length","Overall Length")</f>
        <v>Bay Length</v>
      </c>
      <c r="HE12" s="2015"/>
      <c r="HF12" s="2014" t="str">
        <f>IF($HA$1,"L Sect #","TC Width")</f>
        <v>L Sect #</v>
      </c>
      <c r="HG12" s="1972" t="str">
        <f>IF($HA$1,"L Min Sup Wid","TCXL Feet")</f>
        <v>L Min Sup Wid</v>
      </c>
      <c r="HH12" s="1972" t="str">
        <f>IF($HA$1,"L Max Sup Wid","TCXL Inch")</f>
        <v>L Max Sup Wid</v>
      </c>
      <c r="HI12" s="1972" t="str">
        <f>IF($HA$1,"L Min Flg Ga","TCXL Type")</f>
        <v>L Min Flg Ga</v>
      </c>
      <c r="HJ12" s="1972" t="str">
        <f>IF($HA$1,"L Max Flg Ga","TCXR Feet")</f>
        <v>L Max Flg Ga</v>
      </c>
      <c r="HK12" s="1972" t="str">
        <f>IF($HA$1,"L Skew","TCXR Inch")</f>
        <v>L Skew</v>
      </c>
      <c r="HL12" s="1972" t="str">
        <f>IF($HA$1,"L Brg Slp","TCXR Type")</f>
        <v>L Brg Slp</v>
      </c>
      <c r="HM12" s="2014" t="str">
        <f>IF($HA$1,"R Sect #","BDL")</f>
        <v>R Sect #</v>
      </c>
      <c r="HN12" s="1972" t="str">
        <f>IF($HA$1,"R Min Sup Wid","BDR")</f>
        <v>R Min Sup Wid</v>
      </c>
      <c r="HO12" s="1972" t="str">
        <f>IF($HA$1,"R Max Sup Wid","BCXL Feet")</f>
        <v>R Max Sup Wid</v>
      </c>
      <c r="HP12" s="1972" t="str">
        <f>IF($HA$1,"R Min Flg Ga","BCXL Inch")</f>
        <v>R Min Flg Ga</v>
      </c>
      <c r="HQ12" s="1972" t="str">
        <f>IF($HA$1,"R Max Flg Ga","BCXR Feet")</f>
        <v>R Max Flg Ga</v>
      </c>
      <c r="HR12" s="1972" t="str">
        <f>IF($HA$1,"R Skew","BCXR Inch")</f>
        <v>R Skew</v>
      </c>
      <c r="HS12" s="1972" t="str">
        <f>IF($HA$1,"R Brg Slp","HL Feet")</f>
        <v>R Brg Slp</v>
      </c>
      <c r="HT12" s="1972" t="str">
        <f>IF($HA$1,"TC Slope","HL Inch")</f>
        <v>TC Slope</v>
      </c>
      <c r="HU12" s="1972" t="str">
        <f>IF($HA$1,"Load Notes","HR Feet")</f>
        <v>Load Notes</v>
      </c>
      <c r="HV12" s="1972" t="str">
        <f>IF($HA$1,"Spcl Notes","HR Inch")</f>
        <v>Spcl Notes</v>
      </c>
      <c r="HW12" s="1972" t="str">
        <f>IF($HA$1,"# KB","Slot Ga")</f>
        <v># KB</v>
      </c>
      <c r="HX12" s="1972" t="str">
        <f>IF($HA$1,"TC Width","L Seat Slp")</f>
        <v>TC Width</v>
      </c>
      <c r="HY12" s="1972" t="str">
        <f>IF($HA$1,"TCL Override","R Seat Slp")</f>
        <v>TCL Override</v>
      </c>
      <c r="HZ12" s="1972" t="str">
        <f>IF($HA$1,"TCR Override","Load Notes")</f>
        <v>TCR Override</v>
      </c>
      <c r="IA12" s="1972" t="str">
        <f>IF($HA$1,"L-BL Override","Spcl Notes")</f>
        <v>L-BL Override</v>
      </c>
      <c r="IB12" s="1974" t="str">
        <f>IF($HA$1,"R-BL Override","# KB")</f>
        <v>R-BL Override</v>
      </c>
      <c r="IC12" s="1972" t="str">
        <f>IF($HA$1,"BDL Override","-")</f>
        <v>BDL Override</v>
      </c>
      <c r="ID12" s="2250" t="str">
        <f>IF($HA$1,"BDR Override","-")</f>
        <v>BDR Override</v>
      </c>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94"/>
      <c r="JN12" s="1194"/>
      <c r="JO12" s="1194"/>
    </row>
    <row r="13" spans="1:276" ht="21" customHeight="1" thickTop="1" thickBot="1" x14ac:dyDescent="0.3">
      <c r="A13" s="1934"/>
      <c r="B13" s="1935"/>
      <c r="C13" s="1935"/>
      <c r="D13" s="1935"/>
      <c r="E13" s="1936"/>
      <c r="F13" s="1937"/>
      <c r="G13" s="1914" t="s">
        <v>16</v>
      </c>
      <c r="H13" s="1915"/>
      <c r="I13" s="1103" t="s">
        <v>732</v>
      </c>
      <c r="J13" s="1915" t="s">
        <v>16</v>
      </c>
      <c r="K13" s="1915"/>
      <c r="L13" s="1065" t="s">
        <v>732</v>
      </c>
      <c r="M13" s="1107" t="s">
        <v>18</v>
      </c>
      <c r="N13" s="461" t="s">
        <v>19</v>
      </c>
      <c r="O13" s="1940"/>
      <c r="P13" s="1905"/>
      <c r="Q13" s="1905"/>
      <c r="R13" s="1906"/>
      <c r="S13" s="1916" t="s">
        <v>80</v>
      </c>
      <c r="T13" s="1915"/>
      <c r="U13" s="1915" t="s">
        <v>81</v>
      </c>
      <c r="V13" s="1915"/>
      <c r="W13" s="461" t="s">
        <v>27</v>
      </c>
      <c r="X13" s="1102" t="s">
        <v>112</v>
      </c>
      <c r="Y13" s="1065" t="s">
        <v>113</v>
      </c>
      <c r="Z13" s="1118" t="s">
        <v>57</v>
      </c>
      <c r="AA13" s="2256"/>
      <c r="AB13" s="1934"/>
      <c r="AC13" s="2091"/>
      <c r="AD13" s="2122"/>
      <c r="AE13" s="2123"/>
      <c r="AF13" s="1103" t="s">
        <v>33</v>
      </c>
      <c r="AG13" s="1915" t="s">
        <v>16</v>
      </c>
      <c r="AH13" s="1915"/>
      <c r="AI13" s="2122"/>
      <c r="AJ13" s="2123"/>
      <c r="AK13" s="2136"/>
      <c r="AL13" s="1119" t="s">
        <v>738</v>
      </c>
      <c r="AM13" s="1104" t="s">
        <v>735</v>
      </c>
      <c r="AN13" s="1104" t="s">
        <v>736</v>
      </c>
      <c r="AO13" s="1105"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80"/>
      <c r="CC13" s="2152"/>
      <c r="CD13" s="1953"/>
      <c r="CE13" s="2149"/>
      <c r="CF13" s="2150"/>
      <c r="CG13" s="1944"/>
      <c r="CH13" s="1947"/>
      <c r="CI13" s="1948"/>
      <c r="CJ13" s="1947"/>
      <c r="CK13" s="1948"/>
      <c r="CL13" s="1963"/>
      <c r="CM13" s="1965"/>
      <c r="CN13" s="1547" t="s">
        <v>1283</v>
      </c>
      <c r="CO13" s="1548" t="s">
        <v>1278</v>
      </c>
      <c r="CP13" s="1549" t="s">
        <v>501</v>
      </c>
      <c r="CQ13" s="1950"/>
      <c r="CR13" s="1953"/>
      <c r="CS13" s="1954"/>
      <c r="CT13" s="1953"/>
      <c r="CU13" s="1954"/>
      <c r="CV13" s="2152"/>
      <c r="CW13" s="1961"/>
      <c r="CX13" s="1547" t="s">
        <v>1283</v>
      </c>
      <c r="CY13" s="1548" t="s">
        <v>1278</v>
      </c>
      <c r="CZ13" s="1549" t="s">
        <v>501</v>
      </c>
      <c r="DA13" s="1942"/>
      <c r="DB13" s="431" t="s">
        <v>418</v>
      </c>
      <c r="DC13" s="432" t="s">
        <v>553</v>
      </c>
      <c r="DD13" s="1958"/>
      <c r="DE13" s="1958"/>
      <c r="DF13" s="141"/>
      <c r="DG13" s="141"/>
      <c r="DH13" s="2174"/>
      <c r="DI13" s="2181"/>
      <c r="DJ13" s="2184"/>
      <c r="DK13" s="2185"/>
      <c r="DL13" s="2165"/>
      <c r="DM13" s="2176"/>
      <c r="DN13" s="2177"/>
      <c r="DO13" s="2171"/>
      <c r="DP13" s="2285"/>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241"/>
      <c r="EM13" s="1967"/>
      <c r="EN13" s="522" t="s">
        <v>585</v>
      </c>
      <c r="EO13" s="433" t="s">
        <v>586</v>
      </c>
      <c r="EP13" s="434" t="s">
        <v>587</v>
      </c>
      <c r="EQ13" s="196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073"/>
      <c r="GF13" s="2073"/>
      <c r="GG13" s="542" t="s">
        <v>709</v>
      </c>
      <c r="GH13" s="543" t="s">
        <v>710</v>
      </c>
      <c r="GI13" s="542" t="s">
        <v>709</v>
      </c>
      <c r="GJ13" s="543" t="s">
        <v>710</v>
      </c>
      <c r="GK13" s="2033"/>
      <c r="GL13" s="2033"/>
      <c r="GM13" s="2033"/>
      <c r="HA13" s="2274"/>
      <c r="HB13" s="2248"/>
      <c r="HC13" s="2248"/>
      <c r="HD13" s="2248"/>
      <c r="HE13" s="2248"/>
      <c r="HF13" s="2248"/>
      <c r="HG13" s="2248"/>
      <c r="HH13" s="2248"/>
      <c r="HI13" s="2248"/>
      <c r="HJ13" s="2248"/>
      <c r="HK13" s="2248"/>
      <c r="HL13" s="2248"/>
      <c r="HM13" s="2248"/>
      <c r="HN13" s="2248"/>
      <c r="HO13" s="2248"/>
      <c r="HP13" s="2248"/>
      <c r="HQ13" s="2248"/>
      <c r="HR13" s="2248"/>
      <c r="HS13" s="2248"/>
      <c r="HT13" s="2248"/>
      <c r="HU13" s="2248"/>
      <c r="HV13" s="2248"/>
      <c r="HW13" s="2248"/>
      <c r="HX13" s="2248"/>
      <c r="HY13" s="2248"/>
      <c r="HZ13" s="2248"/>
      <c r="IA13" s="2248"/>
      <c r="IB13" s="2249"/>
      <c r="IC13" s="2248"/>
      <c r="ID13" s="2251"/>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94"/>
      <c r="JN13" s="1194"/>
      <c r="JO13" s="1194"/>
    </row>
    <row r="14" spans="1:276" ht="12.6" customHeight="1" thickTop="1" x14ac:dyDescent="0.25">
      <c r="A14" s="2718" t="str">
        <f t="shared" ref="A14:C45" si="0">IF(ISBLANK(CB14),"",CB14)</f>
        <v>G44</v>
      </c>
      <c r="B14" s="2748">
        <f t="shared" si="0"/>
        <v>2</v>
      </c>
      <c r="C14" s="2749" t="s">
        <v>1731</v>
      </c>
      <c r="D14" s="2720">
        <f t="shared" ref="D14:D45" si="1">IF(CV54="","",TRUNC(CV54/12))</f>
        <v>55</v>
      </c>
      <c r="E14" s="2750">
        <f t="shared" ref="E14:E45" si="2">IF(CV54="","",CV54-(D14*12))</f>
        <v>11.5</v>
      </c>
      <c r="F14" s="2751">
        <f t="shared" ref="F14:F45" si="3">IF(ISBLANK(DE14),"",DE14)</f>
        <v>11.125</v>
      </c>
      <c r="G14" s="2728">
        <f t="shared" ref="G14:G45" si="4">IF(DD54=0,"",TRUNC(DD54/12))</f>
        <v>0</v>
      </c>
      <c r="H14" s="2721">
        <f t="shared" ref="H14:H45" si="5">IF(DD54=0,"",DD54-(G14*12))</f>
        <v>2.75</v>
      </c>
      <c r="I14" s="2719" t="str">
        <f t="shared" ref="I14:I45" si="6">IF(DD54=0,"",CE54)</f>
        <v>R</v>
      </c>
      <c r="J14" s="2720">
        <f t="shared" ref="J14:J45" si="7">IF(DJ54=0,"",TRUNC(DJ54/12))</f>
        <v>0</v>
      </c>
      <c r="K14" s="2721">
        <f t="shared" ref="K14:K45" si="8">IF(DJ54=0,"",DJ54-(J14*12))</f>
        <v>2.75</v>
      </c>
      <c r="L14" s="2752" t="str">
        <f t="shared" ref="L14:L45" si="9">IF(DJ54=0,"",CN54)</f>
        <v>R</v>
      </c>
      <c r="M14" s="2726">
        <f t="shared" ref="M14:N45" si="10">IF(CW54="","",CW54)</f>
        <v>7.5</v>
      </c>
      <c r="N14" s="2753">
        <f t="shared" si="10"/>
        <v>7.5</v>
      </c>
      <c r="O14" s="2728">
        <f t="shared" ref="O14:O45" si="11">IF(DZ54="","",IF(AND(DZ54&gt;-12,DZ54&lt;0),-0.000001,TRUNC(DZ54/12)))</f>
        <v>0</v>
      </c>
      <c r="P14" s="2721">
        <f t="shared" ref="P14:P45" si="12">IF(DZ54="","",IF(AND(DZ54&lt;0,DZ54-(O14*12)=0),-0.00001,DZ54-(O14*12)))</f>
        <v>7.75</v>
      </c>
      <c r="Q14" s="2720">
        <f t="shared" ref="Q14:Q45" si="13">IF(EA54="","",IF(AND(EA54&gt;-12,EA54&lt;0),-0.000001,TRUNC(EA54/12)))</f>
        <v>0</v>
      </c>
      <c r="R14" s="2750">
        <f t="shared" ref="R14:R45" si="14">IF(EA54="","",IF(AND(EA54&lt;0,EA54-(Q14*12)=0),-0.00001,EA54-(Q14*12)))</f>
        <v>7.75</v>
      </c>
      <c r="S14" s="2754">
        <f t="shared" ref="S14:S45" si="15">IF(DR54="","",IF(DR54="ERR",TRUNC(DQ54/12),TRUNC(DR54/12)))</f>
        <v>0</v>
      </c>
      <c r="T14" s="2721">
        <f t="shared" ref="T14:T45" si="16">IF(DR54="","",IF(DR54="ERR",DQ54-(S14*12),DR54-(S14*12)))</f>
        <v>7.25</v>
      </c>
      <c r="U14" s="2720">
        <f t="shared" ref="U14:U45" si="17">IF(DY54="","",IF(DY54="ERR",TRUNC(DX54/12),TRUNC(DY54/12)))</f>
        <v>0</v>
      </c>
      <c r="V14" s="2721">
        <f t="shared" ref="V14:V45" si="18">IF(DY54="","",IF(DY54="ERR",DX54-(U14*12),DY54-(U14*12)))</f>
        <v>7.25</v>
      </c>
      <c r="W14" s="2753">
        <f t="shared" ref="W14:W45" si="19">IF(EC54="",0,EC54)</f>
        <v>5</v>
      </c>
      <c r="X14" s="2755" t="str">
        <f t="shared" ref="X14:X45" si="20">IF(EN54="","",EN54)</f>
        <v/>
      </c>
      <c r="Y14" s="2756" t="str">
        <f t="shared" ref="Y14:Y45" si="21">IF(ES54="","",ES54)</f>
        <v/>
      </c>
      <c r="Z14" s="2698" t="s">
        <v>1907</v>
      </c>
      <c r="AA14" s="2757" t="str">
        <f t="shared" ref="AA14:AA45" si="22">IF(ISBLANK(DD14),"",DD14)</f>
        <v/>
      </c>
      <c r="AB14" s="2718" t="str">
        <f t="shared" ref="AB14:AB45" si="23">IF(ISBLANK(DH14),"",DH14)</f>
        <v>G44</v>
      </c>
      <c r="AC14" s="2719" t="str">
        <f t="shared" ref="AC14:AC45" si="24">IF(ISBLANK(DI14),"",UPPER(DI14))</f>
        <v>B</v>
      </c>
      <c r="AD14" s="2720">
        <f t="shared" ref="AD14:AD45" si="25">IF(ISERROR(FV54),"",IF(FV54="","",TRUNC(FV54/12)))</f>
        <v>7</v>
      </c>
      <c r="AE14" s="2721">
        <f t="shared" ref="AE14:AE45" si="26">IF(ISERROR(FV54),"",IF(FV54="","",FV54-(AD14*12)))</f>
        <v>9</v>
      </c>
      <c r="AF14" s="2719">
        <f t="shared" ref="AF14:AF45" si="27">IF(ISERROR(FO54),"",IF(FO54="","",FO54))</f>
        <v>5</v>
      </c>
      <c r="AG14" s="2720">
        <f t="shared" ref="AG14:AG45" si="28">IF(ISERROR(FX54),"",IF(FX54="","",TRUNC(FX54/12)))</f>
        <v>8</v>
      </c>
      <c r="AH14" s="2721">
        <f t="shared" ref="AH14:AH45" si="29">IF(ISERROR(FX54),"",IF(FX54="","",FX54-(AG14*12)))</f>
        <v>0</v>
      </c>
      <c r="AI14" s="2720">
        <f t="shared" ref="AI14:AI45" si="30">IF(ISERROR(FZ54),"",IF(FZ54="","",TRUNC(FZ54/12)))</f>
        <v>7</v>
      </c>
      <c r="AJ14" s="2721">
        <f t="shared" ref="AJ14:AJ45" si="31">IF(ISERROR(FZ54),"",IF(FZ54="","",FZ54-(AI14*12)))</f>
        <v>9</v>
      </c>
      <c r="AK14" s="2722" t="str">
        <f t="shared" ref="AK14:AO45" si="32">IF(ISBLANK(DO14),"",DO14)</f>
        <v/>
      </c>
      <c r="AL14" s="2723" t="str">
        <f t="shared" ref="AL14:AL45" si="33">IF(ISBLANK(DP14),"",UPPER(DP14))</f>
        <v/>
      </c>
      <c r="AM14" s="2724">
        <f t="shared" si="32"/>
        <v>5</v>
      </c>
      <c r="AN14" s="2719">
        <f t="shared" si="32"/>
        <v>13</v>
      </c>
      <c r="AO14" s="2753">
        <f t="shared" si="32"/>
        <v>4</v>
      </c>
      <c r="AP14" s="2726">
        <f t="shared" ref="AP14:AQ45" si="34">IF(ISERROR(GD54),"ERR",IF(OR(GD54="",GD54=0),"",GD54))</f>
        <v>1.75</v>
      </c>
      <c r="AQ14" s="2727">
        <f t="shared" si="34"/>
        <v>1.75</v>
      </c>
      <c r="AR14" s="2728">
        <f t="shared" ref="AR14:AR45" si="35">IF(ISERROR(GF54),"ERR",IF(GF54="","",IF(ISTEXT(GF54),"P",TRUNC(GF54/12))))</f>
        <v>1</v>
      </c>
      <c r="AS14" s="2721">
        <f t="shared" ref="AS14:AS45" si="36">IF(ISERROR(GF54),"",IF(GF54="","",IF(AR14="P",GF54,GF54-(AR14*12))))</f>
        <v>0</v>
      </c>
      <c r="AT14" s="2729" t="str">
        <f t="shared" ref="AT14:AT45" si="37">IF(ISBLANK(DX14),"",DX14)</f>
        <v/>
      </c>
      <c r="AU14" s="2731" t="str">
        <f t="shared" ref="AU14:AU45" si="38">IF(ISBLANK(DY14),"",UPPER(DY14))</f>
        <v>B</v>
      </c>
      <c r="AV14" s="2754">
        <f t="shared" ref="AV14:AV45" si="39">IF(ISERROR(GG54),"ERR",IF(GG54="","",IF(ISTEXT(GG54),"P",TRUNC(GG54/12))))</f>
        <v>55</v>
      </c>
      <c r="AW14" s="2721">
        <f t="shared" ref="AW14:AW45" si="40">IF(ISERROR(GG54),"",IF(GG54="","",IF(AV14="P",GG54,GG54-(AV14*12))))</f>
        <v>0</v>
      </c>
      <c r="AX14" s="2729" t="str">
        <f t="shared" ref="AX14:AX45" si="41">IF(ISBLANK(EB14),"",EB14)</f>
        <v/>
      </c>
      <c r="AY14" s="2731" t="str">
        <f t="shared" ref="AY14:AY45" si="42">IF(ISBLANK(EC14),"",UPPER(EC14))</f>
        <v>B</v>
      </c>
      <c r="AZ14" s="2754" t="str">
        <f t="shared" ref="AZ14:AZ45" si="43">IF(ISERROR(GH54),"ERR",IF(GH54="","",IF(ISTEXT(GH54),"P",TRUNC(GH54/12))))</f>
        <v/>
      </c>
      <c r="BA14" s="2721" t="str">
        <f t="shared" ref="BA14:BA45" si="44">IF(ISERROR(GH54),"",IF(GH54="","",IF(AZ14="P",GH54,GH54-(AZ14*12))))</f>
        <v/>
      </c>
      <c r="BB14" s="2729" t="str">
        <f t="shared" ref="BB14:BB45" si="45">IF(ISBLANK(EF14),"",EF14)</f>
        <v/>
      </c>
      <c r="BC14" s="2731" t="str">
        <f t="shared" ref="BC14:BC45" si="46">IF(ISBLANK(EG14),"",UPPER(EG14))</f>
        <v/>
      </c>
      <c r="BD14" s="2754" t="str">
        <f t="shared" ref="BD14:BD45" si="47">IF(ISERROR(GI54),"ERR",IF(GI54="","",IF(ISTEXT(GI54),"P",TRUNC(GI54/12))))</f>
        <v/>
      </c>
      <c r="BE14" s="2721" t="str">
        <f t="shared" ref="BE14:BE45" si="48">IF(ISERROR(GI54),"",IF(GI54="","",IF(BD14="P",GI54,GI54-(BD14*12))))</f>
        <v/>
      </c>
      <c r="BF14" s="2729" t="str">
        <f t="shared" ref="BF14:BF45" si="49">IF(ISBLANK(EJ14),"",EJ14)</f>
        <v/>
      </c>
      <c r="BG14" s="2731" t="str">
        <f t="shared" ref="BG14:BG45" si="50">IF(ISBLANK(EK14),"",UPPER(EK14))</f>
        <v/>
      </c>
      <c r="BH14" s="1417"/>
      <c r="BJ14" s="995" t="str">
        <f>IF(OR(ISBLANK(A14),A14=""),"",A14)</f>
        <v>G44</v>
      </c>
      <c r="BK14" s="993" t="b">
        <f t="shared" ref="BK14:BK45" si="51">IF($BK$1,IF(BJ14=BJ13,BK13,IF(AND(BJ14&lt;&gt;"",OR(B14=0,B14="")),TRUE,FALSE)),FALSE)</f>
        <v>0</v>
      </c>
      <c r="BL14" s="1784" t="b">
        <v>0</v>
      </c>
      <c r="BM14" s="989">
        <f t="shared" ref="BM14:BM45" si="52">IF(C14="",0,VALUE(IF(BN14="","",LEFT(C14,SEARCH(BN14,C14)-1))))</f>
        <v>52</v>
      </c>
      <c r="BN14" s="989" t="str">
        <f t="shared" ref="BN14:BN45" si="53">IF(C14="",0,IF(NOT(ISERROR(SEARCH("VG",C14))),"VG",IF(NOT(ISERROR(SEARCH("BG",C14))),"BG",IF(NOT(ISERROR(SEARCH("G",C14))),"G"))))</f>
        <v>G</v>
      </c>
      <c r="BO14" s="989">
        <f t="shared" ref="BO14:BO45" si="54">IF(C14="",0,VALUE(MID(C14,SEARCH(BN14,C14)+LEN(BN14),SEARCH("N",C14)-SEARCH(BN14,C14)-LEN(BN14))))</f>
        <v>7</v>
      </c>
      <c r="BP14" s="989" t="str">
        <f t="shared" ref="BP14:BP45" si="5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6">IF(ISERROR(SEARCH("F",C14)),IF(C14="",0,IF(SEARCH("K",C14)=LEN(C14),0,VALUE(MID(C14,SEARCH("K",C14)+1,LEN(C14))))),IF(C14="",0,IF(SEARCH("F",C14)=LEN(C14),0,VALUE(MID(C14,SEARCH("F",C14)+1,LEN(C14))))))</f>
        <v>2.4</v>
      </c>
      <c r="BR14" s="989" t="b">
        <f t="shared" ref="BR14:BR45" si="57">IF(OR(ISERROR(BM14),ISERROR(BN14),ISERROR(BO14),ISERROR(BP14),ISERROR(BQ14)),FALSE,TRUE)</f>
        <v>1</v>
      </c>
      <c r="BS14" s="1303">
        <f t="shared" ref="BS14:BS45" si="58">6+IF(LEFT(I14,1)="R",IF(ISNUMBER(G14),G14*12,0)+IF(ISNUMBER(H14),H14,0),0)</f>
        <v>8.75</v>
      </c>
      <c r="BT14" s="990" t="str">
        <f t="shared" ref="BT14:BT45" si="59">IF(IF(ISNUMBER(S14),S14*12,0)+IF(ISNUMBER(T14),T14,0)&gt;0,IF(AND(IF(ISNUMBER(S14),S14*12,0)+IF(ISNUMBER(T14),T14,0)&gt;=$FE$4/2+$EX$6,IF(ISNUMBER(S14),S14*12,0)+IF(ISNUMBER(T14),T14,0)&lt;=(BS14-($FE$4/2+$EX$6))+IF(I14="X",2,0)),"Yes","No"),"No")</f>
        <v>Yes</v>
      </c>
      <c r="BU14" s="1303">
        <f t="shared" ref="BU14:BU45" si="60">6+IF(LEFT(L14,1)="R",IF(ISNUMBER(J14),J14*12,0)+IF(ISNUMBER(K14),K14,0),0)</f>
        <v>8.75</v>
      </c>
      <c r="BV14" s="990" t="str">
        <f t="shared" ref="BV14:BV45" si="61">IF(IF(ISNUMBER(U14),U14*12,0)+IF(ISNUMBER(V14),V14,0)&gt;0,IF(AND(IF(ISNUMBER(U14),U14*12,0)+IF(ISNUMBER(V14),V14,0)&gt;=$FE$4/2+$EX$6,IF(ISNUMBER(U14),U14*12,0)+IF(ISNUMBER(V14),V14,0)&lt;=(BU14-($FE$4/2+$EX$6))+IF(L14="X",2,0)),"Yes","No"),"No")</f>
        <v>Yes</v>
      </c>
      <c r="BW14" s="991">
        <f t="shared" ref="BW14:BW45" si="62">IF(AB14="",0,1)+IF(AC14="",0,1)+IF(AD14="",0,1)+IF(AE14="",0,1)+IF(AF14="",0,1)+IF(AG14="",0,1)+IF(AH14="",0,1)+IF(AI14="",0,1)+IF(AJ14="",0,1)+IF(AK14="",0,1)+IF(AL14="",0,1)+IF(AM14="",0,1)+IF(AN14="",0,1)+IF(AO14="",0,1)+IF(AP14="",0,1)+IF(AQ14="",0,1)+IF(AR14="",0,1)+IF(AS14="",0,1)+IF(AT14="",0,1)+IF(AU14="",0,1)+IF(AV14="",0,1)+IF(AW14="",0,1)+IF(AX14="",0,1)+IF(AY14="",0,1)+IF(AZ14="",0,1)+IF(BA14="",0,1)+IF(BB14="",0,1)+IF(BC14="",0,1)+IF(BD14="",0,1)+IF(BE14="",0,1)+IF(BF14="",0,1)+IF(BG14="",0,1)</f>
        <v>20</v>
      </c>
      <c r="BX14" s="991" t="str">
        <f t="shared" ref="BX14:BX45" si="63">IF(AND(AB14="",BW14&gt;0),BX13,IF(ISBLANK(AB14),"",AB14))</f>
        <v>G44</v>
      </c>
      <c r="BY14" s="991" t="b">
        <f t="shared" ref="BY14:BY45" si="64">IF(ISERROR(VLOOKUP(BX14,$BJ$14:$BL$45,3,FALSE)),FALSE,VLOOKUP(BX14,$BJ$14:$BL$45,3,FALSE))</f>
        <v>0</v>
      </c>
      <c r="BZ14" s="991" t="b">
        <f>IF($BK$1,IF(BX14="",FALSE,IF(ISERROR(VLOOKUP(BX14,$A$14:$B$45,2,FALSE)),FALSE,IF(VLOOKUP(BX14,$A$14:$B$45,2,FALSE)=0,TRUE,FALSE))))</f>
        <v>0</v>
      </c>
      <c r="CB14" s="672" t="s">
        <v>1440</v>
      </c>
      <c r="CC14" s="1684">
        <v>2</v>
      </c>
      <c r="CD14" s="696" t="s">
        <v>1731</v>
      </c>
      <c r="CE14" s="697">
        <v>56</v>
      </c>
      <c r="CF14" s="698">
        <v>0</v>
      </c>
      <c r="CG14" s="664">
        <v>7</v>
      </c>
      <c r="CH14" s="709"/>
      <c r="CI14" s="710"/>
      <c r="CJ14" s="709"/>
      <c r="CK14" s="710"/>
      <c r="CL14" s="711"/>
      <c r="CM14" s="742"/>
      <c r="CN14" s="1614"/>
      <c r="CO14" s="1615"/>
      <c r="CP14" s="1616"/>
      <c r="CQ14" s="664">
        <v>7</v>
      </c>
      <c r="CR14" s="709"/>
      <c r="CS14" s="710"/>
      <c r="CT14" s="709"/>
      <c r="CU14" s="710"/>
      <c r="CV14" s="711"/>
      <c r="CW14" s="742"/>
      <c r="CX14" s="1614"/>
      <c r="CY14" s="1615"/>
      <c r="CZ14" s="1616"/>
      <c r="DA14" s="712"/>
      <c r="DB14" s="702" t="s">
        <v>1733</v>
      </c>
      <c r="DC14" s="703"/>
      <c r="DD14" s="723"/>
      <c r="DE14" s="724">
        <v>11.125</v>
      </c>
      <c r="DF14" s="141"/>
      <c r="DG14" s="141"/>
      <c r="DH14" s="672" t="s">
        <v>1440</v>
      </c>
      <c r="DI14" s="665" t="s">
        <v>35</v>
      </c>
      <c r="DJ14" s="690">
        <v>8</v>
      </c>
      <c r="DK14" s="1331">
        <v>0</v>
      </c>
      <c r="DL14" s="666">
        <v>5</v>
      </c>
      <c r="DM14" s="691">
        <v>8</v>
      </c>
      <c r="DN14" s="1334">
        <v>0</v>
      </c>
      <c r="DO14" s="667"/>
      <c r="DP14" s="668"/>
      <c r="DQ14" s="1419">
        <v>5</v>
      </c>
      <c r="DR14" s="669">
        <v>13</v>
      </c>
      <c r="DS14" s="1419">
        <v>4</v>
      </c>
      <c r="DT14" s="1422">
        <v>2</v>
      </c>
      <c r="DU14" s="1423">
        <v>2</v>
      </c>
      <c r="DV14" s="2661">
        <v>1</v>
      </c>
      <c r="DW14" s="2664">
        <v>0.25</v>
      </c>
      <c r="DX14" s="679"/>
      <c r="DY14" s="2665" t="s">
        <v>35</v>
      </c>
      <c r="DZ14" s="2661">
        <v>55</v>
      </c>
      <c r="EA14" s="2664">
        <v>0.25</v>
      </c>
      <c r="EB14" s="679"/>
      <c r="EC14" s="2665" t="s">
        <v>35</v>
      </c>
      <c r="ED14" s="678"/>
      <c r="EE14" s="1337"/>
      <c r="EF14" s="679"/>
      <c r="EG14" s="674"/>
      <c r="EH14" s="678"/>
      <c r="EI14" s="1337"/>
      <c r="EJ14" s="679"/>
      <c r="EK14" s="680"/>
      <c r="EL14" s="241"/>
      <c r="EM14" s="1630" t="str">
        <f t="shared" ref="EM14:EM45" si="65">IF(ISBLANK(CB14),"",CB14)</f>
        <v>G44</v>
      </c>
      <c r="EN14" s="1426" t="str">
        <f t="shared" ref="EN14:EN45" si="66">IF(DQ54=DR54,"",CONCATENATE(IF(CL14&lt;0,"NS ","FS "),IF(DR54="ERR","Slot Only",CONCATENATE("Slot @ ",DQ54))))</f>
        <v/>
      </c>
      <c r="EO14" s="1427" t="str">
        <f t="shared" ref="EO14:EO45" si="67">IF(DX54=DY54,"",CONCATENATE(IF(CV14&lt;0,"FS ","NS "),IF(DY54="ERR","Slot Only",CONCATENATE("Slot @ ",DX54))))</f>
        <v/>
      </c>
      <c r="EP14" s="1428" t="str">
        <f t="shared" ref="EP14:EP45" si="68">IF(EC54="","",IF(CI54&lt;&gt;EC54,CONCATENATE("LE slots @ ",CI54," Ga."),IF(CR54&lt;&gt;EC54,CONCATENATE("RE slots @ ",CR54," Ga."),"")))</f>
        <v/>
      </c>
      <c r="EQ14" s="1434" t="str">
        <f t="shared" ref="EQ14:EQ45" si="69">IF(AND(ET14&lt;&gt;"",CL14&lt;&gt;"",EU14&lt;&gt;"",CV14&lt;&gt;""),"BE",IF(AND(ET14&lt;&gt;"",CL14&lt;&gt;""),"LE",IF(AND(EU14&lt;&gt;"",CV14&lt;&gt;""),"RE","")))</f>
        <v/>
      </c>
      <c r="ER14" s="1437" t="str">
        <f t="shared" ref="ER14:ER45" si="70">IF(ISBLANK(CO14),"",IF(CEILING(DB54,0.125)&lt;=DC54+$FA$4,"",CEILING(DB54,0.125)))</f>
        <v/>
      </c>
      <c r="ES14" s="1438" t="str">
        <f t="shared" ref="ES14:ES45" si="71">IF(ISBLANK(CY14),"",IF(CEILING(DH54,0.125)&lt;=DI54+$FA$4,"",CEILING(DH54,0.125)))</f>
        <v/>
      </c>
      <c r="ET14" s="1439" t="str">
        <f t="shared" ref="ET14:ET45" si="72">IF(CG14="","",IF($FB$4&gt;EV54,EV54,""))</f>
        <v/>
      </c>
      <c r="EU14" s="1440"/>
      <c r="EX14" s="503" t="str">
        <f>CONCATENATE(BX14,AC14)</f>
        <v>G44B</v>
      </c>
      <c r="EY14" s="940" t="b">
        <f t="shared" ref="EY14:EY45" ca="1" si="73">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4">IF(ISNUMBER(AD14),AD14,0)*12+IF(ISNUMBER(AE14),AE14,0)</f>
        <v>93</v>
      </c>
      <c r="FD14" s="134">
        <f t="shared" ref="FD14:FD45" si="75">IF(ISNUMBER(AF14),AF14,0)*(IF(ISNUMBER(AG14),AG14,0)*12+IF(ISNUMBER(AH14),AH14,0))</f>
        <v>480</v>
      </c>
      <c r="FE14" s="134">
        <f t="shared" ref="FE14:FE45" si="76">IF(ISNUMBER(AI14),AI14,0)*12+IF(ISNUMBER(AJ14),AJ14,0)</f>
        <v>93</v>
      </c>
      <c r="FF14" s="134">
        <f>SUM(FC14:FE14)+IF(FE14=0,FF15,0)</f>
        <v>666</v>
      </c>
      <c r="FN14" s="754" t="b">
        <v>0</v>
      </c>
      <c r="FO14" s="754" t="b">
        <f t="shared" ref="FO14:FO45" si="77">NOT(ISERROR(VLOOKUP(A14,$AB$14:$AB$45,1,FALSE)))</f>
        <v>1</v>
      </c>
      <c r="FP14" s="754" t="b">
        <v>0</v>
      </c>
      <c r="FQ14" s="754" t="b">
        <f>NOT(ISERROR(VLOOKUP(AB14,$A$14:$A$45,1,FALSE)))</f>
        <v>1</v>
      </c>
      <c r="FW14" s="2"/>
      <c r="FX14" s="2"/>
      <c r="FZ14" s="2"/>
      <c r="GA14" s="581">
        <f t="shared" ref="GA14:GA45" si="78">IF(GF14="","",CE14)</f>
        <v>56</v>
      </c>
      <c r="GB14" s="623">
        <f t="shared" ref="GB14:GB45" si="79">IF(GF14="","",CF14)</f>
        <v>0</v>
      </c>
      <c r="GC14" s="625">
        <f t="shared" ref="GC14:GC45" si="80">IF(GF14="","",IF(CD54="",0,CD54))</f>
        <v>-0.25</v>
      </c>
      <c r="GD14" s="626">
        <f t="shared" ref="GD14:GD45" si="81">IF(GF14="","",IF(CM54="",0,CM54))</f>
        <v>-0.25</v>
      </c>
      <c r="GE14" s="624">
        <f t="shared" ref="GE14:GE45" si="82">IF(GF14="","",IF(ISBLANK(DA14),IF(X14=Y14,0,MAX(ABS(X14),ABS(Y14))*IF(X14&lt;0,-1,1)),DA14))</f>
        <v>0</v>
      </c>
      <c r="GF14" s="582" t="str">
        <f t="shared" ref="GF14:GF45" si="83">IF(A14=0,"",A14)</f>
        <v>G44</v>
      </c>
      <c r="GG14" s="692">
        <v>0</v>
      </c>
      <c r="GH14" s="1135">
        <v>0</v>
      </c>
      <c r="GI14" s="692"/>
      <c r="GJ14" s="1135"/>
      <c r="GK14" s="1641">
        <f t="shared" ref="GK14:GK45" si="84">IF(D14="",0,D14*12+E14)</f>
        <v>671.5</v>
      </c>
      <c r="GL14" s="1641">
        <f t="shared" ref="GL14:GL45" si="85">(GA14*12+GB14+GC14+GD14)/COS(ATAN(ABS(GE14/12)))</f>
        <v>671.5</v>
      </c>
      <c r="GM14" s="1642">
        <f>IF(ABS(GK14-GL14)&gt;='Job Info.'!$L$22,ABS(GK14-GL14),0)</f>
        <v>0</v>
      </c>
      <c r="HA14" s="1242" t="s">
        <v>1440</v>
      </c>
      <c r="HB14" s="1243">
        <v>1</v>
      </c>
      <c r="HC14" s="1243" t="s">
        <v>1731</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1733</v>
      </c>
      <c r="IB14" s="1247"/>
      <c r="IC14" s="1247"/>
      <c r="ID14" s="1262">
        <v>11.125</v>
      </c>
      <c r="IE14" s="1257" t="s">
        <v>1440</v>
      </c>
      <c r="IF14" s="1258" t="s">
        <v>35</v>
      </c>
      <c r="IG14" s="1259">
        <v>8</v>
      </c>
      <c r="IH14" s="1260">
        <v>0</v>
      </c>
      <c r="II14" s="1258">
        <v>5</v>
      </c>
      <c r="IJ14" s="1259">
        <v>8</v>
      </c>
      <c r="IK14" s="1260">
        <v>0</v>
      </c>
      <c r="IL14" s="1258"/>
      <c r="IM14" s="1258"/>
      <c r="IN14" s="1258">
        <v>5</v>
      </c>
      <c r="IO14" s="1258">
        <v>13</v>
      </c>
      <c r="IP14" s="1258">
        <v>4</v>
      </c>
      <c r="IQ14" s="1258">
        <v>2</v>
      </c>
      <c r="IR14" s="1258">
        <v>2</v>
      </c>
      <c r="IS14" s="1259"/>
      <c r="IT14" s="1260"/>
      <c r="IU14" s="1258"/>
      <c r="IV14" s="1258"/>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83" t="str">
        <f t="shared" si="0"/>
        <v>G45</v>
      </c>
      <c r="B15" s="2684">
        <f t="shared" si="0"/>
        <v>1</v>
      </c>
      <c r="C15" s="2685" t="s">
        <v>1731</v>
      </c>
      <c r="D15" s="2686">
        <f t="shared" si="1"/>
        <v>55</v>
      </c>
      <c r="E15" s="2687">
        <f t="shared" si="2"/>
        <v>11.5</v>
      </c>
      <c r="F15" s="2688">
        <f t="shared" si="3"/>
        <v>11.125</v>
      </c>
      <c r="G15" s="2689">
        <f t="shared" si="4"/>
        <v>0</v>
      </c>
      <c r="H15" s="2690">
        <f t="shared" si="5"/>
        <v>2.75</v>
      </c>
      <c r="I15" s="2691" t="str">
        <f t="shared" si="6"/>
        <v>R</v>
      </c>
      <c r="J15" s="2686">
        <f t="shared" si="7"/>
        <v>0</v>
      </c>
      <c r="K15" s="2690">
        <f t="shared" si="8"/>
        <v>2.75</v>
      </c>
      <c r="L15" s="2692" t="str">
        <f t="shared" si="9"/>
        <v>R</v>
      </c>
      <c r="M15" s="2693">
        <f t="shared" si="10"/>
        <v>7.5</v>
      </c>
      <c r="N15" s="2694">
        <f t="shared" si="10"/>
        <v>7.5</v>
      </c>
      <c r="O15" s="2689">
        <f t="shared" si="11"/>
        <v>0</v>
      </c>
      <c r="P15" s="2690">
        <f t="shared" si="12"/>
        <v>7.75</v>
      </c>
      <c r="Q15" s="2686">
        <f t="shared" si="13"/>
        <v>0</v>
      </c>
      <c r="R15" s="2687">
        <f t="shared" si="14"/>
        <v>7.75</v>
      </c>
      <c r="S15" s="2695">
        <f t="shared" si="15"/>
        <v>0</v>
      </c>
      <c r="T15" s="2690">
        <f t="shared" si="16"/>
        <v>7.25</v>
      </c>
      <c r="U15" s="2686">
        <f t="shared" si="17"/>
        <v>0</v>
      </c>
      <c r="V15" s="2690">
        <f t="shared" si="18"/>
        <v>7.25</v>
      </c>
      <c r="W15" s="2694">
        <f t="shared" si="19"/>
        <v>5</v>
      </c>
      <c r="X15" s="2696" t="str">
        <f t="shared" si="20"/>
        <v/>
      </c>
      <c r="Y15" s="2697" t="str">
        <f t="shared" si="21"/>
        <v/>
      </c>
      <c r="Z15" s="2698" t="s">
        <v>1908</v>
      </c>
      <c r="AA15" s="2758" t="str">
        <f t="shared" si="22"/>
        <v/>
      </c>
      <c r="AB15" s="2683" t="str">
        <f t="shared" si="23"/>
        <v>G45</v>
      </c>
      <c r="AC15" s="2691" t="str">
        <f t="shared" si="24"/>
        <v>B</v>
      </c>
      <c r="AD15" s="2686">
        <f t="shared" ca="1" si="25"/>
        <v>7</v>
      </c>
      <c r="AE15" s="2690">
        <f t="shared" ca="1" si="26"/>
        <v>9</v>
      </c>
      <c r="AF15" s="2691">
        <f t="shared" ca="1" si="27"/>
        <v>5</v>
      </c>
      <c r="AG15" s="2686">
        <f t="shared" ca="1" si="28"/>
        <v>8</v>
      </c>
      <c r="AH15" s="2690">
        <f t="shared" ca="1" si="29"/>
        <v>0</v>
      </c>
      <c r="AI15" s="2686">
        <f t="shared" ca="1" si="30"/>
        <v>7</v>
      </c>
      <c r="AJ15" s="2690">
        <f t="shared" ca="1" si="31"/>
        <v>9</v>
      </c>
      <c r="AK15" s="2732" t="str">
        <f t="shared" si="32"/>
        <v/>
      </c>
      <c r="AL15" s="2733" t="str">
        <f t="shared" si="33"/>
        <v/>
      </c>
      <c r="AM15" s="2734">
        <f t="shared" si="32"/>
        <v>5</v>
      </c>
      <c r="AN15" s="2691">
        <f t="shared" si="32"/>
        <v>13</v>
      </c>
      <c r="AO15" s="2694">
        <f t="shared" si="32"/>
        <v>4</v>
      </c>
      <c r="AP15" s="2693">
        <f t="shared" si="34"/>
        <v>1.75</v>
      </c>
      <c r="AQ15" s="2736">
        <f t="shared" si="34"/>
        <v>1.75</v>
      </c>
      <c r="AR15" s="2689">
        <f t="shared" si="35"/>
        <v>1</v>
      </c>
      <c r="AS15" s="2690">
        <f t="shared" si="36"/>
        <v>0</v>
      </c>
      <c r="AT15" s="2737" t="str">
        <f t="shared" si="37"/>
        <v/>
      </c>
      <c r="AU15" s="2738" t="str">
        <f t="shared" si="38"/>
        <v>B</v>
      </c>
      <c r="AV15" s="2695">
        <f t="shared" si="39"/>
        <v>55</v>
      </c>
      <c r="AW15" s="2690">
        <f t="shared" si="40"/>
        <v>0</v>
      </c>
      <c r="AX15" s="2737" t="str">
        <f t="shared" si="41"/>
        <v/>
      </c>
      <c r="AY15" s="2738" t="str">
        <f t="shared" si="42"/>
        <v>B</v>
      </c>
      <c r="AZ15" s="2695" t="str">
        <f t="shared" si="43"/>
        <v/>
      </c>
      <c r="BA15" s="2690" t="str">
        <f t="shared" si="44"/>
        <v/>
      </c>
      <c r="BB15" s="2737" t="str">
        <f t="shared" si="45"/>
        <v/>
      </c>
      <c r="BC15" s="2738" t="str">
        <f t="shared" si="46"/>
        <v/>
      </c>
      <c r="BD15" s="2695" t="str">
        <f t="shared" si="47"/>
        <v/>
      </c>
      <c r="BE15" s="2690" t="str">
        <f t="shared" si="48"/>
        <v/>
      </c>
      <c r="BF15" s="2737" t="str">
        <f t="shared" si="49"/>
        <v/>
      </c>
      <c r="BG15" s="2738" t="str">
        <f t="shared" si="50"/>
        <v/>
      </c>
      <c r="BH15" s="1417"/>
      <c r="BJ15" s="995" t="str">
        <f>IF(AND(OR(ISBLANK(A15),A15=""),Z15&lt;&gt;""),BJ14,IF(OR(ISBLANK(A15),A15=""),"",A15))</f>
        <v>G45</v>
      </c>
      <c r="BK15" s="993" t="b">
        <f t="shared" si="51"/>
        <v>0</v>
      </c>
      <c r="BL15" s="1784" t="b">
        <v>0</v>
      </c>
      <c r="BM15" s="989">
        <f t="shared" si="52"/>
        <v>52</v>
      </c>
      <c r="BN15" s="989" t="str">
        <f t="shared" si="53"/>
        <v>G</v>
      </c>
      <c r="BO15" s="989">
        <f t="shared" si="54"/>
        <v>7</v>
      </c>
      <c r="BP15" s="989" t="str">
        <f t="shared" si="55"/>
        <v>13/6</v>
      </c>
      <c r="BQ15" s="989">
        <f t="shared" si="56"/>
        <v>2.4</v>
      </c>
      <c r="BR15" s="989" t="b">
        <f t="shared" si="57"/>
        <v>1</v>
      </c>
      <c r="BS15" s="1303">
        <f t="shared" si="58"/>
        <v>8.75</v>
      </c>
      <c r="BT15" s="990" t="str">
        <f t="shared" si="59"/>
        <v>Yes</v>
      </c>
      <c r="BU15" s="1303">
        <f t="shared" si="60"/>
        <v>8.75</v>
      </c>
      <c r="BV15" s="990" t="str">
        <f t="shared" si="61"/>
        <v>Yes</v>
      </c>
      <c r="BW15" s="991">
        <f t="shared" ca="1" si="62"/>
        <v>20</v>
      </c>
      <c r="BX15" s="991" t="str">
        <f t="shared" ca="1" si="63"/>
        <v>G45</v>
      </c>
      <c r="BY15" s="991" t="b">
        <f t="shared" ca="1" si="64"/>
        <v>0</v>
      </c>
      <c r="BZ15" s="991" t="b">
        <f t="shared" ref="BZ15:BZ45" si="86">IF($BK$1,IF(BX15="",FALSE,IF(ISERROR(VLOOKUP(BX15,$A$14:$B$45,2,FALSE)),FALSE,IF(VLOOKUP(BX15,$A$14:$B$45,2,FALSE)=0,TRUE,FALSE))))</f>
        <v>0</v>
      </c>
      <c r="CB15" s="672" t="s">
        <v>1441</v>
      </c>
      <c r="CC15" s="1685">
        <v>1</v>
      </c>
      <c r="CD15" s="699" t="s">
        <v>1731</v>
      </c>
      <c r="CE15" s="700">
        <v>56</v>
      </c>
      <c r="CF15" s="701">
        <v>0</v>
      </c>
      <c r="CG15" s="672">
        <v>7</v>
      </c>
      <c r="CH15" s="713"/>
      <c r="CI15" s="714"/>
      <c r="CJ15" s="713"/>
      <c r="CK15" s="714"/>
      <c r="CL15" s="715"/>
      <c r="CM15" s="743"/>
      <c r="CN15" s="738"/>
      <c r="CO15" s="1552"/>
      <c r="CP15" s="910"/>
      <c r="CQ15" s="672">
        <v>7</v>
      </c>
      <c r="CR15" s="713"/>
      <c r="CS15" s="714"/>
      <c r="CT15" s="713"/>
      <c r="CU15" s="714"/>
      <c r="CV15" s="715"/>
      <c r="CW15" s="743"/>
      <c r="CX15" s="738"/>
      <c r="CY15" s="1552"/>
      <c r="CZ15" s="910"/>
      <c r="DA15" s="717"/>
      <c r="DB15" s="702" t="s">
        <v>1730</v>
      </c>
      <c r="DC15" s="703"/>
      <c r="DD15" s="725"/>
      <c r="DE15" s="726">
        <v>11.125</v>
      </c>
      <c r="DF15" s="141"/>
      <c r="DG15" s="141"/>
      <c r="DH15" s="672" t="s">
        <v>1441</v>
      </c>
      <c r="DI15" s="673" t="s">
        <v>35</v>
      </c>
      <c r="DJ15" s="692">
        <v>8</v>
      </c>
      <c r="DK15" s="1332">
        <v>0</v>
      </c>
      <c r="DL15" s="674">
        <v>5</v>
      </c>
      <c r="DM15" s="693">
        <v>8</v>
      </c>
      <c r="DN15" s="1335">
        <v>0</v>
      </c>
      <c r="DO15" s="675"/>
      <c r="DP15" s="676"/>
      <c r="DQ15" s="1420">
        <v>5</v>
      </c>
      <c r="DR15" s="677">
        <v>13</v>
      </c>
      <c r="DS15" s="1420">
        <v>4</v>
      </c>
      <c r="DT15" s="1422">
        <v>2</v>
      </c>
      <c r="DU15" s="1423">
        <v>2</v>
      </c>
      <c r="DV15" s="2661">
        <v>1</v>
      </c>
      <c r="DW15" s="2664">
        <v>0.25</v>
      </c>
      <c r="DX15" s="679"/>
      <c r="DY15" s="2665" t="s">
        <v>35</v>
      </c>
      <c r="DZ15" s="2661">
        <v>55</v>
      </c>
      <c r="EA15" s="2664">
        <v>0.25</v>
      </c>
      <c r="EB15" s="679"/>
      <c r="EC15" s="2665" t="s">
        <v>35</v>
      </c>
      <c r="ED15" s="678"/>
      <c r="EE15" s="1337"/>
      <c r="EF15" s="679"/>
      <c r="EG15" s="674"/>
      <c r="EH15" s="678"/>
      <c r="EI15" s="1337"/>
      <c r="EJ15" s="679"/>
      <c r="EK15" s="680"/>
      <c r="EL15" s="241"/>
      <c r="EM15" s="1632" t="str">
        <f t="shared" si="65"/>
        <v>G45</v>
      </c>
      <c r="EN15" s="1429" t="str">
        <f t="shared" si="66"/>
        <v/>
      </c>
      <c r="EO15" s="1430" t="str">
        <f t="shared" si="67"/>
        <v/>
      </c>
      <c r="EP15" s="1431" t="str">
        <f t="shared" si="68"/>
        <v/>
      </c>
      <c r="EQ15" s="1435" t="str">
        <f t="shared" si="69"/>
        <v/>
      </c>
      <c r="ER15" s="1441" t="str">
        <f t="shared" si="70"/>
        <v/>
      </c>
      <c r="ES15" s="1442" t="str">
        <f t="shared" si="71"/>
        <v/>
      </c>
      <c r="ET15" s="1443" t="str">
        <f t="shared" si="72"/>
        <v/>
      </c>
      <c r="EU15" s="1444" t="str">
        <f t="shared" ref="EU15:EU45" si="87">IF(CQ15="","",IF($FB$4&gt;EW55,EW55,""))</f>
        <v/>
      </c>
      <c r="EX15" s="503" t="str">
        <f t="shared" ref="EX15:EX45" ca="1" si="88">IF(AND(AC15="",BX15=BX14),EX14,CONCATENATE(BX15,AC15))</f>
        <v>G45B</v>
      </c>
      <c r="EY15" s="940" t="b">
        <f t="shared" ca="1" si="73"/>
        <v>1</v>
      </c>
      <c r="EZ15" s="940">
        <f t="shared" ref="EZ15:EZ45" ca="1" si="89">IF(AB15="","",IF(VLOOKUP(BX15,$A$14:$F$45,6,FALSE)="",0,HLOOKUP(VLOOKUP(BX15,$A$14:$F$45,6,FALSE),$FG$4:$FI$5,2,TRUE)))</f>
        <v>5</v>
      </c>
      <c r="FA15" s="958" t="b">
        <f ca="1">IF(FB15="","",IF(FC15=0,FA14,FB15=FF15))</f>
        <v>1</v>
      </c>
      <c r="FB15" s="134">
        <f t="shared" ref="FB15:FB45" ca="1" si="90">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4"/>
        <v>93</v>
      </c>
      <c r="FD15" s="134">
        <f t="shared" ca="1" si="75"/>
        <v>480</v>
      </c>
      <c r="FE15" s="134">
        <f t="shared" ca="1" si="76"/>
        <v>93</v>
      </c>
      <c r="FF15" s="134">
        <f t="shared" ref="FF15:FF45" ca="1" si="91">SUM(FC15:FE15)+IF(FE15=0,FF16,0)</f>
        <v>666</v>
      </c>
      <c r="FN15" s="754" t="b">
        <v>0</v>
      </c>
      <c r="FO15" s="754" t="b">
        <f t="shared" si="77"/>
        <v>1</v>
      </c>
      <c r="FP15" s="754" t="b">
        <v>0</v>
      </c>
      <c r="FQ15" s="754" t="b">
        <f t="shared" ref="FQ15:FQ45" si="92">NOT(ISERROR(VLOOKUP(AB15,$A$14:$A$45,1,FALSE)))</f>
        <v>1</v>
      </c>
      <c r="FW15" s="2"/>
      <c r="FX15" s="2"/>
      <c r="FZ15" s="2"/>
      <c r="GA15" s="581">
        <f t="shared" si="78"/>
        <v>56</v>
      </c>
      <c r="GB15" s="623">
        <f t="shared" si="79"/>
        <v>0</v>
      </c>
      <c r="GC15" s="625">
        <f t="shared" si="80"/>
        <v>-0.25</v>
      </c>
      <c r="GD15" s="626">
        <f t="shared" si="81"/>
        <v>-0.25</v>
      </c>
      <c r="GE15" s="624">
        <f t="shared" si="82"/>
        <v>0</v>
      </c>
      <c r="GF15" s="582" t="str">
        <f t="shared" si="83"/>
        <v>G45</v>
      </c>
      <c r="GG15" s="692">
        <v>0</v>
      </c>
      <c r="GH15" s="1136">
        <v>0</v>
      </c>
      <c r="GI15" s="692"/>
      <c r="GJ15" s="1136"/>
      <c r="GK15" s="1641">
        <f t="shared" si="84"/>
        <v>671.5</v>
      </c>
      <c r="GL15" s="1641">
        <f t="shared" si="85"/>
        <v>671.5</v>
      </c>
      <c r="GM15" s="1642">
        <f>IF(ABS(GK15-GL15)&gt;='Job Info.'!$L$22,ABS(GK15-GL15),0)</f>
        <v>0</v>
      </c>
      <c r="HA15" s="1242" t="s">
        <v>1441</v>
      </c>
      <c r="HB15" s="1243">
        <v>1</v>
      </c>
      <c r="HC15" s="1243" t="s">
        <v>1731</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1730</v>
      </c>
      <c r="IB15" s="1247"/>
      <c r="IC15" s="1247"/>
      <c r="ID15" s="1262">
        <v>11.125</v>
      </c>
      <c r="IE15" s="1242" t="s">
        <v>1441</v>
      </c>
      <c r="IF15" s="1243" t="s">
        <v>35</v>
      </c>
      <c r="IG15" s="1244">
        <v>8</v>
      </c>
      <c r="IH15" s="1245">
        <v>0</v>
      </c>
      <c r="II15" s="1243">
        <v>5</v>
      </c>
      <c r="IJ15" s="1244">
        <v>8</v>
      </c>
      <c r="IK15" s="1245">
        <v>0</v>
      </c>
      <c r="IL15" s="1243"/>
      <c r="IM15" s="1243"/>
      <c r="IN15" s="1243">
        <v>5</v>
      </c>
      <c r="IO15" s="1243">
        <v>13</v>
      </c>
      <c r="IP15" s="1243">
        <v>4</v>
      </c>
      <c r="IQ15" s="1243">
        <v>2</v>
      </c>
      <c r="IR15" s="1243">
        <v>2</v>
      </c>
      <c r="IS15" s="1244"/>
      <c r="IT15" s="1245"/>
      <c r="IU15" s="1243"/>
      <c r="IV15" s="1243"/>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83" t="str">
        <f t="shared" si="0"/>
        <v>G46</v>
      </c>
      <c r="B16" s="2684">
        <f t="shared" si="0"/>
        <v>4</v>
      </c>
      <c r="C16" s="2685" t="s">
        <v>1731</v>
      </c>
      <c r="D16" s="2686">
        <f t="shared" si="1"/>
        <v>55</v>
      </c>
      <c r="E16" s="2687">
        <f t="shared" si="2"/>
        <v>11.5</v>
      </c>
      <c r="F16" s="2688">
        <f t="shared" si="3"/>
        <v>11.125</v>
      </c>
      <c r="G16" s="2689">
        <f t="shared" si="4"/>
        <v>0</v>
      </c>
      <c r="H16" s="2690">
        <f t="shared" si="5"/>
        <v>2.75</v>
      </c>
      <c r="I16" s="2691" t="str">
        <f t="shared" si="6"/>
        <v>R</v>
      </c>
      <c r="J16" s="2686">
        <f t="shared" si="7"/>
        <v>0</v>
      </c>
      <c r="K16" s="2690">
        <f t="shared" si="8"/>
        <v>2.75</v>
      </c>
      <c r="L16" s="2692" t="str">
        <f t="shared" si="9"/>
        <v>R</v>
      </c>
      <c r="M16" s="2693">
        <f t="shared" si="10"/>
        <v>7.5</v>
      </c>
      <c r="N16" s="2694">
        <f t="shared" si="10"/>
        <v>7.5</v>
      </c>
      <c r="O16" s="2689">
        <f t="shared" si="11"/>
        <v>0</v>
      </c>
      <c r="P16" s="2690">
        <f t="shared" si="12"/>
        <v>7.75</v>
      </c>
      <c r="Q16" s="2686">
        <f t="shared" si="13"/>
        <v>0</v>
      </c>
      <c r="R16" s="2687">
        <f t="shared" si="14"/>
        <v>7.75</v>
      </c>
      <c r="S16" s="2695">
        <f t="shared" si="15"/>
        <v>0</v>
      </c>
      <c r="T16" s="2690">
        <f t="shared" si="16"/>
        <v>7.25</v>
      </c>
      <c r="U16" s="2686">
        <f t="shared" si="17"/>
        <v>0</v>
      </c>
      <c r="V16" s="2690">
        <f t="shared" si="18"/>
        <v>7.25</v>
      </c>
      <c r="W16" s="2694">
        <f t="shared" si="19"/>
        <v>5</v>
      </c>
      <c r="X16" s="2696" t="str">
        <f t="shared" si="20"/>
        <v/>
      </c>
      <c r="Y16" s="2697" t="str">
        <f t="shared" si="21"/>
        <v/>
      </c>
      <c r="Z16" s="2698" t="s">
        <v>1909</v>
      </c>
      <c r="AA16" s="2758" t="str">
        <f t="shared" si="22"/>
        <v/>
      </c>
      <c r="AB16" s="2683" t="str">
        <f t="shared" si="23"/>
        <v>G46</v>
      </c>
      <c r="AC16" s="2691" t="str">
        <f t="shared" si="24"/>
        <v>B</v>
      </c>
      <c r="AD16" s="2686">
        <f t="shared" ca="1" si="25"/>
        <v>7</v>
      </c>
      <c r="AE16" s="2690">
        <f t="shared" ca="1" si="26"/>
        <v>9</v>
      </c>
      <c r="AF16" s="2691">
        <f t="shared" ca="1" si="27"/>
        <v>5</v>
      </c>
      <c r="AG16" s="2686">
        <f t="shared" ca="1" si="28"/>
        <v>8</v>
      </c>
      <c r="AH16" s="2690">
        <f t="shared" ca="1" si="29"/>
        <v>0</v>
      </c>
      <c r="AI16" s="2686">
        <f t="shared" ca="1" si="30"/>
        <v>7</v>
      </c>
      <c r="AJ16" s="2690">
        <f t="shared" ca="1" si="31"/>
        <v>9</v>
      </c>
      <c r="AK16" s="2732" t="str">
        <f t="shared" si="32"/>
        <v/>
      </c>
      <c r="AL16" s="2733" t="str">
        <f t="shared" si="33"/>
        <v/>
      </c>
      <c r="AM16" s="2734">
        <f t="shared" si="32"/>
        <v>5</v>
      </c>
      <c r="AN16" s="2691">
        <f t="shared" si="32"/>
        <v>13</v>
      </c>
      <c r="AO16" s="2694">
        <f t="shared" si="32"/>
        <v>4</v>
      </c>
      <c r="AP16" s="2693">
        <f t="shared" si="34"/>
        <v>1.75</v>
      </c>
      <c r="AQ16" s="2736">
        <f t="shared" si="34"/>
        <v>1.75</v>
      </c>
      <c r="AR16" s="2689">
        <f t="shared" si="35"/>
        <v>1</v>
      </c>
      <c r="AS16" s="2690">
        <f t="shared" si="36"/>
        <v>0</v>
      </c>
      <c r="AT16" s="2737" t="str">
        <f t="shared" si="37"/>
        <v/>
      </c>
      <c r="AU16" s="2738" t="str">
        <f t="shared" si="38"/>
        <v>B</v>
      </c>
      <c r="AV16" s="2695">
        <f t="shared" si="39"/>
        <v>55</v>
      </c>
      <c r="AW16" s="2690">
        <f t="shared" si="40"/>
        <v>0</v>
      </c>
      <c r="AX16" s="2737" t="str">
        <f t="shared" si="41"/>
        <v/>
      </c>
      <c r="AY16" s="2738" t="str">
        <f t="shared" si="42"/>
        <v>B</v>
      </c>
      <c r="AZ16" s="2695" t="str">
        <f t="shared" si="43"/>
        <v/>
      </c>
      <c r="BA16" s="2690" t="str">
        <f t="shared" si="44"/>
        <v/>
      </c>
      <c r="BB16" s="2737" t="str">
        <f t="shared" si="45"/>
        <v/>
      </c>
      <c r="BC16" s="2738" t="str">
        <f t="shared" si="46"/>
        <v/>
      </c>
      <c r="BD16" s="2695" t="str">
        <f t="shared" si="47"/>
        <v/>
      </c>
      <c r="BE16" s="2690" t="str">
        <f t="shared" si="48"/>
        <v/>
      </c>
      <c r="BF16" s="2737" t="str">
        <f t="shared" si="49"/>
        <v/>
      </c>
      <c r="BG16" s="2738" t="str">
        <f t="shared" si="50"/>
        <v/>
      </c>
      <c r="BH16" s="1417"/>
      <c r="BJ16" s="995" t="str">
        <f t="shared" ref="BJ16:BJ45" si="93">IF(AND(OR(ISBLANK(A16),A16=""),Z16&lt;&gt;""),BJ15,IF(OR(ISBLANK(A16),A16=""),"",A16))</f>
        <v>G46</v>
      </c>
      <c r="BK16" s="993" t="b">
        <f t="shared" si="51"/>
        <v>0</v>
      </c>
      <c r="BL16" s="1784" t="b">
        <v>0</v>
      </c>
      <c r="BM16" s="989">
        <f t="shared" si="52"/>
        <v>52</v>
      </c>
      <c r="BN16" s="989" t="str">
        <f t="shared" si="53"/>
        <v>G</v>
      </c>
      <c r="BO16" s="989">
        <f t="shared" si="54"/>
        <v>7</v>
      </c>
      <c r="BP16" s="989" t="str">
        <f t="shared" si="55"/>
        <v>13/6</v>
      </c>
      <c r="BQ16" s="989">
        <f t="shared" si="56"/>
        <v>2.4</v>
      </c>
      <c r="BR16" s="989" t="b">
        <f t="shared" si="57"/>
        <v>1</v>
      </c>
      <c r="BS16" s="1303">
        <f t="shared" si="58"/>
        <v>8.75</v>
      </c>
      <c r="BT16" s="990" t="str">
        <f t="shared" si="59"/>
        <v>Yes</v>
      </c>
      <c r="BU16" s="1303">
        <f t="shared" si="60"/>
        <v>8.75</v>
      </c>
      <c r="BV16" s="990" t="str">
        <f t="shared" si="61"/>
        <v>Yes</v>
      </c>
      <c r="BW16" s="991">
        <f t="shared" ca="1" si="62"/>
        <v>20</v>
      </c>
      <c r="BX16" s="991" t="str">
        <f t="shared" ca="1" si="63"/>
        <v>G46</v>
      </c>
      <c r="BY16" s="991" t="b">
        <f t="shared" ca="1" si="64"/>
        <v>0</v>
      </c>
      <c r="BZ16" s="991" t="b">
        <f t="shared" si="86"/>
        <v>0</v>
      </c>
      <c r="CB16" s="672" t="s">
        <v>1442</v>
      </c>
      <c r="CC16" s="1685">
        <v>4</v>
      </c>
      <c r="CD16" s="699" t="s">
        <v>1731</v>
      </c>
      <c r="CE16" s="700">
        <v>56</v>
      </c>
      <c r="CF16" s="701">
        <v>0</v>
      </c>
      <c r="CG16" s="672">
        <v>7</v>
      </c>
      <c r="CH16" s="713"/>
      <c r="CI16" s="714"/>
      <c r="CJ16" s="713"/>
      <c r="CK16" s="714"/>
      <c r="CL16" s="715"/>
      <c r="CM16" s="743"/>
      <c r="CN16" s="738"/>
      <c r="CO16" s="1552"/>
      <c r="CP16" s="910"/>
      <c r="CQ16" s="672">
        <v>7</v>
      </c>
      <c r="CR16" s="713"/>
      <c r="CS16" s="714"/>
      <c r="CT16" s="713"/>
      <c r="CU16" s="714"/>
      <c r="CV16" s="715"/>
      <c r="CW16" s="743"/>
      <c r="CX16" s="738"/>
      <c r="CY16" s="1552"/>
      <c r="CZ16" s="910"/>
      <c r="DA16" s="717"/>
      <c r="DB16" s="702">
        <v>12</v>
      </c>
      <c r="DC16" s="703"/>
      <c r="DD16" s="725"/>
      <c r="DE16" s="726">
        <v>11.125</v>
      </c>
      <c r="DF16" s="141"/>
      <c r="DG16" s="141"/>
      <c r="DH16" s="672" t="s">
        <v>1442</v>
      </c>
      <c r="DI16" s="673" t="s">
        <v>35</v>
      </c>
      <c r="DJ16" s="692">
        <v>8</v>
      </c>
      <c r="DK16" s="1332">
        <v>0</v>
      </c>
      <c r="DL16" s="674">
        <v>5</v>
      </c>
      <c r="DM16" s="693">
        <v>8</v>
      </c>
      <c r="DN16" s="1335">
        <v>0</v>
      </c>
      <c r="DO16" s="675"/>
      <c r="DP16" s="676"/>
      <c r="DQ16" s="1420">
        <v>5</v>
      </c>
      <c r="DR16" s="677">
        <v>13</v>
      </c>
      <c r="DS16" s="1420">
        <v>4</v>
      </c>
      <c r="DT16" s="1422">
        <v>2</v>
      </c>
      <c r="DU16" s="1423">
        <v>2</v>
      </c>
      <c r="DV16" s="2661">
        <v>1</v>
      </c>
      <c r="DW16" s="2664">
        <v>0.25</v>
      </c>
      <c r="DX16" s="679"/>
      <c r="DY16" s="2665" t="s">
        <v>35</v>
      </c>
      <c r="DZ16" s="2661">
        <v>55</v>
      </c>
      <c r="EA16" s="2664">
        <v>0.25</v>
      </c>
      <c r="EB16" s="679"/>
      <c r="EC16" s="2665" t="s">
        <v>35</v>
      </c>
      <c r="ED16" s="678"/>
      <c r="EE16" s="1337"/>
      <c r="EF16" s="679"/>
      <c r="EG16" s="674"/>
      <c r="EH16" s="678"/>
      <c r="EI16" s="1337"/>
      <c r="EJ16" s="679"/>
      <c r="EK16" s="680"/>
      <c r="EL16" s="241"/>
      <c r="EM16" s="1632" t="str">
        <f t="shared" si="65"/>
        <v>G46</v>
      </c>
      <c r="EN16" s="1429" t="str">
        <f t="shared" si="66"/>
        <v/>
      </c>
      <c r="EO16" s="1430" t="str">
        <f t="shared" si="67"/>
        <v/>
      </c>
      <c r="EP16" s="1431" t="str">
        <f t="shared" si="68"/>
        <v/>
      </c>
      <c r="EQ16" s="1435" t="str">
        <f t="shared" si="69"/>
        <v/>
      </c>
      <c r="ER16" s="1441" t="str">
        <f t="shared" si="70"/>
        <v/>
      </c>
      <c r="ES16" s="1442" t="str">
        <f t="shared" si="71"/>
        <v/>
      </c>
      <c r="ET16" s="1443" t="str">
        <f t="shared" si="72"/>
        <v/>
      </c>
      <c r="EU16" s="1444" t="str">
        <f t="shared" si="87"/>
        <v/>
      </c>
      <c r="EX16" s="503" t="str">
        <f t="shared" ca="1" si="88"/>
        <v>G46B</v>
      </c>
      <c r="EY16" s="940" t="b">
        <f t="shared" ca="1" si="73"/>
        <v>1</v>
      </c>
      <c r="EZ16" s="940">
        <f t="shared" ca="1" si="89"/>
        <v>5</v>
      </c>
      <c r="FA16" s="958" t="b">
        <f t="shared" ref="FA16:FA45" ca="1" si="94">IF(FB16="","",IF(FC16=0,FA15,FB16=FF16))</f>
        <v>1</v>
      </c>
      <c r="FB16" s="134">
        <f t="shared" ca="1" si="90"/>
        <v>666</v>
      </c>
      <c r="FC16" s="134">
        <f t="shared" ca="1" si="74"/>
        <v>93</v>
      </c>
      <c r="FD16" s="134">
        <f t="shared" ca="1" si="75"/>
        <v>480</v>
      </c>
      <c r="FE16" s="134">
        <f t="shared" ca="1" si="76"/>
        <v>93</v>
      </c>
      <c r="FF16" s="134">
        <f t="shared" ca="1" si="91"/>
        <v>666</v>
      </c>
      <c r="FN16" s="754" t="b">
        <v>0</v>
      </c>
      <c r="FO16" s="754" t="b">
        <f t="shared" si="77"/>
        <v>1</v>
      </c>
      <c r="FP16" s="754" t="b">
        <v>0</v>
      </c>
      <c r="FQ16" s="754" t="b">
        <f t="shared" si="92"/>
        <v>1</v>
      </c>
      <c r="FW16" s="2"/>
      <c r="FX16" s="2"/>
      <c r="FZ16" s="2"/>
      <c r="GA16" s="581">
        <f t="shared" si="78"/>
        <v>56</v>
      </c>
      <c r="GB16" s="623">
        <f t="shared" si="79"/>
        <v>0</v>
      </c>
      <c r="GC16" s="625">
        <f t="shared" si="80"/>
        <v>-0.25</v>
      </c>
      <c r="GD16" s="626">
        <f t="shared" si="81"/>
        <v>-0.25</v>
      </c>
      <c r="GE16" s="624">
        <f t="shared" si="82"/>
        <v>0</v>
      </c>
      <c r="GF16" s="582" t="str">
        <f t="shared" si="83"/>
        <v>G46</v>
      </c>
      <c r="GG16" s="692">
        <v>0</v>
      </c>
      <c r="GH16" s="1136">
        <v>0</v>
      </c>
      <c r="GI16" s="692"/>
      <c r="GJ16" s="1136"/>
      <c r="GK16" s="1641">
        <f t="shared" si="84"/>
        <v>671.5</v>
      </c>
      <c r="GL16" s="1641">
        <f t="shared" si="85"/>
        <v>671.5</v>
      </c>
      <c r="GM16" s="1642">
        <f>IF(ABS(GK16-GL16)&gt;='Job Info.'!$L$22,ABS(GK16-GL16),0)</f>
        <v>0</v>
      </c>
      <c r="GO16" s="140"/>
      <c r="GP16" s="140"/>
      <c r="GZ16" s="140"/>
      <c r="HA16" s="1242" t="s">
        <v>1442</v>
      </c>
      <c r="HB16" s="1243">
        <v>4</v>
      </c>
      <c r="HC16" s="1243" t="s">
        <v>1731</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12</v>
      </c>
      <c r="IB16" s="1247"/>
      <c r="IC16" s="1247"/>
      <c r="ID16" s="1262">
        <v>11.125</v>
      </c>
      <c r="IE16" s="1242" t="s">
        <v>1442</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5">IF(ISBLANK(JK16),IF(JL15=0,0,IF(VALUE(OFFSET(JK16,JL15*-1,0))&lt;JL15+1,0,JL15+1)),1)</f>
        <v>1</v>
      </c>
    </row>
    <row r="17" spans="1:272" ht="12.6" customHeight="1" x14ac:dyDescent="0.25">
      <c r="A17" s="2683" t="str">
        <f t="shared" si="0"/>
        <v>G47</v>
      </c>
      <c r="B17" s="2684">
        <f t="shared" si="0"/>
        <v>2</v>
      </c>
      <c r="C17" s="2685" t="s">
        <v>1731</v>
      </c>
      <c r="D17" s="2686">
        <f t="shared" si="1"/>
        <v>55</v>
      </c>
      <c r="E17" s="2687">
        <f t="shared" si="2"/>
        <v>5.25</v>
      </c>
      <c r="F17" s="2688">
        <f t="shared" si="3"/>
        <v>11.125</v>
      </c>
      <c r="G17" s="2689">
        <f t="shared" si="4"/>
        <v>0</v>
      </c>
      <c r="H17" s="2690">
        <f t="shared" si="5"/>
        <v>2.75</v>
      </c>
      <c r="I17" s="2691" t="str">
        <f t="shared" si="6"/>
        <v>R</v>
      </c>
      <c r="J17" s="2686" t="str">
        <f t="shared" si="7"/>
        <v/>
      </c>
      <c r="K17" s="2690" t="str">
        <f t="shared" si="8"/>
        <v/>
      </c>
      <c r="L17" s="2692" t="str">
        <f t="shared" si="9"/>
        <v/>
      </c>
      <c r="M17" s="2693">
        <f t="shared" si="10"/>
        <v>7.5</v>
      </c>
      <c r="N17" s="2694">
        <f t="shared" si="10"/>
        <v>7.5</v>
      </c>
      <c r="O17" s="2689">
        <f t="shared" si="11"/>
        <v>0</v>
      </c>
      <c r="P17" s="2690">
        <f t="shared" si="12"/>
        <v>7.75</v>
      </c>
      <c r="Q17" s="2686">
        <f t="shared" si="13"/>
        <v>0</v>
      </c>
      <c r="R17" s="2687">
        <f t="shared" si="14"/>
        <v>1.5</v>
      </c>
      <c r="S17" s="2695">
        <f t="shared" si="15"/>
        <v>0</v>
      </c>
      <c r="T17" s="2690">
        <f t="shared" si="16"/>
        <v>7.25</v>
      </c>
      <c r="U17" s="2686">
        <f t="shared" si="17"/>
        <v>0</v>
      </c>
      <c r="V17" s="2690">
        <f t="shared" si="18"/>
        <v>3</v>
      </c>
      <c r="W17" s="2694">
        <f t="shared" si="19"/>
        <v>5</v>
      </c>
      <c r="X17" s="2696" t="str">
        <f t="shared" si="20"/>
        <v/>
      </c>
      <c r="Y17" s="2697" t="str">
        <f t="shared" si="21"/>
        <v/>
      </c>
      <c r="Z17" s="2698" t="s">
        <v>1910</v>
      </c>
      <c r="AA17" s="2758" t="str">
        <f t="shared" si="22"/>
        <v/>
      </c>
      <c r="AB17" s="2683" t="str">
        <f t="shared" si="23"/>
        <v>G47</v>
      </c>
      <c r="AC17" s="2691" t="str">
        <f t="shared" si="24"/>
        <v>B</v>
      </c>
      <c r="AD17" s="2686">
        <f t="shared" ca="1" si="25"/>
        <v>7</v>
      </c>
      <c r="AE17" s="2690">
        <f t="shared" ca="1" si="26"/>
        <v>9</v>
      </c>
      <c r="AF17" s="2691">
        <f t="shared" ca="1" si="27"/>
        <v>5</v>
      </c>
      <c r="AG17" s="2686">
        <f t="shared" ca="1" si="28"/>
        <v>8</v>
      </c>
      <c r="AH17" s="2690">
        <f t="shared" ca="1" si="29"/>
        <v>0</v>
      </c>
      <c r="AI17" s="2686">
        <f t="shared" ca="1" si="30"/>
        <v>7</v>
      </c>
      <c r="AJ17" s="2690">
        <f t="shared" ca="1" si="31"/>
        <v>5.5</v>
      </c>
      <c r="AK17" s="2732" t="str">
        <f t="shared" si="32"/>
        <v/>
      </c>
      <c r="AL17" s="2733" t="str">
        <f t="shared" si="33"/>
        <v/>
      </c>
      <c r="AM17" s="2734">
        <f t="shared" si="32"/>
        <v>5</v>
      </c>
      <c r="AN17" s="2691">
        <f t="shared" si="32"/>
        <v>13</v>
      </c>
      <c r="AO17" s="2694">
        <f t="shared" si="32"/>
        <v>4</v>
      </c>
      <c r="AP17" s="2693">
        <f t="shared" si="34"/>
        <v>1.75</v>
      </c>
      <c r="AQ17" s="2736" t="str">
        <f t="shared" si="34"/>
        <v/>
      </c>
      <c r="AR17" s="2689">
        <f t="shared" si="35"/>
        <v>1</v>
      </c>
      <c r="AS17" s="2690">
        <f t="shared" si="36"/>
        <v>0</v>
      </c>
      <c r="AT17" s="2737" t="str">
        <f t="shared" si="37"/>
        <v/>
      </c>
      <c r="AU17" s="2738" t="str">
        <f t="shared" si="38"/>
        <v>B</v>
      </c>
      <c r="AV17" s="2695" t="str">
        <f t="shared" si="39"/>
        <v/>
      </c>
      <c r="AW17" s="2690" t="str">
        <f t="shared" si="40"/>
        <v/>
      </c>
      <c r="AX17" s="2737" t="str">
        <f t="shared" si="41"/>
        <v/>
      </c>
      <c r="AY17" s="2738" t="str">
        <f t="shared" si="42"/>
        <v/>
      </c>
      <c r="AZ17" s="2695" t="str">
        <f t="shared" si="43"/>
        <v/>
      </c>
      <c r="BA17" s="2690" t="str">
        <f t="shared" si="44"/>
        <v/>
      </c>
      <c r="BB17" s="2737" t="str">
        <f t="shared" si="45"/>
        <v/>
      </c>
      <c r="BC17" s="2738" t="str">
        <f t="shared" si="46"/>
        <v/>
      </c>
      <c r="BD17" s="2695" t="str">
        <f t="shared" si="47"/>
        <v/>
      </c>
      <c r="BE17" s="2690" t="str">
        <f t="shared" si="48"/>
        <v/>
      </c>
      <c r="BF17" s="2737" t="str">
        <f t="shared" si="49"/>
        <v/>
      </c>
      <c r="BG17" s="2738" t="str">
        <f t="shared" si="50"/>
        <v/>
      </c>
      <c r="BH17" s="1417"/>
      <c r="BJ17" s="995" t="str">
        <f t="shared" si="93"/>
        <v>G47</v>
      </c>
      <c r="BK17" s="993" t="b">
        <f t="shared" si="51"/>
        <v>0</v>
      </c>
      <c r="BL17" s="1784" t="b">
        <v>0</v>
      </c>
      <c r="BM17" s="989">
        <f t="shared" si="52"/>
        <v>52</v>
      </c>
      <c r="BN17" s="989" t="str">
        <f t="shared" si="53"/>
        <v>G</v>
      </c>
      <c r="BO17" s="989">
        <f t="shared" si="54"/>
        <v>7</v>
      </c>
      <c r="BP17" s="989" t="str">
        <f t="shared" si="55"/>
        <v>13/6</v>
      </c>
      <c r="BQ17" s="989">
        <f t="shared" si="56"/>
        <v>2.4</v>
      </c>
      <c r="BR17" s="989" t="b">
        <f t="shared" si="57"/>
        <v>1</v>
      </c>
      <c r="BS17" s="1303">
        <f t="shared" si="58"/>
        <v>8.75</v>
      </c>
      <c r="BT17" s="990" t="str">
        <f t="shared" si="59"/>
        <v>Yes</v>
      </c>
      <c r="BU17" s="1303">
        <f t="shared" si="60"/>
        <v>6</v>
      </c>
      <c r="BV17" s="990" t="str">
        <f t="shared" si="61"/>
        <v>Yes</v>
      </c>
      <c r="BW17" s="991">
        <f t="shared" ca="1" si="62"/>
        <v>16</v>
      </c>
      <c r="BX17" s="991" t="str">
        <f t="shared" ca="1" si="63"/>
        <v>G47</v>
      </c>
      <c r="BY17" s="991" t="b">
        <f t="shared" ca="1" si="64"/>
        <v>0</v>
      </c>
      <c r="BZ17" s="991" t="b">
        <f t="shared" si="86"/>
        <v>0</v>
      </c>
      <c r="CB17" s="672" t="s">
        <v>1443</v>
      </c>
      <c r="CC17" s="1685">
        <v>2</v>
      </c>
      <c r="CD17" s="699" t="s">
        <v>1731</v>
      </c>
      <c r="CE17" s="700">
        <v>56</v>
      </c>
      <c r="CF17" s="701">
        <v>0</v>
      </c>
      <c r="CG17" s="672">
        <v>7</v>
      </c>
      <c r="CH17" s="713"/>
      <c r="CI17" s="714"/>
      <c r="CJ17" s="713"/>
      <c r="CK17" s="714"/>
      <c r="CL17" s="715"/>
      <c r="CM17" s="743"/>
      <c r="CN17" s="738"/>
      <c r="CO17" s="1552"/>
      <c r="CP17" s="910"/>
      <c r="CQ17" s="672">
        <v>18</v>
      </c>
      <c r="CR17" s="713"/>
      <c r="CS17" s="714"/>
      <c r="CT17" s="713"/>
      <c r="CU17" s="714"/>
      <c r="CV17" s="715"/>
      <c r="CW17" s="743"/>
      <c r="CX17" s="738"/>
      <c r="CY17" s="1552"/>
      <c r="CZ17" s="910"/>
      <c r="DA17" s="717"/>
      <c r="DB17" s="702">
        <v>12</v>
      </c>
      <c r="DC17" s="703" t="s">
        <v>158</v>
      </c>
      <c r="DD17" s="725"/>
      <c r="DE17" s="726">
        <v>11.125</v>
      </c>
      <c r="DF17" s="141"/>
      <c r="DG17" s="141"/>
      <c r="DH17" s="672" t="s">
        <v>1443</v>
      </c>
      <c r="DI17" s="673" t="s">
        <v>35</v>
      </c>
      <c r="DJ17" s="692">
        <v>8</v>
      </c>
      <c r="DK17" s="1332">
        <v>0</v>
      </c>
      <c r="DL17" s="674">
        <v>5</v>
      </c>
      <c r="DM17" s="693">
        <v>8</v>
      </c>
      <c r="DN17" s="1335">
        <v>0</v>
      </c>
      <c r="DO17" s="675"/>
      <c r="DP17" s="676"/>
      <c r="DQ17" s="1420">
        <v>5</v>
      </c>
      <c r="DR17" s="677">
        <v>13</v>
      </c>
      <c r="DS17" s="1420">
        <v>4</v>
      </c>
      <c r="DT17" s="1422">
        <v>2</v>
      </c>
      <c r="DU17" s="1423"/>
      <c r="DV17" s="2661">
        <v>1</v>
      </c>
      <c r="DW17" s="2664">
        <v>0.25</v>
      </c>
      <c r="DX17" s="679"/>
      <c r="DY17" s="2665" t="s">
        <v>35</v>
      </c>
      <c r="DZ17" s="678"/>
      <c r="EA17" s="1337"/>
      <c r="EB17" s="679"/>
      <c r="EC17" s="674"/>
      <c r="ED17" s="678"/>
      <c r="EE17" s="1337"/>
      <c r="EF17" s="679"/>
      <c r="EG17" s="674"/>
      <c r="EH17" s="678"/>
      <c r="EI17" s="1337"/>
      <c r="EJ17" s="679"/>
      <c r="EK17" s="680"/>
      <c r="EL17" s="241"/>
      <c r="EM17" s="1632" t="str">
        <f t="shared" si="65"/>
        <v>G47</v>
      </c>
      <c r="EN17" s="1429" t="str">
        <f t="shared" si="66"/>
        <v/>
      </c>
      <c r="EO17" s="1430" t="str">
        <f t="shared" si="67"/>
        <v/>
      </c>
      <c r="EP17" s="1431" t="str">
        <f t="shared" si="68"/>
        <v/>
      </c>
      <c r="EQ17" s="1435" t="str">
        <f t="shared" si="69"/>
        <v/>
      </c>
      <c r="ER17" s="1441" t="str">
        <f t="shared" si="70"/>
        <v/>
      </c>
      <c r="ES17" s="1442" t="str">
        <f t="shared" si="71"/>
        <v/>
      </c>
      <c r="ET17" s="1443" t="str">
        <f t="shared" si="72"/>
        <v/>
      </c>
      <c r="EU17" s="1444" t="str">
        <f t="shared" si="87"/>
        <v/>
      </c>
      <c r="EX17" s="503" t="str">
        <f t="shared" ca="1" si="88"/>
        <v>G47B</v>
      </c>
      <c r="EY17" s="940" t="b">
        <f t="shared" ca="1" si="73"/>
        <v>1</v>
      </c>
      <c r="EZ17" s="940">
        <f t="shared" ca="1" si="89"/>
        <v>5</v>
      </c>
      <c r="FA17" s="958" t="b">
        <f t="shared" ca="1" si="94"/>
        <v>1</v>
      </c>
      <c r="FB17" s="134">
        <f t="shared" ca="1" si="90"/>
        <v>662.5</v>
      </c>
      <c r="FC17" s="134">
        <f t="shared" ca="1" si="74"/>
        <v>93</v>
      </c>
      <c r="FD17" s="134">
        <f t="shared" ca="1" si="75"/>
        <v>480</v>
      </c>
      <c r="FE17" s="134">
        <f t="shared" ca="1" si="76"/>
        <v>89.5</v>
      </c>
      <c r="FF17" s="134">
        <f t="shared" ca="1" si="91"/>
        <v>662.5</v>
      </c>
      <c r="FN17" s="754" t="b">
        <v>0</v>
      </c>
      <c r="FO17" s="754" t="b">
        <f t="shared" si="77"/>
        <v>1</v>
      </c>
      <c r="FP17" s="754" t="b">
        <v>0</v>
      </c>
      <c r="FQ17" s="754" t="b">
        <f t="shared" si="92"/>
        <v>1</v>
      </c>
      <c r="FW17" s="2"/>
      <c r="FX17" s="2"/>
      <c r="FZ17" s="2"/>
      <c r="GA17" s="581">
        <f t="shared" si="78"/>
        <v>56</v>
      </c>
      <c r="GB17" s="623">
        <f t="shared" si="79"/>
        <v>0</v>
      </c>
      <c r="GC17" s="625">
        <f t="shared" si="80"/>
        <v>-0.25</v>
      </c>
      <c r="GD17" s="626">
        <f t="shared" si="81"/>
        <v>-6.5</v>
      </c>
      <c r="GE17" s="624">
        <f t="shared" si="82"/>
        <v>0</v>
      </c>
      <c r="GF17" s="582" t="str">
        <f t="shared" si="83"/>
        <v>G47</v>
      </c>
      <c r="GG17" s="692">
        <v>0</v>
      </c>
      <c r="GH17" s="1136">
        <v>0</v>
      </c>
      <c r="GI17" s="692"/>
      <c r="GJ17" s="1136"/>
      <c r="GK17" s="1641">
        <f t="shared" si="84"/>
        <v>665.25</v>
      </c>
      <c r="GL17" s="1641">
        <f t="shared" si="85"/>
        <v>665.25</v>
      </c>
      <c r="GM17" s="1642">
        <f>IF(ABS(GK17-GL17)&gt;='Job Info.'!$L$22,ABS(GK17-GL17),0)</f>
        <v>0</v>
      </c>
      <c r="HA17" s="1242" t="s">
        <v>1443</v>
      </c>
      <c r="HB17" s="1243">
        <v>2</v>
      </c>
      <c r="HC17" s="1243" t="s">
        <v>1731</v>
      </c>
      <c r="HD17" s="1244">
        <v>56</v>
      </c>
      <c r="HE17" s="1245">
        <v>0</v>
      </c>
      <c r="HF17" s="1243">
        <v>7</v>
      </c>
      <c r="HG17" s="1243"/>
      <c r="HH17" s="1243"/>
      <c r="HI17" s="1243"/>
      <c r="HJ17" s="1243"/>
      <c r="HK17" s="1243"/>
      <c r="HL17" s="1243"/>
      <c r="HM17" s="1243"/>
      <c r="HN17" s="1243"/>
      <c r="HO17" s="1243"/>
      <c r="HP17" s="1243">
        <v>18</v>
      </c>
      <c r="HQ17" s="1243"/>
      <c r="HR17" s="1243"/>
      <c r="HS17" s="1243"/>
      <c r="HT17" s="1243"/>
      <c r="HU17" s="1243"/>
      <c r="HV17" s="1243"/>
      <c r="HW17" s="1243"/>
      <c r="HX17" s="1243"/>
      <c r="HY17" s="1247"/>
      <c r="HZ17" s="1247"/>
      <c r="IA17" s="1247">
        <v>12</v>
      </c>
      <c r="IB17" s="1247" t="s">
        <v>158</v>
      </c>
      <c r="IC17" s="1247"/>
      <c r="ID17" s="1262">
        <v>11.125</v>
      </c>
      <c r="IE17" s="1242" t="s">
        <v>1443</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5"/>
        <v>1</v>
      </c>
    </row>
    <row r="18" spans="1:272" ht="12.6" customHeight="1" x14ac:dyDescent="0.25">
      <c r="A18" s="2683" t="str">
        <f t="shared" si="0"/>
        <v>G48</v>
      </c>
      <c r="B18" s="2684">
        <f t="shared" si="0"/>
        <v>1</v>
      </c>
      <c r="C18" s="2685" t="s">
        <v>1731</v>
      </c>
      <c r="D18" s="2686">
        <f t="shared" si="1"/>
        <v>55</v>
      </c>
      <c r="E18" s="2687">
        <f t="shared" si="2"/>
        <v>5.25</v>
      </c>
      <c r="F18" s="2688">
        <f t="shared" si="3"/>
        <v>11.125</v>
      </c>
      <c r="G18" s="2689">
        <f t="shared" si="4"/>
        <v>0</v>
      </c>
      <c r="H18" s="2690">
        <f t="shared" si="5"/>
        <v>2.75</v>
      </c>
      <c r="I18" s="2691" t="str">
        <f t="shared" si="6"/>
        <v>R</v>
      </c>
      <c r="J18" s="2686" t="str">
        <f t="shared" si="7"/>
        <v/>
      </c>
      <c r="K18" s="2690" t="str">
        <f t="shared" si="8"/>
        <v/>
      </c>
      <c r="L18" s="2692" t="str">
        <f t="shared" si="9"/>
        <v/>
      </c>
      <c r="M18" s="2693">
        <f t="shared" si="10"/>
        <v>7.5</v>
      </c>
      <c r="N18" s="2694">
        <f t="shared" si="10"/>
        <v>7.5</v>
      </c>
      <c r="O18" s="2689">
        <f t="shared" si="11"/>
        <v>0</v>
      </c>
      <c r="P18" s="2690">
        <f t="shared" si="12"/>
        <v>7.75</v>
      </c>
      <c r="Q18" s="2686">
        <f t="shared" si="13"/>
        <v>0</v>
      </c>
      <c r="R18" s="2687">
        <f t="shared" si="14"/>
        <v>1.5</v>
      </c>
      <c r="S18" s="2695">
        <f t="shared" si="15"/>
        <v>0</v>
      </c>
      <c r="T18" s="2690">
        <f t="shared" si="16"/>
        <v>7.25</v>
      </c>
      <c r="U18" s="2686">
        <f t="shared" si="17"/>
        <v>0</v>
      </c>
      <c r="V18" s="2690">
        <f t="shared" si="18"/>
        <v>3</v>
      </c>
      <c r="W18" s="2694">
        <f t="shared" si="19"/>
        <v>5</v>
      </c>
      <c r="X18" s="2696" t="str">
        <f t="shared" si="20"/>
        <v/>
      </c>
      <c r="Y18" s="2697" t="str">
        <f t="shared" si="21"/>
        <v/>
      </c>
      <c r="Z18" s="2698" t="s">
        <v>1911</v>
      </c>
      <c r="AA18" s="2758" t="str">
        <f t="shared" si="22"/>
        <v/>
      </c>
      <c r="AB18" s="2683" t="str">
        <f t="shared" si="23"/>
        <v>G48</v>
      </c>
      <c r="AC18" s="2691" t="str">
        <f t="shared" si="24"/>
        <v>B</v>
      </c>
      <c r="AD18" s="2686">
        <f t="shared" ca="1" si="25"/>
        <v>7</v>
      </c>
      <c r="AE18" s="2690">
        <f t="shared" ca="1" si="26"/>
        <v>9</v>
      </c>
      <c r="AF18" s="2691">
        <f t="shared" ca="1" si="27"/>
        <v>5</v>
      </c>
      <c r="AG18" s="2686">
        <f t="shared" ca="1" si="28"/>
        <v>8</v>
      </c>
      <c r="AH18" s="2690">
        <f t="shared" ca="1" si="29"/>
        <v>0</v>
      </c>
      <c r="AI18" s="2686">
        <f t="shared" ca="1" si="30"/>
        <v>7</v>
      </c>
      <c r="AJ18" s="2690">
        <f t="shared" ca="1" si="31"/>
        <v>5.5</v>
      </c>
      <c r="AK18" s="2732" t="str">
        <f t="shared" si="32"/>
        <v/>
      </c>
      <c r="AL18" s="2733" t="str">
        <f t="shared" si="33"/>
        <v/>
      </c>
      <c r="AM18" s="2734">
        <f t="shared" si="32"/>
        <v>5</v>
      </c>
      <c r="AN18" s="2691">
        <f t="shared" si="32"/>
        <v>13</v>
      </c>
      <c r="AO18" s="2694">
        <f t="shared" si="32"/>
        <v>4</v>
      </c>
      <c r="AP18" s="2693">
        <f t="shared" si="34"/>
        <v>1.75</v>
      </c>
      <c r="AQ18" s="2736" t="str">
        <f t="shared" si="34"/>
        <v/>
      </c>
      <c r="AR18" s="2689">
        <f t="shared" si="35"/>
        <v>1</v>
      </c>
      <c r="AS18" s="2690">
        <f t="shared" si="36"/>
        <v>0</v>
      </c>
      <c r="AT18" s="2737" t="str">
        <f t="shared" si="37"/>
        <v/>
      </c>
      <c r="AU18" s="2738" t="str">
        <f t="shared" si="38"/>
        <v>B</v>
      </c>
      <c r="AV18" s="2695" t="str">
        <f t="shared" si="39"/>
        <v/>
      </c>
      <c r="AW18" s="2690" t="str">
        <f t="shared" si="40"/>
        <v/>
      </c>
      <c r="AX18" s="2737" t="str">
        <f t="shared" si="41"/>
        <v/>
      </c>
      <c r="AY18" s="2738" t="str">
        <f t="shared" si="42"/>
        <v/>
      </c>
      <c r="AZ18" s="2695" t="str">
        <f t="shared" si="43"/>
        <v/>
      </c>
      <c r="BA18" s="2690" t="str">
        <f t="shared" si="44"/>
        <v/>
      </c>
      <c r="BB18" s="2737" t="str">
        <f t="shared" si="45"/>
        <v/>
      </c>
      <c r="BC18" s="2738" t="str">
        <f t="shared" si="46"/>
        <v/>
      </c>
      <c r="BD18" s="2695" t="str">
        <f t="shared" si="47"/>
        <v/>
      </c>
      <c r="BE18" s="2690" t="str">
        <f t="shared" si="48"/>
        <v/>
      </c>
      <c r="BF18" s="2737" t="str">
        <f t="shared" si="49"/>
        <v/>
      </c>
      <c r="BG18" s="2738" t="str">
        <f t="shared" si="50"/>
        <v/>
      </c>
      <c r="BH18" s="1417"/>
      <c r="BJ18" s="995" t="str">
        <f t="shared" si="93"/>
        <v>G48</v>
      </c>
      <c r="BK18" s="993" t="b">
        <f t="shared" si="51"/>
        <v>0</v>
      </c>
      <c r="BL18" s="1784" t="b">
        <v>0</v>
      </c>
      <c r="BM18" s="989">
        <f t="shared" si="52"/>
        <v>52</v>
      </c>
      <c r="BN18" s="989" t="str">
        <f t="shared" si="53"/>
        <v>G</v>
      </c>
      <c r="BO18" s="989">
        <f t="shared" si="54"/>
        <v>7</v>
      </c>
      <c r="BP18" s="989" t="str">
        <f t="shared" si="55"/>
        <v>13/6</v>
      </c>
      <c r="BQ18" s="989">
        <f t="shared" si="56"/>
        <v>2.4</v>
      </c>
      <c r="BR18" s="989" t="b">
        <f t="shared" si="57"/>
        <v>1</v>
      </c>
      <c r="BS18" s="1303">
        <f t="shared" si="58"/>
        <v>8.75</v>
      </c>
      <c r="BT18" s="990" t="str">
        <f t="shared" si="59"/>
        <v>Yes</v>
      </c>
      <c r="BU18" s="1303">
        <f t="shared" si="60"/>
        <v>6</v>
      </c>
      <c r="BV18" s="990" t="str">
        <f t="shared" si="61"/>
        <v>Yes</v>
      </c>
      <c r="BW18" s="991">
        <f t="shared" ca="1" si="62"/>
        <v>16</v>
      </c>
      <c r="BX18" s="991" t="str">
        <f t="shared" ca="1" si="63"/>
        <v>G48</v>
      </c>
      <c r="BY18" s="991" t="b">
        <f t="shared" ca="1" si="64"/>
        <v>0</v>
      </c>
      <c r="BZ18" s="991" t="b">
        <f t="shared" si="86"/>
        <v>0</v>
      </c>
      <c r="CB18" s="672" t="s">
        <v>1444</v>
      </c>
      <c r="CC18" s="1685">
        <v>1</v>
      </c>
      <c r="CD18" s="699" t="s">
        <v>1731</v>
      </c>
      <c r="CE18" s="700">
        <v>56</v>
      </c>
      <c r="CF18" s="701">
        <v>0</v>
      </c>
      <c r="CG18" s="672">
        <v>7</v>
      </c>
      <c r="CH18" s="713"/>
      <c r="CI18" s="714"/>
      <c r="CJ18" s="713"/>
      <c r="CK18" s="714"/>
      <c r="CL18" s="715"/>
      <c r="CM18" s="743"/>
      <c r="CN18" s="738"/>
      <c r="CO18" s="1552"/>
      <c r="CP18" s="910"/>
      <c r="CQ18" s="672">
        <v>18</v>
      </c>
      <c r="CR18" s="713"/>
      <c r="CS18" s="714"/>
      <c r="CT18" s="713"/>
      <c r="CU18" s="714"/>
      <c r="CV18" s="715"/>
      <c r="CW18" s="743"/>
      <c r="CX18" s="738"/>
      <c r="CY18" s="1552"/>
      <c r="CZ18" s="910"/>
      <c r="DA18" s="717"/>
      <c r="DB18" s="702" t="s">
        <v>1734</v>
      </c>
      <c r="DC18" s="703" t="s">
        <v>158</v>
      </c>
      <c r="DD18" s="725"/>
      <c r="DE18" s="726">
        <v>11.125</v>
      </c>
      <c r="DF18" s="141"/>
      <c r="DG18" s="141"/>
      <c r="DH18" s="672" t="s">
        <v>1444</v>
      </c>
      <c r="DI18" s="673" t="s">
        <v>35</v>
      </c>
      <c r="DJ18" s="692">
        <v>8</v>
      </c>
      <c r="DK18" s="1332">
        <v>0</v>
      </c>
      <c r="DL18" s="674">
        <v>5</v>
      </c>
      <c r="DM18" s="693">
        <v>8</v>
      </c>
      <c r="DN18" s="1335">
        <v>0</v>
      </c>
      <c r="DO18" s="675"/>
      <c r="DP18" s="676"/>
      <c r="DQ18" s="1420">
        <v>5</v>
      </c>
      <c r="DR18" s="677">
        <v>13</v>
      </c>
      <c r="DS18" s="1420">
        <v>4</v>
      </c>
      <c r="DT18" s="1422">
        <v>2</v>
      </c>
      <c r="DU18" s="1423"/>
      <c r="DV18" s="2661">
        <v>1</v>
      </c>
      <c r="DW18" s="2664">
        <v>0.25</v>
      </c>
      <c r="DX18" s="679"/>
      <c r="DY18" s="2665" t="s">
        <v>35</v>
      </c>
      <c r="DZ18" s="678"/>
      <c r="EA18" s="1337"/>
      <c r="EB18" s="679"/>
      <c r="EC18" s="674"/>
      <c r="ED18" s="678"/>
      <c r="EE18" s="1337"/>
      <c r="EF18" s="679"/>
      <c r="EG18" s="674"/>
      <c r="EH18" s="678"/>
      <c r="EI18" s="1337"/>
      <c r="EJ18" s="679"/>
      <c r="EK18" s="680"/>
      <c r="EL18" s="241"/>
      <c r="EM18" s="1632" t="str">
        <f t="shared" si="65"/>
        <v>G48</v>
      </c>
      <c r="EN18" s="1429" t="str">
        <f t="shared" si="66"/>
        <v/>
      </c>
      <c r="EO18" s="1430" t="str">
        <f t="shared" si="67"/>
        <v/>
      </c>
      <c r="EP18" s="1431" t="str">
        <f t="shared" si="68"/>
        <v/>
      </c>
      <c r="EQ18" s="1435" t="str">
        <f t="shared" si="69"/>
        <v/>
      </c>
      <c r="ER18" s="1441" t="str">
        <f t="shared" si="70"/>
        <v/>
      </c>
      <c r="ES18" s="1442" t="str">
        <f t="shared" si="71"/>
        <v/>
      </c>
      <c r="ET18" s="1443" t="str">
        <f t="shared" si="72"/>
        <v/>
      </c>
      <c r="EU18" s="1444" t="str">
        <f t="shared" si="87"/>
        <v/>
      </c>
      <c r="EX18" s="503" t="str">
        <f t="shared" ca="1" si="88"/>
        <v>G48B</v>
      </c>
      <c r="EY18" s="940" t="b">
        <f t="shared" ca="1" si="73"/>
        <v>1</v>
      </c>
      <c r="EZ18" s="940">
        <f t="shared" ca="1" si="89"/>
        <v>5</v>
      </c>
      <c r="FA18" s="958" t="b">
        <f t="shared" ca="1" si="94"/>
        <v>1</v>
      </c>
      <c r="FB18" s="134">
        <f t="shared" ca="1" si="90"/>
        <v>662.5</v>
      </c>
      <c r="FC18" s="134">
        <f t="shared" ca="1" si="74"/>
        <v>93</v>
      </c>
      <c r="FD18" s="134">
        <f t="shared" ca="1" si="75"/>
        <v>480</v>
      </c>
      <c r="FE18" s="134">
        <f t="shared" ca="1" si="76"/>
        <v>89.5</v>
      </c>
      <c r="FF18" s="134">
        <f t="shared" ca="1" si="91"/>
        <v>662.5</v>
      </c>
      <c r="FN18" s="754" t="b">
        <v>0</v>
      </c>
      <c r="FO18" s="754" t="b">
        <f t="shared" si="77"/>
        <v>1</v>
      </c>
      <c r="FP18" s="754" t="b">
        <v>0</v>
      </c>
      <c r="FQ18" s="754" t="b">
        <f t="shared" si="92"/>
        <v>1</v>
      </c>
      <c r="FW18" s="2"/>
      <c r="FX18" s="2"/>
      <c r="FZ18" s="2"/>
      <c r="GA18" s="581">
        <f t="shared" si="78"/>
        <v>56</v>
      </c>
      <c r="GB18" s="623">
        <f t="shared" si="79"/>
        <v>0</v>
      </c>
      <c r="GC18" s="625">
        <f t="shared" si="80"/>
        <v>-0.25</v>
      </c>
      <c r="GD18" s="626">
        <f t="shared" si="81"/>
        <v>-6.5</v>
      </c>
      <c r="GE18" s="624">
        <f t="shared" si="82"/>
        <v>0</v>
      </c>
      <c r="GF18" s="582" t="str">
        <f t="shared" si="83"/>
        <v>G48</v>
      </c>
      <c r="GG18" s="692">
        <v>0</v>
      </c>
      <c r="GH18" s="1136">
        <v>0</v>
      </c>
      <c r="GI18" s="692"/>
      <c r="GJ18" s="1136"/>
      <c r="GK18" s="1641">
        <f t="shared" si="84"/>
        <v>665.25</v>
      </c>
      <c r="GL18" s="1641">
        <f t="shared" si="85"/>
        <v>665.25</v>
      </c>
      <c r="GM18" s="1642">
        <f>IF(ABS(GK18-GL18)&gt;='Job Info.'!$L$22,ABS(GK18-GL18),0)</f>
        <v>0</v>
      </c>
      <c r="HA18" s="1242" t="s">
        <v>1444</v>
      </c>
      <c r="HB18" s="1243">
        <v>1</v>
      </c>
      <c r="HC18" s="1243" t="s">
        <v>1731</v>
      </c>
      <c r="HD18" s="1244">
        <v>56</v>
      </c>
      <c r="HE18" s="1245">
        <v>0</v>
      </c>
      <c r="HF18" s="1243">
        <v>7</v>
      </c>
      <c r="HG18" s="1243"/>
      <c r="HH18" s="1243"/>
      <c r="HI18" s="1243"/>
      <c r="HJ18" s="1243"/>
      <c r="HK18" s="1243"/>
      <c r="HL18" s="1243"/>
      <c r="HM18" s="1243"/>
      <c r="HN18" s="1243"/>
      <c r="HO18" s="1243"/>
      <c r="HP18" s="1243">
        <v>18</v>
      </c>
      <c r="HQ18" s="1243"/>
      <c r="HR18" s="1243"/>
      <c r="HS18" s="1243"/>
      <c r="HT18" s="1243"/>
      <c r="HU18" s="1243"/>
      <c r="HV18" s="1243"/>
      <c r="HW18" s="1243"/>
      <c r="HX18" s="1243"/>
      <c r="HY18" s="1247"/>
      <c r="HZ18" s="1247"/>
      <c r="IA18" s="1247" t="s">
        <v>1734</v>
      </c>
      <c r="IB18" s="1247" t="s">
        <v>158</v>
      </c>
      <c r="IC18" s="1247"/>
      <c r="ID18" s="1262">
        <v>11.125</v>
      </c>
      <c r="IE18" s="1242" t="s">
        <v>1444</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5"/>
        <v>1</v>
      </c>
    </row>
    <row r="19" spans="1:272" ht="12.6" customHeight="1" x14ac:dyDescent="0.25">
      <c r="A19" s="2683" t="str">
        <f t="shared" si="0"/>
        <v>G49</v>
      </c>
      <c r="B19" s="2684">
        <f t="shared" si="0"/>
        <v>1</v>
      </c>
      <c r="C19" s="2685" t="s">
        <v>1731</v>
      </c>
      <c r="D19" s="2686">
        <f t="shared" si="1"/>
        <v>55</v>
      </c>
      <c r="E19" s="2687">
        <f t="shared" si="2"/>
        <v>11.5</v>
      </c>
      <c r="F19" s="2688">
        <f t="shared" si="3"/>
        <v>11.125</v>
      </c>
      <c r="G19" s="2689">
        <f t="shared" si="4"/>
        <v>0</v>
      </c>
      <c r="H19" s="2690">
        <f t="shared" si="5"/>
        <v>2.75</v>
      </c>
      <c r="I19" s="2691" t="str">
        <f t="shared" si="6"/>
        <v>R</v>
      </c>
      <c r="J19" s="2686">
        <f t="shared" si="7"/>
        <v>0</v>
      </c>
      <c r="K19" s="2690">
        <f t="shared" si="8"/>
        <v>2.75</v>
      </c>
      <c r="L19" s="2692" t="str">
        <f t="shared" si="9"/>
        <v>R</v>
      </c>
      <c r="M19" s="2693">
        <f t="shared" si="10"/>
        <v>7.5</v>
      </c>
      <c r="N19" s="2694">
        <f t="shared" si="10"/>
        <v>7.5</v>
      </c>
      <c r="O19" s="2689">
        <f t="shared" si="11"/>
        <v>0</v>
      </c>
      <c r="P19" s="2690">
        <f t="shared" si="12"/>
        <v>7.75</v>
      </c>
      <c r="Q19" s="2686">
        <f t="shared" si="13"/>
        <v>0</v>
      </c>
      <c r="R19" s="2687">
        <f t="shared" si="14"/>
        <v>7.75</v>
      </c>
      <c r="S19" s="2695">
        <f t="shared" si="15"/>
        <v>0</v>
      </c>
      <c r="T19" s="2690">
        <f t="shared" si="16"/>
        <v>7.25</v>
      </c>
      <c r="U19" s="2686">
        <f t="shared" si="17"/>
        <v>0</v>
      </c>
      <c r="V19" s="2690">
        <f t="shared" si="18"/>
        <v>7.25</v>
      </c>
      <c r="W19" s="2694">
        <f t="shared" si="19"/>
        <v>5</v>
      </c>
      <c r="X19" s="2696" t="str">
        <f t="shared" si="20"/>
        <v/>
      </c>
      <c r="Y19" s="2697" t="str">
        <f t="shared" si="21"/>
        <v/>
      </c>
      <c r="Z19" s="2698" t="s">
        <v>1912</v>
      </c>
      <c r="AA19" s="2758" t="str">
        <f t="shared" si="22"/>
        <v/>
      </c>
      <c r="AB19" s="2683" t="str">
        <f t="shared" si="23"/>
        <v>G49</v>
      </c>
      <c r="AC19" s="2691" t="str">
        <f t="shared" si="24"/>
        <v>B</v>
      </c>
      <c r="AD19" s="2686">
        <f t="shared" ca="1" si="25"/>
        <v>7</v>
      </c>
      <c r="AE19" s="2690">
        <f t="shared" ca="1" si="26"/>
        <v>9</v>
      </c>
      <c r="AF19" s="2691">
        <f t="shared" ca="1" si="27"/>
        <v>5</v>
      </c>
      <c r="AG19" s="2686">
        <f t="shared" ca="1" si="28"/>
        <v>8</v>
      </c>
      <c r="AH19" s="2690">
        <f t="shared" ca="1" si="29"/>
        <v>0</v>
      </c>
      <c r="AI19" s="2686">
        <f t="shared" ca="1" si="30"/>
        <v>7</v>
      </c>
      <c r="AJ19" s="2690">
        <f t="shared" ca="1" si="31"/>
        <v>9</v>
      </c>
      <c r="AK19" s="2732" t="str">
        <f t="shared" si="32"/>
        <v/>
      </c>
      <c r="AL19" s="2733" t="str">
        <f t="shared" si="33"/>
        <v/>
      </c>
      <c r="AM19" s="2734">
        <f t="shared" si="32"/>
        <v>5</v>
      </c>
      <c r="AN19" s="2691">
        <f t="shared" si="32"/>
        <v>13</v>
      </c>
      <c r="AO19" s="2694">
        <f t="shared" si="32"/>
        <v>4</v>
      </c>
      <c r="AP19" s="2693">
        <f t="shared" si="34"/>
        <v>1.75</v>
      </c>
      <c r="AQ19" s="2736">
        <f t="shared" si="34"/>
        <v>1.75</v>
      </c>
      <c r="AR19" s="2689">
        <f t="shared" si="35"/>
        <v>1</v>
      </c>
      <c r="AS19" s="2690">
        <f t="shared" si="36"/>
        <v>0</v>
      </c>
      <c r="AT19" s="2737" t="str">
        <f t="shared" si="37"/>
        <v/>
      </c>
      <c r="AU19" s="2738" t="str">
        <f t="shared" si="38"/>
        <v>B</v>
      </c>
      <c r="AV19" s="2695">
        <f t="shared" si="39"/>
        <v>55</v>
      </c>
      <c r="AW19" s="2690">
        <f t="shared" si="40"/>
        <v>0</v>
      </c>
      <c r="AX19" s="2737" t="str">
        <f t="shared" si="41"/>
        <v/>
      </c>
      <c r="AY19" s="2738" t="str">
        <f t="shared" si="42"/>
        <v>B</v>
      </c>
      <c r="AZ19" s="2695" t="str">
        <f t="shared" si="43"/>
        <v/>
      </c>
      <c r="BA19" s="2690" t="str">
        <f t="shared" si="44"/>
        <v/>
      </c>
      <c r="BB19" s="2737" t="str">
        <f t="shared" si="45"/>
        <v/>
      </c>
      <c r="BC19" s="2738" t="str">
        <f t="shared" si="46"/>
        <v/>
      </c>
      <c r="BD19" s="2695" t="str">
        <f t="shared" si="47"/>
        <v/>
      </c>
      <c r="BE19" s="2690" t="str">
        <f t="shared" si="48"/>
        <v/>
      </c>
      <c r="BF19" s="2737" t="str">
        <f t="shared" si="49"/>
        <v/>
      </c>
      <c r="BG19" s="2738" t="str">
        <f t="shared" si="50"/>
        <v/>
      </c>
      <c r="BH19" s="1417"/>
      <c r="BJ19" s="995" t="str">
        <f t="shared" si="93"/>
        <v>G49</v>
      </c>
      <c r="BK19" s="993" t="b">
        <f t="shared" si="51"/>
        <v>0</v>
      </c>
      <c r="BL19" s="1784" t="b">
        <v>0</v>
      </c>
      <c r="BM19" s="989">
        <f t="shared" si="52"/>
        <v>52</v>
      </c>
      <c r="BN19" s="989" t="str">
        <f t="shared" si="53"/>
        <v>G</v>
      </c>
      <c r="BO19" s="989">
        <f t="shared" si="54"/>
        <v>7</v>
      </c>
      <c r="BP19" s="989" t="str">
        <f t="shared" si="55"/>
        <v>13/6</v>
      </c>
      <c r="BQ19" s="989">
        <f t="shared" si="56"/>
        <v>2.4</v>
      </c>
      <c r="BR19" s="989" t="b">
        <f t="shared" si="57"/>
        <v>1</v>
      </c>
      <c r="BS19" s="1303">
        <f t="shared" si="58"/>
        <v>8.75</v>
      </c>
      <c r="BT19" s="990" t="str">
        <f t="shared" si="59"/>
        <v>Yes</v>
      </c>
      <c r="BU19" s="1303">
        <f t="shared" si="60"/>
        <v>8.75</v>
      </c>
      <c r="BV19" s="990" t="str">
        <f t="shared" si="61"/>
        <v>Yes</v>
      </c>
      <c r="BW19" s="991">
        <f t="shared" ca="1" si="62"/>
        <v>20</v>
      </c>
      <c r="BX19" s="991" t="str">
        <f t="shared" ca="1" si="63"/>
        <v>G49</v>
      </c>
      <c r="BY19" s="991" t="b">
        <f t="shared" ca="1" si="64"/>
        <v>0</v>
      </c>
      <c r="BZ19" s="991" t="b">
        <f t="shared" si="86"/>
        <v>0</v>
      </c>
      <c r="CB19" s="672" t="s">
        <v>1445</v>
      </c>
      <c r="CC19" s="1685">
        <v>1</v>
      </c>
      <c r="CD19" s="699" t="s">
        <v>1731</v>
      </c>
      <c r="CE19" s="700">
        <v>56</v>
      </c>
      <c r="CF19" s="701">
        <v>0</v>
      </c>
      <c r="CG19" s="672">
        <v>7</v>
      </c>
      <c r="CH19" s="713"/>
      <c r="CI19" s="714"/>
      <c r="CJ19" s="713"/>
      <c r="CK19" s="714"/>
      <c r="CL19" s="715"/>
      <c r="CM19" s="743"/>
      <c r="CN19" s="738"/>
      <c r="CO19" s="1552"/>
      <c r="CP19" s="910"/>
      <c r="CQ19" s="672">
        <v>7</v>
      </c>
      <c r="CR19" s="713"/>
      <c r="CS19" s="714"/>
      <c r="CT19" s="713"/>
      <c r="CU19" s="714"/>
      <c r="CV19" s="715"/>
      <c r="CW19" s="743"/>
      <c r="CX19" s="738"/>
      <c r="CY19" s="1552"/>
      <c r="CZ19" s="910"/>
      <c r="DA19" s="717"/>
      <c r="DB19" s="702" t="s">
        <v>1735</v>
      </c>
      <c r="DC19" s="703" t="s">
        <v>34</v>
      </c>
      <c r="DD19" s="725"/>
      <c r="DE19" s="726">
        <v>11.125</v>
      </c>
      <c r="DF19" s="141"/>
      <c r="DG19" s="141"/>
      <c r="DH19" s="672" t="s">
        <v>1445</v>
      </c>
      <c r="DI19" s="673" t="s">
        <v>35</v>
      </c>
      <c r="DJ19" s="692">
        <v>8</v>
      </c>
      <c r="DK19" s="1332">
        <v>0</v>
      </c>
      <c r="DL19" s="674">
        <v>5</v>
      </c>
      <c r="DM19" s="693">
        <v>8</v>
      </c>
      <c r="DN19" s="1335">
        <v>0</v>
      </c>
      <c r="DO19" s="675"/>
      <c r="DP19" s="676"/>
      <c r="DQ19" s="1420">
        <v>5</v>
      </c>
      <c r="DR19" s="677">
        <v>13</v>
      </c>
      <c r="DS19" s="1420">
        <v>4</v>
      </c>
      <c r="DT19" s="1422">
        <v>2</v>
      </c>
      <c r="DU19" s="1423">
        <v>2</v>
      </c>
      <c r="DV19" s="2661">
        <v>1</v>
      </c>
      <c r="DW19" s="2664">
        <v>0.25</v>
      </c>
      <c r="DX19" s="679"/>
      <c r="DY19" s="2665" t="s">
        <v>35</v>
      </c>
      <c r="DZ19" s="2661">
        <v>55</v>
      </c>
      <c r="EA19" s="2664">
        <v>0.25</v>
      </c>
      <c r="EB19" s="679"/>
      <c r="EC19" s="2665" t="s">
        <v>35</v>
      </c>
      <c r="ED19" s="678"/>
      <c r="EE19" s="1337"/>
      <c r="EF19" s="679"/>
      <c r="EG19" s="674"/>
      <c r="EH19" s="678"/>
      <c r="EI19" s="1337"/>
      <c r="EJ19" s="679"/>
      <c r="EK19" s="680"/>
      <c r="EL19" s="241"/>
      <c r="EM19" s="1632" t="str">
        <f t="shared" si="65"/>
        <v>G49</v>
      </c>
      <c r="EN19" s="1429" t="str">
        <f t="shared" si="66"/>
        <v/>
      </c>
      <c r="EO19" s="1430" t="str">
        <f t="shared" si="67"/>
        <v/>
      </c>
      <c r="EP19" s="1431" t="str">
        <f t="shared" si="68"/>
        <v/>
      </c>
      <c r="EQ19" s="1435" t="str">
        <f t="shared" si="69"/>
        <v/>
      </c>
      <c r="ER19" s="1441" t="str">
        <f t="shared" si="70"/>
        <v/>
      </c>
      <c r="ES19" s="1442" t="str">
        <f t="shared" si="71"/>
        <v/>
      </c>
      <c r="ET19" s="1443" t="str">
        <f t="shared" si="72"/>
        <v/>
      </c>
      <c r="EU19" s="1444" t="str">
        <f t="shared" si="87"/>
        <v/>
      </c>
      <c r="EX19" s="503" t="str">
        <f t="shared" ca="1" si="88"/>
        <v>G49B</v>
      </c>
      <c r="EY19" s="940" t="b">
        <f t="shared" ca="1" si="73"/>
        <v>1</v>
      </c>
      <c r="EZ19" s="940">
        <f t="shared" ca="1" si="89"/>
        <v>5</v>
      </c>
      <c r="FA19" s="958" t="b">
        <f t="shared" ca="1" si="94"/>
        <v>1</v>
      </c>
      <c r="FB19" s="134">
        <f t="shared" ca="1" si="90"/>
        <v>666</v>
      </c>
      <c r="FC19" s="134">
        <f t="shared" ca="1" si="74"/>
        <v>93</v>
      </c>
      <c r="FD19" s="134">
        <f t="shared" ca="1" si="75"/>
        <v>480</v>
      </c>
      <c r="FE19" s="134">
        <f t="shared" ca="1" si="76"/>
        <v>93</v>
      </c>
      <c r="FF19" s="134">
        <f t="shared" ca="1" si="91"/>
        <v>666</v>
      </c>
      <c r="FN19" s="754" t="b">
        <v>0</v>
      </c>
      <c r="FO19" s="754" t="b">
        <f t="shared" si="77"/>
        <v>1</v>
      </c>
      <c r="FP19" s="754" t="b">
        <v>0</v>
      </c>
      <c r="FQ19" s="754" t="b">
        <f t="shared" si="92"/>
        <v>1</v>
      </c>
      <c r="FW19" s="2"/>
      <c r="FX19" s="2"/>
      <c r="FZ19" s="2"/>
      <c r="GA19" s="581">
        <f t="shared" si="78"/>
        <v>56</v>
      </c>
      <c r="GB19" s="623">
        <f t="shared" si="79"/>
        <v>0</v>
      </c>
      <c r="GC19" s="625">
        <f t="shared" si="80"/>
        <v>-0.25</v>
      </c>
      <c r="GD19" s="626">
        <f t="shared" si="81"/>
        <v>-0.25</v>
      </c>
      <c r="GE19" s="624">
        <f t="shared" si="82"/>
        <v>0</v>
      </c>
      <c r="GF19" s="582" t="str">
        <f t="shared" si="83"/>
        <v>G49</v>
      </c>
      <c r="GG19" s="692">
        <v>0</v>
      </c>
      <c r="GH19" s="1136">
        <v>0</v>
      </c>
      <c r="GI19" s="692"/>
      <c r="GJ19" s="1136"/>
      <c r="GK19" s="1641">
        <f t="shared" si="84"/>
        <v>671.5</v>
      </c>
      <c r="GL19" s="1641">
        <f t="shared" si="85"/>
        <v>671.5</v>
      </c>
      <c r="GM19" s="1642">
        <f>IF(ABS(GK19-GL19)&gt;='Job Info.'!$L$22,ABS(GK19-GL19),0)</f>
        <v>0</v>
      </c>
      <c r="HA19" s="1242" t="s">
        <v>1445</v>
      </c>
      <c r="HB19" s="1243">
        <v>1</v>
      </c>
      <c r="HC19" s="1243" t="s">
        <v>1731</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1735</v>
      </c>
      <c r="IB19" s="1247" t="s">
        <v>34</v>
      </c>
      <c r="IC19" s="1247"/>
      <c r="ID19" s="1262">
        <v>11.125</v>
      </c>
      <c r="IE19" s="1242" t="s">
        <v>1445</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5"/>
        <v>1</v>
      </c>
    </row>
    <row r="20" spans="1:272" ht="12.6" customHeight="1" x14ac:dyDescent="0.25">
      <c r="A20" s="2683" t="str">
        <f t="shared" si="0"/>
        <v>G50</v>
      </c>
      <c r="B20" s="2684">
        <f t="shared" si="0"/>
        <v>2</v>
      </c>
      <c r="C20" s="2685" t="s">
        <v>1731</v>
      </c>
      <c r="D20" s="2686">
        <f t="shared" si="1"/>
        <v>55</v>
      </c>
      <c r="E20" s="2687">
        <f t="shared" si="2"/>
        <v>11.5</v>
      </c>
      <c r="F20" s="2688">
        <f t="shared" si="3"/>
        <v>11.125</v>
      </c>
      <c r="G20" s="2689">
        <f t="shared" si="4"/>
        <v>0</v>
      </c>
      <c r="H20" s="2690">
        <f t="shared" si="5"/>
        <v>2.75</v>
      </c>
      <c r="I20" s="2691" t="str">
        <f t="shared" si="6"/>
        <v>R</v>
      </c>
      <c r="J20" s="2686">
        <f t="shared" si="7"/>
        <v>0</v>
      </c>
      <c r="K20" s="2690">
        <f t="shared" si="8"/>
        <v>2.75</v>
      </c>
      <c r="L20" s="2692" t="str">
        <f t="shared" si="9"/>
        <v>R</v>
      </c>
      <c r="M20" s="2693">
        <f t="shared" si="10"/>
        <v>7.5</v>
      </c>
      <c r="N20" s="2694">
        <f t="shared" si="10"/>
        <v>7.5</v>
      </c>
      <c r="O20" s="2689">
        <f t="shared" si="11"/>
        <v>0</v>
      </c>
      <c r="P20" s="2690">
        <f t="shared" si="12"/>
        <v>7.75</v>
      </c>
      <c r="Q20" s="2686">
        <f t="shared" si="13"/>
        <v>0</v>
      </c>
      <c r="R20" s="2687">
        <f t="shared" si="14"/>
        <v>7.75</v>
      </c>
      <c r="S20" s="2695">
        <f t="shared" si="15"/>
        <v>0</v>
      </c>
      <c r="T20" s="2690">
        <f t="shared" si="16"/>
        <v>7.25</v>
      </c>
      <c r="U20" s="2686">
        <f t="shared" si="17"/>
        <v>0</v>
      </c>
      <c r="V20" s="2690">
        <f t="shared" si="18"/>
        <v>7.25</v>
      </c>
      <c r="W20" s="2694">
        <f t="shared" si="19"/>
        <v>5</v>
      </c>
      <c r="X20" s="2696" t="str">
        <f t="shared" si="20"/>
        <v/>
      </c>
      <c r="Y20" s="2697" t="str">
        <f t="shared" si="21"/>
        <v/>
      </c>
      <c r="Z20" s="2698" t="s">
        <v>1913</v>
      </c>
      <c r="AA20" s="2758" t="str">
        <f t="shared" si="22"/>
        <v/>
      </c>
      <c r="AB20" s="2683" t="str">
        <f t="shared" si="23"/>
        <v>G50</v>
      </c>
      <c r="AC20" s="2691" t="str">
        <f t="shared" si="24"/>
        <v>B</v>
      </c>
      <c r="AD20" s="2686">
        <f t="shared" ca="1" si="25"/>
        <v>7</v>
      </c>
      <c r="AE20" s="2690">
        <f t="shared" ca="1" si="26"/>
        <v>9</v>
      </c>
      <c r="AF20" s="2691">
        <f t="shared" ca="1" si="27"/>
        <v>5</v>
      </c>
      <c r="AG20" s="2686">
        <f t="shared" ca="1" si="28"/>
        <v>8</v>
      </c>
      <c r="AH20" s="2690">
        <f t="shared" ca="1" si="29"/>
        <v>0</v>
      </c>
      <c r="AI20" s="2686">
        <f t="shared" ca="1" si="30"/>
        <v>7</v>
      </c>
      <c r="AJ20" s="2690">
        <f t="shared" ca="1" si="31"/>
        <v>9</v>
      </c>
      <c r="AK20" s="2732" t="str">
        <f t="shared" si="32"/>
        <v/>
      </c>
      <c r="AL20" s="2733" t="str">
        <f t="shared" si="33"/>
        <v/>
      </c>
      <c r="AM20" s="2734">
        <f t="shared" si="32"/>
        <v>5</v>
      </c>
      <c r="AN20" s="2691">
        <f t="shared" si="32"/>
        <v>13</v>
      </c>
      <c r="AO20" s="2694">
        <f t="shared" si="32"/>
        <v>4</v>
      </c>
      <c r="AP20" s="2693">
        <f t="shared" si="34"/>
        <v>1.75</v>
      </c>
      <c r="AQ20" s="2736">
        <f t="shared" si="34"/>
        <v>1.75</v>
      </c>
      <c r="AR20" s="2689">
        <f t="shared" si="35"/>
        <v>1</v>
      </c>
      <c r="AS20" s="2690">
        <f t="shared" si="36"/>
        <v>0</v>
      </c>
      <c r="AT20" s="2737" t="str">
        <f t="shared" si="37"/>
        <v/>
      </c>
      <c r="AU20" s="2738" t="str">
        <f t="shared" si="38"/>
        <v>B</v>
      </c>
      <c r="AV20" s="2695">
        <f t="shared" si="39"/>
        <v>55</v>
      </c>
      <c r="AW20" s="2690">
        <f t="shared" si="40"/>
        <v>0</v>
      </c>
      <c r="AX20" s="2737" t="str">
        <f t="shared" si="41"/>
        <v/>
      </c>
      <c r="AY20" s="2738" t="str">
        <f t="shared" si="42"/>
        <v>B</v>
      </c>
      <c r="AZ20" s="2695" t="str">
        <f t="shared" si="43"/>
        <v/>
      </c>
      <c r="BA20" s="2690" t="str">
        <f t="shared" si="44"/>
        <v/>
      </c>
      <c r="BB20" s="2737" t="str">
        <f t="shared" si="45"/>
        <v/>
      </c>
      <c r="BC20" s="2738" t="str">
        <f t="shared" si="46"/>
        <v/>
      </c>
      <c r="BD20" s="2695" t="str">
        <f t="shared" si="47"/>
        <v/>
      </c>
      <c r="BE20" s="2690" t="str">
        <f t="shared" si="48"/>
        <v/>
      </c>
      <c r="BF20" s="2737" t="str">
        <f t="shared" si="49"/>
        <v/>
      </c>
      <c r="BG20" s="2738" t="str">
        <f t="shared" si="50"/>
        <v/>
      </c>
      <c r="BH20" s="1417"/>
      <c r="BJ20" s="995" t="str">
        <f t="shared" si="93"/>
        <v>G50</v>
      </c>
      <c r="BK20" s="993" t="b">
        <f t="shared" si="51"/>
        <v>0</v>
      </c>
      <c r="BL20" s="1784" t="b">
        <v>0</v>
      </c>
      <c r="BM20" s="989">
        <f t="shared" si="52"/>
        <v>52</v>
      </c>
      <c r="BN20" s="989" t="str">
        <f t="shared" si="53"/>
        <v>G</v>
      </c>
      <c r="BO20" s="989">
        <f t="shared" si="54"/>
        <v>7</v>
      </c>
      <c r="BP20" s="989" t="str">
        <f t="shared" si="55"/>
        <v>13/6</v>
      </c>
      <c r="BQ20" s="989">
        <f t="shared" si="56"/>
        <v>2.4</v>
      </c>
      <c r="BR20" s="989" t="b">
        <f t="shared" si="57"/>
        <v>1</v>
      </c>
      <c r="BS20" s="1303">
        <f t="shared" si="58"/>
        <v>8.75</v>
      </c>
      <c r="BT20" s="990" t="str">
        <f t="shared" si="59"/>
        <v>Yes</v>
      </c>
      <c r="BU20" s="1303">
        <f t="shared" si="60"/>
        <v>8.75</v>
      </c>
      <c r="BV20" s="990" t="str">
        <f t="shared" si="61"/>
        <v>Yes</v>
      </c>
      <c r="BW20" s="991">
        <f t="shared" ca="1" si="62"/>
        <v>20</v>
      </c>
      <c r="BX20" s="991" t="str">
        <f t="shared" ca="1" si="63"/>
        <v>G50</v>
      </c>
      <c r="BY20" s="991" t="b">
        <f t="shared" ca="1" si="64"/>
        <v>0</v>
      </c>
      <c r="BZ20" s="991" t="b">
        <f t="shared" si="86"/>
        <v>0</v>
      </c>
      <c r="CB20" s="672" t="s">
        <v>1446</v>
      </c>
      <c r="CC20" s="1685">
        <v>2</v>
      </c>
      <c r="CD20" s="699" t="s">
        <v>1731</v>
      </c>
      <c r="CE20" s="700">
        <v>56</v>
      </c>
      <c r="CF20" s="701">
        <v>0</v>
      </c>
      <c r="CG20" s="672">
        <v>7</v>
      </c>
      <c r="CH20" s="713"/>
      <c r="CI20" s="714"/>
      <c r="CJ20" s="713"/>
      <c r="CK20" s="714"/>
      <c r="CL20" s="715"/>
      <c r="CM20" s="743"/>
      <c r="CN20" s="738"/>
      <c r="CO20" s="1552"/>
      <c r="CP20" s="910"/>
      <c r="CQ20" s="672">
        <v>7</v>
      </c>
      <c r="CR20" s="713"/>
      <c r="CS20" s="714"/>
      <c r="CT20" s="713"/>
      <c r="CU20" s="714"/>
      <c r="CV20" s="715"/>
      <c r="CW20" s="743"/>
      <c r="CX20" s="738"/>
      <c r="CY20" s="1552"/>
      <c r="CZ20" s="910"/>
      <c r="DA20" s="717"/>
      <c r="DB20" s="702">
        <v>14</v>
      </c>
      <c r="DC20" s="703"/>
      <c r="DD20" s="725"/>
      <c r="DE20" s="726">
        <v>11.125</v>
      </c>
      <c r="DF20" s="141"/>
      <c r="DG20" s="141"/>
      <c r="DH20" s="672" t="s">
        <v>1446</v>
      </c>
      <c r="DI20" s="673" t="s">
        <v>35</v>
      </c>
      <c r="DJ20" s="692">
        <v>8</v>
      </c>
      <c r="DK20" s="1332">
        <v>0</v>
      </c>
      <c r="DL20" s="674">
        <v>5</v>
      </c>
      <c r="DM20" s="693">
        <v>8</v>
      </c>
      <c r="DN20" s="1335">
        <v>0</v>
      </c>
      <c r="DO20" s="675"/>
      <c r="DP20" s="676"/>
      <c r="DQ20" s="1420">
        <v>5</v>
      </c>
      <c r="DR20" s="677">
        <v>13</v>
      </c>
      <c r="DS20" s="1420">
        <v>4</v>
      </c>
      <c r="DT20" s="1422">
        <v>2</v>
      </c>
      <c r="DU20" s="1423">
        <v>2</v>
      </c>
      <c r="DV20" s="2661">
        <v>1</v>
      </c>
      <c r="DW20" s="2664">
        <v>0.25</v>
      </c>
      <c r="DX20" s="679"/>
      <c r="DY20" s="2665" t="s">
        <v>35</v>
      </c>
      <c r="DZ20" s="2661">
        <v>55</v>
      </c>
      <c r="EA20" s="2664">
        <v>0.25</v>
      </c>
      <c r="EB20" s="679"/>
      <c r="EC20" s="2665" t="s">
        <v>35</v>
      </c>
      <c r="ED20" s="678"/>
      <c r="EE20" s="1337"/>
      <c r="EF20" s="679"/>
      <c r="EG20" s="674"/>
      <c r="EH20" s="678"/>
      <c r="EI20" s="1337"/>
      <c r="EJ20" s="679"/>
      <c r="EK20" s="680"/>
      <c r="EL20" s="241"/>
      <c r="EM20" s="1632" t="str">
        <f t="shared" si="65"/>
        <v>G50</v>
      </c>
      <c r="EN20" s="1429" t="str">
        <f t="shared" si="66"/>
        <v/>
      </c>
      <c r="EO20" s="1430" t="str">
        <f t="shared" si="67"/>
        <v/>
      </c>
      <c r="EP20" s="1431" t="str">
        <f t="shared" si="68"/>
        <v/>
      </c>
      <c r="EQ20" s="1435" t="str">
        <f t="shared" si="69"/>
        <v/>
      </c>
      <c r="ER20" s="1441" t="str">
        <f t="shared" si="70"/>
        <v/>
      </c>
      <c r="ES20" s="1442" t="str">
        <f t="shared" si="71"/>
        <v/>
      </c>
      <c r="ET20" s="1443" t="str">
        <f t="shared" si="72"/>
        <v/>
      </c>
      <c r="EU20" s="1444" t="str">
        <f t="shared" si="87"/>
        <v/>
      </c>
      <c r="EX20" s="503" t="str">
        <f t="shared" ca="1" si="88"/>
        <v>G50B</v>
      </c>
      <c r="EY20" s="940" t="b">
        <f t="shared" ca="1" si="73"/>
        <v>1</v>
      </c>
      <c r="EZ20" s="940">
        <f t="shared" ca="1" si="89"/>
        <v>5</v>
      </c>
      <c r="FA20" s="958" t="b">
        <f t="shared" ca="1" si="94"/>
        <v>1</v>
      </c>
      <c r="FB20" s="134">
        <f t="shared" ca="1" si="90"/>
        <v>666</v>
      </c>
      <c r="FC20" s="134">
        <f t="shared" ca="1" si="74"/>
        <v>93</v>
      </c>
      <c r="FD20" s="134">
        <f t="shared" ca="1" si="75"/>
        <v>480</v>
      </c>
      <c r="FE20" s="134">
        <f t="shared" ca="1" si="76"/>
        <v>93</v>
      </c>
      <c r="FF20" s="134">
        <f t="shared" ca="1" si="91"/>
        <v>666</v>
      </c>
      <c r="FN20" s="754" t="b">
        <v>0</v>
      </c>
      <c r="FO20" s="754" t="b">
        <f t="shared" si="77"/>
        <v>1</v>
      </c>
      <c r="FP20" s="754" t="b">
        <v>0</v>
      </c>
      <c r="FQ20" s="754" t="b">
        <f t="shared" si="92"/>
        <v>1</v>
      </c>
      <c r="FW20" s="2"/>
      <c r="FX20" s="2"/>
      <c r="FZ20" s="2"/>
      <c r="GA20" s="581">
        <f t="shared" si="78"/>
        <v>56</v>
      </c>
      <c r="GB20" s="623">
        <f t="shared" si="79"/>
        <v>0</v>
      </c>
      <c r="GC20" s="625">
        <f t="shared" si="80"/>
        <v>-0.25</v>
      </c>
      <c r="GD20" s="626">
        <f t="shared" si="81"/>
        <v>-0.25</v>
      </c>
      <c r="GE20" s="624">
        <f t="shared" si="82"/>
        <v>0</v>
      </c>
      <c r="GF20" s="582" t="str">
        <f t="shared" si="83"/>
        <v>G50</v>
      </c>
      <c r="GG20" s="692">
        <v>0</v>
      </c>
      <c r="GH20" s="1136">
        <v>0</v>
      </c>
      <c r="GI20" s="692"/>
      <c r="GJ20" s="1136"/>
      <c r="GK20" s="1641">
        <f t="shared" si="84"/>
        <v>671.5</v>
      </c>
      <c r="GL20" s="1641">
        <f t="shared" si="85"/>
        <v>671.5</v>
      </c>
      <c r="GM20" s="1642">
        <f>IF(ABS(GK20-GL20)&gt;='Job Info.'!$L$22,ABS(GK20-GL20),0)</f>
        <v>0</v>
      </c>
      <c r="HA20" s="1242" t="s">
        <v>1446</v>
      </c>
      <c r="HB20" s="1243">
        <v>2</v>
      </c>
      <c r="HC20" s="1243" t="s">
        <v>1731</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v>14</v>
      </c>
      <c r="IB20" s="1247"/>
      <c r="IC20" s="1247"/>
      <c r="ID20" s="1262">
        <v>11.125</v>
      </c>
      <c r="IE20" s="1242" t="s">
        <v>1446</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5"/>
        <v>1</v>
      </c>
    </row>
    <row r="21" spans="1:272" ht="12.6" customHeight="1" x14ac:dyDescent="0.25">
      <c r="A21" s="2683" t="str">
        <f t="shared" si="0"/>
        <v>G51</v>
      </c>
      <c r="B21" s="2684">
        <f t="shared" si="0"/>
        <v>1</v>
      </c>
      <c r="C21" s="2685" t="s">
        <v>1731</v>
      </c>
      <c r="D21" s="2686">
        <f t="shared" si="1"/>
        <v>55</v>
      </c>
      <c r="E21" s="2687">
        <f t="shared" si="2"/>
        <v>11.5</v>
      </c>
      <c r="F21" s="2688">
        <f t="shared" si="3"/>
        <v>11.125</v>
      </c>
      <c r="G21" s="2689">
        <f t="shared" si="4"/>
        <v>0</v>
      </c>
      <c r="H21" s="2690">
        <f t="shared" si="5"/>
        <v>2.75</v>
      </c>
      <c r="I21" s="2691" t="str">
        <f t="shared" si="6"/>
        <v>R</v>
      </c>
      <c r="J21" s="2686">
        <f t="shared" si="7"/>
        <v>0</v>
      </c>
      <c r="K21" s="2690">
        <f t="shared" si="8"/>
        <v>2.75</v>
      </c>
      <c r="L21" s="2692" t="str">
        <f t="shared" si="9"/>
        <v>R</v>
      </c>
      <c r="M21" s="2693">
        <f t="shared" si="10"/>
        <v>7.5</v>
      </c>
      <c r="N21" s="2694">
        <f t="shared" si="10"/>
        <v>7.5</v>
      </c>
      <c r="O21" s="2689">
        <f t="shared" si="11"/>
        <v>0</v>
      </c>
      <c r="P21" s="2690">
        <f t="shared" si="12"/>
        <v>7.75</v>
      </c>
      <c r="Q21" s="2686">
        <f t="shared" si="13"/>
        <v>0</v>
      </c>
      <c r="R21" s="2687">
        <f t="shared" si="14"/>
        <v>7.75</v>
      </c>
      <c r="S21" s="2695">
        <f t="shared" si="15"/>
        <v>0</v>
      </c>
      <c r="T21" s="2690">
        <f t="shared" si="16"/>
        <v>7.25</v>
      </c>
      <c r="U21" s="2686">
        <f t="shared" si="17"/>
        <v>0</v>
      </c>
      <c r="V21" s="2690">
        <f t="shared" si="18"/>
        <v>7.25</v>
      </c>
      <c r="W21" s="2694">
        <f t="shared" si="19"/>
        <v>5</v>
      </c>
      <c r="X21" s="2696" t="str">
        <f t="shared" si="20"/>
        <v/>
      </c>
      <c r="Y21" s="2697" t="str">
        <f t="shared" si="21"/>
        <v/>
      </c>
      <c r="Z21" s="2698" t="s">
        <v>1914</v>
      </c>
      <c r="AA21" s="2758" t="str">
        <f t="shared" si="22"/>
        <v/>
      </c>
      <c r="AB21" s="2683" t="str">
        <f t="shared" si="23"/>
        <v>G51</v>
      </c>
      <c r="AC21" s="2691" t="str">
        <f t="shared" si="24"/>
        <v>B</v>
      </c>
      <c r="AD21" s="2686">
        <f t="shared" ca="1" si="25"/>
        <v>7</v>
      </c>
      <c r="AE21" s="2690">
        <f t="shared" ca="1" si="26"/>
        <v>9</v>
      </c>
      <c r="AF21" s="2691">
        <f t="shared" ca="1" si="27"/>
        <v>5</v>
      </c>
      <c r="AG21" s="2686">
        <f t="shared" ca="1" si="28"/>
        <v>8</v>
      </c>
      <c r="AH21" s="2690">
        <f t="shared" ca="1" si="29"/>
        <v>0</v>
      </c>
      <c r="AI21" s="2686">
        <f t="shared" ca="1" si="30"/>
        <v>7</v>
      </c>
      <c r="AJ21" s="2690">
        <f t="shared" ca="1" si="31"/>
        <v>9</v>
      </c>
      <c r="AK21" s="2732" t="str">
        <f t="shared" si="32"/>
        <v/>
      </c>
      <c r="AL21" s="2733" t="str">
        <f t="shared" si="33"/>
        <v/>
      </c>
      <c r="AM21" s="2734">
        <f t="shared" si="32"/>
        <v>5</v>
      </c>
      <c r="AN21" s="2691">
        <f t="shared" si="32"/>
        <v>13</v>
      </c>
      <c r="AO21" s="2694">
        <f t="shared" si="32"/>
        <v>4</v>
      </c>
      <c r="AP21" s="2693">
        <f t="shared" si="34"/>
        <v>1.75</v>
      </c>
      <c r="AQ21" s="2736">
        <f t="shared" si="34"/>
        <v>1.75</v>
      </c>
      <c r="AR21" s="2689">
        <f t="shared" si="35"/>
        <v>1</v>
      </c>
      <c r="AS21" s="2690">
        <f t="shared" si="36"/>
        <v>0</v>
      </c>
      <c r="AT21" s="2737" t="str">
        <f t="shared" si="37"/>
        <v/>
      </c>
      <c r="AU21" s="2738" t="str">
        <f t="shared" si="38"/>
        <v>B</v>
      </c>
      <c r="AV21" s="2695">
        <f t="shared" si="39"/>
        <v>55</v>
      </c>
      <c r="AW21" s="2690">
        <f t="shared" si="40"/>
        <v>0</v>
      </c>
      <c r="AX21" s="2737" t="str">
        <f t="shared" si="41"/>
        <v/>
      </c>
      <c r="AY21" s="2738" t="str">
        <f t="shared" si="42"/>
        <v>B</v>
      </c>
      <c r="AZ21" s="2695" t="str">
        <f t="shared" si="43"/>
        <v/>
      </c>
      <c r="BA21" s="2690" t="str">
        <f t="shared" si="44"/>
        <v/>
      </c>
      <c r="BB21" s="2737" t="str">
        <f t="shared" si="45"/>
        <v/>
      </c>
      <c r="BC21" s="2738" t="str">
        <f t="shared" si="46"/>
        <v/>
      </c>
      <c r="BD21" s="2695" t="str">
        <f t="shared" si="47"/>
        <v/>
      </c>
      <c r="BE21" s="2690" t="str">
        <f t="shared" si="48"/>
        <v/>
      </c>
      <c r="BF21" s="2737" t="str">
        <f t="shared" si="49"/>
        <v/>
      </c>
      <c r="BG21" s="2738" t="str">
        <f t="shared" si="50"/>
        <v/>
      </c>
      <c r="BH21" s="1417"/>
      <c r="BJ21" s="995" t="str">
        <f t="shared" si="93"/>
        <v>G51</v>
      </c>
      <c r="BK21" s="993" t="b">
        <f t="shared" si="51"/>
        <v>0</v>
      </c>
      <c r="BL21" s="1784" t="b">
        <v>0</v>
      </c>
      <c r="BM21" s="989">
        <f t="shared" si="52"/>
        <v>52</v>
      </c>
      <c r="BN21" s="989" t="str">
        <f t="shared" si="53"/>
        <v>G</v>
      </c>
      <c r="BO21" s="989">
        <f t="shared" si="54"/>
        <v>7</v>
      </c>
      <c r="BP21" s="989" t="str">
        <f t="shared" si="55"/>
        <v>13/6</v>
      </c>
      <c r="BQ21" s="989">
        <f t="shared" si="56"/>
        <v>2.4</v>
      </c>
      <c r="BR21" s="989" t="b">
        <f t="shared" si="57"/>
        <v>1</v>
      </c>
      <c r="BS21" s="1303">
        <f t="shared" si="58"/>
        <v>8.75</v>
      </c>
      <c r="BT21" s="990" t="str">
        <f t="shared" si="59"/>
        <v>Yes</v>
      </c>
      <c r="BU21" s="1303">
        <f t="shared" si="60"/>
        <v>8.75</v>
      </c>
      <c r="BV21" s="990" t="str">
        <f t="shared" si="61"/>
        <v>Yes</v>
      </c>
      <c r="BW21" s="991">
        <f t="shared" ca="1" si="62"/>
        <v>20</v>
      </c>
      <c r="BX21" s="991" t="str">
        <f t="shared" ca="1" si="63"/>
        <v>G51</v>
      </c>
      <c r="BY21" s="991" t="b">
        <f t="shared" ca="1" si="64"/>
        <v>0</v>
      </c>
      <c r="BZ21" s="991" t="b">
        <f t="shared" si="86"/>
        <v>0</v>
      </c>
      <c r="CB21" s="672" t="s">
        <v>1447</v>
      </c>
      <c r="CC21" s="1685">
        <v>1</v>
      </c>
      <c r="CD21" s="699" t="s">
        <v>1731</v>
      </c>
      <c r="CE21" s="700">
        <v>56</v>
      </c>
      <c r="CF21" s="701">
        <v>0</v>
      </c>
      <c r="CG21" s="672">
        <v>7</v>
      </c>
      <c r="CH21" s="713"/>
      <c r="CI21" s="714"/>
      <c r="CJ21" s="713"/>
      <c r="CK21" s="714"/>
      <c r="CL21" s="715"/>
      <c r="CM21" s="743"/>
      <c r="CN21" s="738"/>
      <c r="CO21" s="1552"/>
      <c r="CP21" s="910"/>
      <c r="CQ21" s="672">
        <v>7</v>
      </c>
      <c r="CR21" s="713"/>
      <c r="CS21" s="714"/>
      <c r="CT21" s="713"/>
      <c r="CU21" s="714"/>
      <c r="CV21" s="715"/>
      <c r="CW21" s="743"/>
      <c r="CX21" s="738"/>
      <c r="CY21" s="1552"/>
      <c r="CZ21" s="910"/>
      <c r="DA21" s="717"/>
      <c r="DB21" s="702" t="s">
        <v>1736</v>
      </c>
      <c r="DC21" s="703"/>
      <c r="DD21" s="725"/>
      <c r="DE21" s="726">
        <v>11.125</v>
      </c>
      <c r="DF21" s="141"/>
      <c r="DG21" s="141"/>
      <c r="DH21" s="672" t="s">
        <v>1447</v>
      </c>
      <c r="DI21" s="673" t="s">
        <v>35</v>
      </c>
      <c r="DJ21" s="692">
        <v>8</v>
      </c>
      <c r="DK21" s="1332">
        <v>0</v>
      </c>
      <c r="DL21" s="674">
        <v>5</v>
      </c>
      <c r="DM21" s="693">
        <v>8</v>
      </c>
      <c r="DN21" s="1335">
        <v>0</v>
      </c>
      <c r="DO21" s="675"/>
      <c r="DP21" s="676"/>
      <c r="DQ21" s="1420">
        <v>5</v>
      </c>
      <c r="DR21" s="677">
        <v>13</v>
      </c>
      <c r="DS21" s="1420">
        <v>4</v>
      </c>
      <c r="DT21" s="1422">
        <v>2</v>
      </c>
      <c r="DU21" s="1423">
        <v>2</v>
      </c>
      <c r="DV21" s="2661">
        <v>1</v>
      </c>
      <c r="DW21" s="2664">
        <v>0.25</v>
      </c>
      <c r="DX21" s="679"/>
      <c r="DY21" s="2665" t="s">
        <v>35</v>
      </c>
      <c r="DZ21" s="2661">
        <v>55</v>
      </c>
      <c r="EA21" s="2664">
        <v>0.25</v>
      </c>
      <c r="EB21" s="679"/>
      <c r="EC21" s="2665" t="s">
        <v>35</v>
      </c>
      <c r="ED21" s="678"/>
      <c r="EE21" s="1337"/>
      <c r="EF21" s="679"/>
      <c r="EG21" s="674"/>
      <c r="EH21" s="678"/>
      <c r="EI21" s="1337"/>
      <c r="EJ21" s="679"/>
      <c r="EK21" s="680"/>
      <c r="EL21" s="241"/>
      <c r="EM21" s="1632" t="str">
        <f t="shared" si="65"/>
        <v>G51</v>
      </c>
      <c r="EN21" s="1429" t="str">
        <f t="shared" si="66"/>
        <v/>
      </c>
      <c r="EO21" s="1430" t="str">
        <f t="shared" si="67"/>
        <v/>
      </c>
      <c r="EP21" s="1431" t="str">
        <f t="shared" si="68"/>
        <v/>
      </c>
      <c r="EQ21" s="1435" t="str">
        <f t="shared" si="69"/>
        <v/>
      </c>
      <c r="ER21" s="1441" t="str">
        <f t="shared" si="70"/>
        <v/>
      </c>
      <c r="ES21" s="1442" t="str">
        <f t="shared" si="71"/>
        <v/>
      </c>
      <c r="ET21" s="1443" t="str">
        <f t="shared" si="72"/>
        <v/>
      </c>
      <c r="EU21" s="1444" t="str">
        <f t="shared" si="87"/>
        <v/>
      </c>
      <c r="EX21" s="503" t="str">
        <f t="shared" ca="1" si="88"/>
        <v>G51B</v>
      </c>
      <c r="EY21" s="940" t="b">
        <f t="shared" ca="1" si="73"/>
        <v>1</v>
      </c>
      <c r="EZ21" s="940">
        <f t="shared" ca="1" si="89"/>
        <v>5</v>
      </c>
      <c r="FA21" s="958" t="b">
        <f t="shared" ca="1" si="94"/>
        <v>1</v>
      </c>
      <c r="FB21" s="134">
        <f t="shared" ca="1" si="90"/>
        <v>666</v>
      </c>
      <c r="FC21" s="134">
        <f t="shared" ca="1" si="74"/>
        <v>93</v>
      </c>
      <c r="FD21" s="134">
        <f t="shared" ca="1" si="75"/>
        <v>480</v>
      </c>
      <c r="FE21" s="134">
        <f t="shared" ca="1" si="76"/>
        <v>93</v>
      </c>
      <c r="FF21" s="134">
        <f t="shared" ca="1" si="91"/>
        <v>666</v>
      </c>
      <c r="FN21" s="754" t="b">
        <v>0</v>
      </c>
      <c r="FO21" s="754" t="b">
        <f t="shared" si="77"/>
        <v>1</v>
      </c>
      <c r="FP21" s="754" t="b">
        <v>0</v>
      </c>
      <c r="FQ21" s="754" t="b">
        <f t="shared" si="92"/>
        <v>1</v>
      </c>
      <c r="FW21" s="23"/>
      <c r="FX21" s="23"/>
      <c r="FZ21" s="23"/>
      <c r="GA21" s="581">
        <f t="shared" si="78"/>
        <v>56</v>
      </c>
      <c r="GB21" s="623">
        <f t="shared" si="79"/>
        <v>0</v>
      </c>
      <c r="GC21" s="625">
        <f t="shared" si="80"/>
        <v>-0.25</v>
      </c>
      <c r="GD21" s="626">
        <f t="shared" si="81"/>
        <v>-0.25</v>
      </c>
      <c r="GE21" s="624">
        <f t="shared" si="82"/>
        <v>0</v>
      </c>
      <c r="GF21" s="582" t="str">
        <f t="shared" si="83"/>
        <v>G51</v>
      </c>
      <c r="GG21" s="692">
        <v>0</v>
      </c>
      <c r="GH21" s="1136">
        <v>0</v>
      </c>
      <c r="GI21" s="692"/>
      <c r="GJ21" s="1136"/>
      <c r="GK21" s="1641">
        <f t="shared" si="84"/>
        <v>671.5</v>
      </c>
      <c r="GL21" s="1641">
        <f t="shared" si="85"/>
        <v>671.5</v>
      </c>
      <c r="GM21" s="1642">
        <f>IF(ABS(GK21-GL21)&gt;='Job Info.'!$L$22,ABS(GK21-GL21),0)</f>
        <v>0</v>
      </c>
      <c r="HA21" s="1242" t="s">
        <v>1447</v>
      </c>
      <c r="HB21" s="1243">
        <v>1</v>
      </c>
      <c r="HC21" s="1243" t="s">
        <v>1731</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1736</v>
      </c>
      <c r="IB21" s="1247"/>
      <c r="IC21" s="1247"/>
      <c r="ID21" s="1262">
        <v>11.125</v>
      </c>
      <c r="IE21" s="1242" t="s">
        <v>1447</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5"/>
        <v>1</v>
      </c>
    </row>
    <row r="22" spans="1:272" ht="12.6" customHeight="1" x14ac:dyDescent="0.25">
      <c r="A22" s="2683" t="str">
        <f t="shared" si="0"/>
        <v>G52</v>
      </c>
      <c r="B22" s="2684">
        <f t="shared" si="0"/>
        <v>1</v>
      </c>
      <c r="C22" s="2685" t="s">
        <v>1731</v>
      </c>
      <c r="D22" s="2686">
        <f t="shared" si="1"/>
        <v>55</v>
      </c>
      <c r="E22" s="2687">
        <f t="shared" si="2"/>
        <v>11.5</v>
      </c>
      <c r="F22" s="2688">
        <f t="shared" si="3"/>
        <v>11.125</v>
      </c>
      <c r="G22" s="2689">
        <f t="shared" si="4"/>
        <v>0</v>
      </c>
      <c r="H22" s="2690">
        <f t="shared" si="5"/>
        <v>2.75</v>
      </c>
      <c r="I22" s="2691" t="str">
        <f t="shared" si="6"/>
        <v>R</v>
      </c>
      <c r="J22" s="2686">
        <f t="shared" si="7"/>
        <v>0</v>
      </c>
      <c r="K22" s="2690">
        <f t="shared" si="8"/>
        <v>2.75</v>
      </c>
      <c r="L22" s="2692" t="str">
        <f t="shared" si="9"/>
        <v>R</v>
      </c>
      <c r="M22" s="2693">
        <f t="shared" si="10"/>
        <v>7.5</v>
      </c>
      <c r="N22" s="2694">
        <f t="shared" si="10"/>
        <v>7.5</v>
      </c>
      <c r="O22" s="2689">
        <f t="shared" si="11"/>
        <v>0</v>
      </c>
      <c r="P22" s="2690">
        <f t="shared" si="12"/>
        <v>7.75</v>
      </c>
      <c r="Q22" s="2686">
        <f t="shared" si="13"/>
        <v>0</v>
      </c>
      <c r="R22" s="2687">
        <f t="shared" si="14"/>
        <v>7.75</v>
      </c>
      <c r="S22" s="2695">
        <f t="shared" si="15"/>
        <v>0</v>
      </c>
      <c r="T22" s="2690">
        <f t="shared" si="16"/>
        <v>7.25</v>
      </c>
      <c r="U22" s="2686">
        <f t="shared" si="17"/>
        <v>0</v>
      </c>
      <c r="V22" s="2690">
        <f t="shared" si="18"/>
        <v>7.25</v>
      </c>
      <c r="W22" s="2694">
        <f t="shared" si="19"/>
        <v>5</v>
      </c>
      <c r="X22" s="2696" t="str">
        <f t="shared" si="20"/>
        <v/>
      </c>
      <c r="Y22" s="2697" t="str">
        <f t="shared" si="21"/>
        <v/>
      </c>
      <c r="Z22" s="2698" t="s">
        <v>1915</v>
      </c>
      <c r="AA22" s="2758" t="str">
        <f t="shared" si="22"/>
        <v/>
      </c>
      <c r="AB22" s="2683" t="str">
        <f t="shared" si="23"/>
        <v>G52</v>
      </c>
      <c r="AC22" s="2691" t="str">
        <f t="shared" si="24"/>
        <v>B</v>
      </c>
      <c r="AD22" s="2686">
        <f t="shared" ca="1" si="25"/>
        <v>7</v>
      </c>
      <c r="AE22" s="2690">
        <f t="shared" ca="1" si="26"/>
        <v>9</v>
      </c>
      <c r="AF22" s="2691">
        <f t="shared" ca="1" si="27"/>
        <v>5</v>
      </c>
      <c r="AG22" s="2686">
        <f t="shared" ca="1" si="28"/>
        <v>8</v>
      </c>
      <c r="AH22" s="2690">
        <f t="shared" ca="1" si="29"/>
        <v>0</v>
      </c>
      <c r="AI22" s="2686">
        <f t="shared" ca="1" si="30"/>
        <v>7</v>
      </c>
      <c r="AJ22" s="2690">
        <f t="shared" ca="1" si="31"/>
        <v>9</v>
      </c>
      <c r="AK22" s="2732" t="str">
        <f t="shared" si="32"/>
        <v/>
      </c>
      <c r="AL22" s="2733" t="str">
        <f t="shared" si="33"/>
        <v/>
      </c>
      <c r="AM22" s="2734">
        <f t="shared" si="32"/>
        <v>5</v>
      </c>
      <c r="AN22" s="2691">
        <f t="shared" si="32"/>
        <v>13</v>
      </c>
      <c r="AO22" s="2694">
        <f t="shared" si="32"/>
        <v>4</v>
      </c>
      <c r="AP22" s="2693">
        <f t="shared" si="34"/>
        <v>1.75</v>
      </c>
      <c r="AQ22" s="2736">
        <f t="shared" si="34"/>
        <v>1.75</v>
      </c>
      <c r="AR22" s="2689">
        <f t="shared" si="35"/>
        <v>1</v>
      </c>
      <c r="AS22" s="2690">
        <f t="shared" si="36"/>
        <v>0</v>
      </c>
      <c r="AT22" s="2737" t="str">
        <f t="shared" si="37"/>
        <v/>
      </c>
      <c r="AU22" s="2738" t="str">
        <f t="shared" si="38"/>
        <v>B</v>
      </c>
      <c r="AV22" s="2695">
        <f t="shared" si="39"/>
        <v>55</v>
      </c>
      <c r="AW22" s="2690">
        <f t="shared" si="40"/>
        <v>0</v>
      </c>
      <c r="AX22" s="2737" t="str">
        <f t="shared" si="41"/>
        <v/>
      </c>
      <c r="AY22" s="2738" t="str">
        <f t="shared" si="42"/>
        <v>B</v>
      </c>
      <c r="AZ22" s="2695" t="str">
        <f t="shared" si="43"/>
        <v/>
      </c>
      <c r="BA22" s="2690" t="str">
        <f t="shared" si="44"/>
        <v/>
      </c>
      <c r="BB22" s="2737" t="str">
        <f t="shared" si="45"/>
        <v/>
      </c>
      <c r="BC22" s="2738" t="str">
        <f t="shared" si="46"/>
        <v/>
      </c>
      <c r="BD22" s="2695" t="str">
        <f t="shared" si="47"/>
        <v/>
      </c>
      <c r="BE22" s="2690" t="str">
        <f t="shared" si="48"/>
        <v/>
      </c>
      <c r="BF22" s="2737" t="str">
        <f t="shared" si="49"/>
        <v/>
      </c>
      <c r="BG22" s="2738" t="str">
        <f t="shared" si="50"/>
        <v/>
      </c>
      <c r="BH22" s="1417"/>
      <c r="BJ22" s="995" t="str">
        <f t="shared" si="93"/>
        <v>G52</v>
      </c>
      <c r="BK22" s="993" t="b">
        <f t="shared" si="51"/>
        <v>0</v>
      </c>
      <c r="BL22" s="1784" t="b">
        <v>0</v>
      </c>
      <c r="BM22" s="989">
        <f t="shared" si="52"/>
        <v>52</v>
      </c>
      <c r="BN22" s="989" t="str">
        <f t="shared" si="53"/>
        <v>G</v>
      </c>
      <c r="BO22" s="989">
        <f t="shared" si="54"/>
        <v>7</v>
      </c>
      <c r="BP22" s="989" t="str">
        <f t="shared" si="55"/>
        <v>13/6</v>
      </c>
      <c r="BQ22" s="989">
        <f t="shared" si="56"/>
        <v>2.4</v>
      </c>
      <c r="BR22" s="989" t="b">
        <f t="shared" si="57"/>
        <v>1</v>
      </c>
      <c r="BS22" s="1303">
        <f t="shared" si="58"/>
        <v>8.75</v>
      </c>
      <c r="BT22" s="990" t="str">
        <f t="shared" si="59"/>
        <v>Yes</v>
      </c>
      <c r="BU22" s="1303">
        <f t="shared" si="60"/>
        <v>8.75</v>
      </c>
      <c r="BV22" s="990" t="str">
        <f t="shared" si="61"/>
        <v>Yes</v>
      </c>
      <c r="BW22" s="991">
        <f t="shared" ca="1" si="62"/>
        <v>20</v>
      </c>
      <c r="BX22" s="991" t="str">
        <f t="shared" ca="1" si="63"/>
        <v>G52</v>
      </c>
      <c r="BY22" s="991" t="b">
        <f t="shared" ca="1" si="64"/>
        <v>0</v>
      </c>
      <c r="BZ22" s="991" t="b">
        <f t="shared" si="86"/>
        <v>0</v>
      </c>
      <c r="CB22" s="672" t="s">
        <v>1448</v>
      </c>
      <c r="CC22" s="1685">
        <v>1</v>
      </c>
      <c r="CD22" s="699" t="s">
        <v>1731</v>
      </c>
      <c r="CE22" s="700">
        <v>56</v>
      </c>
      <c r="CF22" s="701">
        <v>0</v>
      </c>
      <c r="CG22" s="672">
        <v>7</v>
      </c>
      <c r="CH22" s="713"/>
      <c r="CI22" s="714"/>
      <c r="CJ22" s="713"/>
      <c r="CK22" s="714"/>
      <c r="CL22" s="715"/>
      <c r="CM22" s="743"/>
      <c r="CN22" s="738"/>
      <c r="CO22" s="1552"/>
      <c r="CP22" s="910"/>
      <c r="CQ22" s="672">
        <v>7</v>
      </c>
      <c r="CR22" s="713"/>
      <c r="CS22" s="714"/>
      <c r="CT22" s="713"/>
      <c r="CU22" s="714"/>
      <c r="CV22" s="715"/>
      <c r="CW22" s="743"/>
      <c r="CX22" s="738"/>
      <c r="CY22" s="1552"/>
      <c r="CZ22" s="910"/>
      <c r="DA22" s="717"/>
      <c r="DB22" s="702" t="s">
        <v>1737</v>
      </c>
      <c r="DC22" s="703"/>
      <c r="DD22" s="725"/>
      <c r="DE22" s="726">
        <v>11.125</v>
      </c>
      <c r="DF22" s="141"/>
      <c r="DG22" s="141"/>
      <c r="DH22" s="672" t="s">
        <v>1448</v>
      </c>
      <c r="DI22" s="673" t="s">
        <v>35</v>
      </c>
      <c r="DJ22" s="692">
        <v>8</v>
      </c>
      <c r="DK22" s="1332">
        <v>0</v>
      </c>
      <c r="DL22" s="674">
        <v>5</v>
      </c>
      <c r="DM22" s="693">
        <v>8</v>
      </c>
      <c r="DN22" s="1335">
        <v>0</v>
      </c>
      <c r="DO22" s="675"/>
      <c r="DP22" s="676"/>
      <c r="DQ22" s="1420">
        <v>5</v>
      </c>
      <c r="DR22" s="677">
        <v>13</v>
      </c>
      <c r="DS22" s="1420">
        <v>4</v>
      </c>
      <c r="DT22" s="1422">
        <v>2</v>
      </c>
      <c r="DU22" s="1423">
        <v>2</v>
      </c>
      <c r="DV22" s="2661">
        <v>1</v>
      </c>
      <c r="DW22" s="2664">
        <v>0.25</v>
      </c>
      <c r="DX22" s="679"/>
      <c r="DY22" s="2665" t="s">
        <v>35</v>
      </c>
      <c r="DZ22" s="2661">
        <v>55</v>
      </c>
      <c r="EA22" s="2664">
        <v>0.25</v>
      </c>
      <c r="EB22" s="679"/>
      <c r="EC22" s="2665" t="s">
        <v>35</v>
      </c>
      <c r="ED22" s="678"/>
      <c r="EE22" s="1337"/>
      <c r="EF22" s="679"/>
      <c r="EG22" s="674"/>
      <c r="EH22" s="678"/>
      <c r="EI22" s="1337"/>
      <c r="EJ22" s="679"/>
      <c r="EK22" s="680"/>
      <c r="EL22" s="241"/>
      <c r="EM22" s="1632" t="str">
        <f t="shared" si="65"/>
        <v>G52</v>
      </c>
      <c r="EN22" s="1429" t="str">
        <f t="shared" si="66"/>
        <v/>
      </c>
      <c r="EO22" s="1430" t="str">
        <f t="shared" si="67"/>
        <v/>
      </c>
      <c r="EP22" s="1431" t="str">
        <f t="shared" si="68"/>
        <v/>
      </c>
      <c r="EQ22" s="1435" t="str">
        <f t="shared" si="69"/>
        <v/>
      </c>
      <c r="ER22" s="1441" t="str">
        <f t="shared" si="70"/>
        <v/>
      </c>
      <c r="ES22" s="1442" t="str">
        <f t="shared" si="71"/>
        <v/>
      </c>
      <c r="ET22" s="1443" t="str">
        <f t="shared" si="72"/>
        <v/>
      </c>
      <c r="EU22" s="1444" t="str">
        <f t="shared" si="87"/>
        <v/>
      </c>
      <c r="EX22" s="503" t="str">
        <f t="shared" ca="1" si="88"/>
        <v>G52B</v>
      </c>
      <c r="EY22" s="940" t="b">
        <f t="shared" ca="1" si="73"/>
        <v>1</v>
      </c>
      <c r="EZ22" s="940">
        <f t="shared" ca="1" si="89"/>
        <v>5</v>
      </c>
      <c r="FA22" s="958" t="b">
        <f t="shared" ca="1" si="94"/>
        <v>1</v>
      </c>
      <c r="FB22" s="134">
        <f t="shared" ca="1" si="90"/>
        <v>666</v>
      </c>
      <c r="FC22" s="134">
        <f t="shared" ca="1" si="74"/>
        <v>93</v>
      </c>
      <c r="FD22" s="134">
        <f t="shared" ca="1" si="75"/>
        <v>480</v>
      </c>
      <c r="FE22" s="134">
        <f t="shared" ca="1" si="76"/>
        <v>93</v>
      </c>
      <c r="FF22" s="134">
        <f t="shared" ca="1" si="91"/>
        <v>666</v>
      </c>
      <c r="FN22" s="754" t="b">
        <v>0</v>
      </c>
      <c r="FO22" s="754" t="b">
        <f t="shared" si="77"/>
        <v>1</v>
      </c>
      <c r="FP22" s="754" t="b">
        <v>0</v>
      </c>
      <c r="FQ22" s="754" t="b">
        <f t="shared" si="92"/>
        <v>1</v>
      </c>
      <c r="FW22" s="23"/>
      <c r="FX22" s="23"/>
      <c r="FZ22" s="23"/>
      <c r="GA22" s="581">
        <f t="shared" si="78"/>
        <v>56</v>
      </c>
      <c r="GB22" s="623">
        <f t="shared" si="79"/>
        <v>0</v>
      </c>
      <c r="GC22" s="625">
        <f t="shared" si="80"/>
        <v>-0.25</v>
      </c>
      <c r="GD22" s="626">
        <f t="shared" si="81"/>
        <v>-0.25</v>
      </c>
      <c r="GE22" s="624">
        <f t="shared" si="82"/>
        <v>0</v>
      </c>
      <c r="GF22" s="582" t="str">
        <f t="shared" si="83"/>
        <v>G52</v>
      </c>
      <c r="GG22" s="692">
        <v>0</v>
      </c>
      <c r="GH22" s="1136">
        <v>0</v>
      </c>
      <c r="GI22" s="692"/>
      <c r="GJ22" s="1136"/>
      <c r="GK22" s="1641">
        <f t="shared" si="84"/>
        <v>671.5</v>
      </c>
      <c r="GL22" s="1641">
        <f t="shared" si="85"/>
        <v>671.5</v>
      </c>
      <c r="GM22" s="1642">
        <f>IF(ABS(GK22-GL22)&gt;='Job Info.'!$L$22,ABS(GK22-GL22),0)</f>
        <v>0</v>
      </c>
      <c r="HA22" s="1242" t="s">
        <v>1448</v>
      </c>
      <c r="HB22" s="1243">
        <v>1</v>
      </c>
      <c r="HC22" s="1243" t="s">
        <v>1731</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1737</v>
      </c>
      <c r="IB22" s="1247"/>
      <c r="IC22" s="1247"/>
      <c r="ID22" s="1262">
        <v>11.125</v>
      </c>
      <c r="IE22" s="1242" t="s">
        <v>1448</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5"/>
        <v>1</v>
      </c>
    </row>
    <row r="23" spans="1:272" ht="12.6" customHeight="1" x14ac:dyDescent="0.25">
      <c r="A23" s="2683" t="str">
        <f t="shared" si="0"/>
        <v>G53</v>
      </c>
      <c r="B23" s="2684">
        <f t="shared" si="0"/>
        <v>4</v>
      </c>
      <c r="C23" s="2685" t="s">
        <v>1731</v>
      </c>
      <c r="D23" s="2686">
        <f t="shared" si="1"/>
        <v>55</v>
      </c>
      <c r="E23" s="2687">
        <f t="shared" si="2"/>
        <v>11.5</v>
      </c>
      <c r="F23" s="2688">
        <f t="shared" si="3"/>
        <v>11.125</v>
      </c>
      <c r="G23" s="2689">
        <f t="shared" si="4"/>
        <v>0</v>
      </c>
      <c r="H23" s="2690">
        <f t="shared" si="5"/>
        <v>2.75</v>
      </c>
      <c r="I23" s="2691" t="str">
        <f t="shared" si="6"/>
        <v>R</v>
      </c>
      <c r="J23" s="2686">
        <f t="shared" si="7"/>
        <v>0</v>
      </c>
      <c r="K23" s="2690">
        <f t="shared" si="8"/>
        <v>2.75</v>
      </c>
      <c r="L23" s="2692" t="str">
        <f t="shared" si="9"/>
        <v>R</v>
      </c>
      <c r="M23" s="2693">
        <f t="shared" si="10"/>
        <v>7.5</v>
      </c>
      <c r="N23" s="2694">
        <f t="shared" si="10"/>
        <v>7.5</v>
      </c>
      <c r="O23" s="2689">
        <f t="shared" si="11"/>
        <v>0</v>
      </c>
      <c r="P23" s="2690">
        <f t="shared" si="12"/>
        <v>7.75</v>
      </c>
      <c r="Q23" s="2686">
        <f t="shared" si="13"/>
        <v>0</v>
      </c>
      <c r="R23" s="2687">
        <f t="shared" si="14"/>
        <v>7.75</v>
      </c>
      <c r="S23" s="2695">
        <f t="shared" si="15"/>
        <v>0</v>
      </c>
      <c r="T23" s="2690">
        <f t="shared" si="16"/>
        <v>7.25</v>
      </c>
      <c r="U23" s="2686">
        <f t="shared" si="17"/>
        <v>0</v>
      </c>
      <c r="V23" s="2690">
        <f t="shared" si="18"/>
        <v>7.25</v>
      </c>
      <c r="W23" s="2694">
        <f t="shared" si="19"/>
        <v>5</v>
      </c>
      <c r="X23" s="2696" t="str">
        <f t="shared" si="20"/>
        <v/>
      </c>
      <c r="Y23" s="2697" t="str">
        <f t="shared" si="21"/>
        <v/>
      </c>
      <c r="Z23" s="2698" t="s">
        <v>1916</v>
      </c>
      <c r="AA23" s="2758" t="str">
        <f t="shared" si="22"/>
        <v/>
      </c>
      <c r="AB23" s="2683" t="str">
        <f t="shared" si="23"/>
        <v>G53</v>
      </c>
      <c r="AC23" s="2691" t="str">
        <f t="shared" si="24"/>
        <v>B</v>
      </c>
      <c r="AD23" s="2686">
        <f t="shared" ca="1" si="25"/>
        <v>7</v>
      </c>
      <c r="AE23" s="2690">
        <f t="shared" ca="1" si="26"/>
        <v>9</v>
      </c>
      <c r="AF23" s="2691">
        <f t="shared" ca="1" si="27"/>
        <v>5</v>
      </c>
      <c r="AG23" s="2686">
        <f t="shared" ca="1" si="28"/>
        <v>8</v>
      </c>
      <c r="AH23" s="2690">
        <f t="shared" ca="1" si="29"/>
        <v>0</v>
      </c>
      <c r="AI23" s="2686">
        <f t="shared" ca="1" si="30"/>
        <v>7</v>
      </c>
      <c r="AJ23" s="2690">
        <f t="shared" ca="1" si="31"/>
        <v>9</v>
      </c>
      <c r="AK23" s="2732" t="str">
        <f t="shared" si="32"/>
        <v/>
      </c>
      <c r="AL23" s="2733" t="str">
        <f t="shared" si="33"/>
        <v/>
      </c>
      <c r="AM23" s="2734">
        <f t="shared" si="32"/>
        <v>5</v>
      </c>
      <c r="AN23" s="2691">
        <f t="shared" si="32"/>
        <v>13</v>
      </c>
      <c r="AO23" s="2694">
        <f t="shared" si="32"/>
        <v>4</v>
      </c>
      <c r="AP23" s="2693">
        <f t="shared" si="34"/>
        <v>1.75</v>
      </c>
      <c r="AQ23" s="2736">
        <f t="shared" si="34"/>
        <v>1.75</v>
      </c>
      <c r="AR23" s="2689">
        <f t="shared" si="35"/>
        <v>1</v>
      </c>
      <c r="AS23" s="2690">
        <f t="shared" si="36"/>
        <v>0</v>
      </c>
      <c r="AT23" s="2737" t="str">
        <f t="shared" si="37"/>
        <v/>
      </c>
      <c r="AU23" s="2738" t="str">
        <f t="shared" si="38"/>
        <v>B</v>
      </c>
      <c r="AV23" s="2695">
        <f t="shared" si="39"/>
        <v>55</v>
      </c>
      <c r="AW23" s="2690">
        <f t="shared" si="40"/>
        <v>0</v>
      </c>
      <c r="AX23" s="2737" t="str">
        <f t="shared" si="41"/>
        <v/>
      </c>
      <c r="AY23" s="2738" t="str">
        <f t="shared" si="42"/>
        <v>B</v>
      </c>
      <c r="AZ23" s="2695" t="str">
        <f t="shared" si="43"/>
        <v/>
      </c>
      <c r="BA23" s="2690" t="str">
        <f t="shared" si="44"/>
        <v/>
      </c>
      <c r="BB23" s="2737" t="str">
        <f t="shared" si="45"/>
        <v/>
      </c>
      <c r="BC23" s="2738" t="str">
        <f t="shared" si="46"/>
        <v/>
      </c>
      <c r="BD23" s="2695" t="str">
        <f t="shared" si="47"/>
        <v/>
      </c>
      <c r="BE23" s="2690" t="str">
        <f t="shared" si="48"/>
        <v/>
      </c>
      <c r="BF23" s="2737" t="str">
        <f t="shared" si="49"/>
        <v/>
      </c>
      <c r="BG23" s="2738" t="str">
        <f t="shared" si="50"/>
        <v/>
      </c>
      <c r="BH23" s="1417"/>
      <c r="BJ23" s="995" t="str">
        <f t="shared" si="93"/>
        <v>G53</v>
      </c>
      <c r="BK23" s="993" t="b">
        <f t="shared" si="51"/>
        <v>0</v>
      </c>
      <c r="BL23" s="1784" t="b">
        <v>0</v>
      </c>
      <c r="BM23" s="989">
        <f t="shared" si="52"/>
        <v>52</v>
      </c>
      <c r="BN23" s="989" t="str">
        <f t="shared" si="53"/>
        <v>G</v>
      </c>
      <c r="BO23" s="989">
        <f t="shared" si="54"/>
        <v>7</v>
      </c>
      <c r="BP23" s="989" t="str">
        <f t="shared" si="55"/>
        <v>13/6</v>
      </c>
      <c r="BQ23" s="989">
        <f t="shared" si="56"/>
        <v>2.4</v>
      </c>
      <c r="BR23" s="989" t="b">
        <f t="shared" si="57"/>
        <v>1</v>
      </c>
      <c r="BS23" s="1303">
        <f t="shared" si="58"/>
        <v>8.75</v>
      </c>
      <c r="BT23" s="990" t="str">
        <f t="shared" si="59"/>
        <v>Yes</v>
      </c>
      <c r="BU23" s="1303">
        <f t="shared" si="60"/>
        <v>8.75</v>
      </c>
      <c r="BV23" s="990" t="str">
        <f t="shared" si="61"/>
        <v>Yes</v>
      </c>
      <c r="BW23" s="991">
        <f t="shared" ca="1" si="62"/>
        <v>20</v>
      </c>
      <c r="BX23" s="991" t="str">
        <f t="shared" ca="1" si="63"/>
        <v>G53</v>
      </c>
      <c r="BY23" s="991" t="b">
        <f t="shared" ca="1" si="64"/>
        <v>0</v>
      </c>
      <c r="BZ23" s="991" t="b">
        <f t="shared" si="86"/>
        <v>0</v>
      </c>
      <c r="CB23" s="672" t="s">
        <v>1449</v>
      </c>
      <c r="CC23" s="1685">
        <v>4</v>
      </c>
      <c r="CD23" s="699" t="s">
        <v>1731</v>
      </c>
      <c r="CE23" s="700">
        <v>56</v>
      </c>
      <c r="CF23" s="701">
        <v>0</v>
      </c>
      <c r="CG23" s="672">
        <v>7</v>
      </c>
      <c r="CH23" s="713"/>
      <c r="CI23" s="714"/>
      <c r="CJ23" s="713"/>
      <c r="CK23" s="714"/>
      <c r="CL23" s="715"/>
      <c r="CM23" s="743"/>
      <c r="CN23" s="738"/>
      <c r="CO23" s="1552"/>
      <c r="CP23" s="910"/>
      <c r="CQ23" s="672">
        <v>7</v>
      </c>
      <c r="CR23" s="713"/>
      <c r="CS23" s="714"/>
      <c r="CT23" s="713"/>
      <c r="CU23" s="714"/>
      <c r="CV23" s="715"/>
      <c r="CW23" s="743"/>
      <c r="CX23" s="738"/>
      <c r="CY23" s="1552"/>
      <c r="CZ23" s="910"/>
      <c r="DA23" s="717"/>
      <c r="DB23" s="702">
        <v>15</v>
      </c>
      <c r="DC23" s="703"/>
      <c r="DD23" s="725"/>
      <c r="DE23" s="726">
        <v>11.125</v>
      </c>
      <c r="DF23" s="141"/>
      <c r="DG23" s="141"/>
      <c r="DH23" s="672" t="s">
        <v>1449</v>
      </c>
      <c r="DI23" s="673" t="s">
        <v>35</v>
      </c>
      <c r="DJ23" s="692">
        <v>8</v>
      </c>
      <c r="DK23" s="1332">
        <v>0</v>
      </c>
      <c r="DL23" s="674">
        <v>5</v>
      </c>
      <c r="DM23" s="693">
        <v>8</v>
      </c>
      <c r="DN23" s="1335">
        <v>0</v>
      </c>
      <c r="DO23" s="675"/>
      <c r="DP23" s="676"/>
      <c r="DQ23" s="1420">
        <v>5</v>
      </c>
      <c r="DR23" s="677">
        <v>13</v>
      </c>
      <c r="DS23" s="1420">
        <v>4</v>
      </c>
      <c r="DT23" s="1422">
        <v>2</v>
      </c>
      <c r="DU23" s="1423">
        <v>2</v>
      </c>
      <c r="DV23" s="2661">
        <v>1</v>
      </c>
      <c r="DW23" s="2664">
        <v>0.25</v>
      </c>
      <c r="DX23" s="679"/>
      <c r="DY23" s="2665" t="s">
        <v>35</v>
      </c>
      <c r="DZ23" s="2661">
        <v>55</v>
      </c>
      <c r="EA23" s="2664">
        <v>0.25</v>
      </c>
      <c r="EB23" s="679"/>
      <c r="EC23" s="2665" t="s">
        <v>35</v>
      </c>
      <c r="ED23" s="678"/>
      <c r="EE23" s="1337"/>
      <c r="EF23" s="679"/>
      <c r="EG23" s="674"/>
      <c r="EH23" s="678"/>
      <c r="EI23" s="1337"/>
      <c r="EJ23" s="679"/>
      <c r="EK23" s="680"/>
      <c r="EL23" s="241"/>
      <c r="EM23" s="1632" t="str">
        <f t="shared" si="65"/>
        <v>G53</v>
      </c>
      <c r="EN23" s="1429" t="str">
        <f t="shared" si="66"/>
        <v/>
      </c>
      <c r="EO23" s="1430" t="str">
        <f t="shared" si="67"/>
        <v/>
      </c>
      <c r="EP23" s="1431" t="str">
        <f t="shared" si="68"/>
        <v/>
      </c>
      <c r="EQ23" s="1435" t="str">
        <f t="shared" si="69"/>
        <v/>
      </c>
      <c r="ER23" s="1441" t="str">
        <f t="shared" si="70"/>
        <v/>
      </c>
      <c r="ES23" s="1442" t="str">
        <f t="shared" si="71"/>
        <v/>
      </c>
      <c r="ET23" s="1443" t="str">
        <f t="shared" si="72"/>
        <v/>
      </c>
      <c r="EU23" s="1444" t="str">
        <f t="shared" si="87"/>
        <v/>
      </c>
      <c r="EX23" s="503" t="str">
        <f t="shared" ca="1" si="88"/>
        <v>G53B</v>
      </c>
      <c r="EY23" s="940" t="b">
        <f t="shared" ca="1" si="73"/>
        <v>1</v>
      </c>
      <c r="EZ23" s="940">
        <f t="shared" ca="1" si="89"/>
        <v>5</v>
      </c>
      <c r="FA23" s="958" t="b">
        <f t="shared" ca="1" si="94"/>
        <v>1</v>
      </c>
      <c r="FB23" s="134">
        <f t="shared" ca="1" si="90"/>
        <v>666</v>
      </c>
      <c r="FC23" s="134">
        <f t="shared" ca="1" si="74"/>
        <v>93</v>
      </c>
      <c r="FD23" s="134">
        <f t="shared" ca="1" si="75"/>
        <v>480</v>
      </c>
      <c r="FE23" s="134">
        <f t="shared" ca="1" si="76"/>
        <v>93</v>
      </c>
      <c r="FF23" s="134">
        <f t="shared" ca="1" si="91"/>
        <v>666</v>
      </c>
      <c r="FN23" s="754" t="b">
        <v>0</v>
      </c>
      <c r="FO23" s="754" t="b">
        <f t="shared" si="77"/>
        <v>1</v>
      </c>
      <c r="FP23" s="754" t="b">
        <v>0</v>
      </c>
      <c r="FQ23" s="754" t="b">
        <f t="shared" si="92"/>
        <v>1</v>
      </c>
      <c r="FW23" s="2"/>
      <c r="FX23" s="2"/>
      <c r="FZ23" s="2"/>
      <c r="GA23" s="581">
        <f t="shared" si="78"/>
        <v>56</v>
      </c>
      <c r="GB23" s="623">
        <f t="shared" si="79"/>
        <v>0</v>
      </c>
      <c r="GC23" s="625">
        <f t="shared" si="80"/>
        <v>-0.25</v>
      </c>
      <c r="GD23" s="626">
        <f t="shared" si="81"/>
        <v>-0.25</v>
      </c>
      <c r="GE23" s="624">
        <f t="shared" si="82"/>
        <v>0</v>
      </c>
      <c r="GF23" s="582" t="str">
        <f t="shared" si="83"/>
        <v>G53</v>
      </c>
      <c r="GG23" s="692">
        <v>0</v>
      </c>
      <c r="GH23" s="1136">
        <v>0</v>
      </c>
      <c r="GI23" s="692"/>
      <c r="GJ23" s="1136"/>
      <c r="GK23" s="1641">
        <f t="shared" si="84"/>
        <v>671.5</v>
      </c>
      <c r="GL23" s="1641">
        <f t="shared" si="85"/>
        <v>671.5</v>
      </c>
      <c r="GM23" s="1642">
        <f>IF(ABS(GK23-GL23)&gt;='Job Info.'!$L$22,ABS(GK23-GL23),0)</f>
        <v>0</v>
      </c>
      <c r="HA23" s="1242" t="s">
        <v>1449</v>
      </c>
      <c r="HB23" s="1243">
        <v>4</v>
      </c>
      <c r="HC23" s="1243" t="s">
        <v>1731</v>
      </c>
      <c r="HD23" s="1244">
        <v>56</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15</v>
      </c>
      <c r="IB23" s="1247"/>
      <c r="IC23" s="1247"/>
      <c r="ID23" s="1262">
        <v>11.125</v>
      </c>
      <c r="IE23" s="1242" t="s">
        <v>1449</v>
      </c>
      <c r="IF23" s="1243" t="s">
        <v>35</v>
      </c>
      <c r="IG23" s="1244">
        <v>8</v>
      </c>
      <c r="IH23" s="1245">
        <v>0</v>
      </c>
      <c r="II23" s="1243">
        <v>5</v>
      </c>
      <c r="IJ23" s="1244">
        <v>8</v>
      </c>
      <c r="IK23" s="1245">
        <v>0</v>
      </c>
      <c r="IL23" s="1243"/>
      <c r="IM23" s="1243"/>
      <c r="IN23" s="1243">
        <v>5</v>
      </c>
      <c r="IO23" s="1243">
        <v>13</v>
      </c>
      <c r="IP23" s="1243">
        <v>4</v>
      </c>
      <c r="IQ23" s="1243">
        <v>2</v>
      </c>
      <c r="IR23" s="1243">
        <v>2</v>
      </c>
      <c r="IS23" s="1244"/>
      <c r="IT23" s="1245"/>
      <c r="IU23" s="1243"/>
      <c r="IV23" s="1243"/>
      <c r="IW23" s="1244"/>
      <c r="IX23" s="1245"/>
      <c r="IY23" s="1243"/>
      <c r="IZ23" s="1243"/>
      <c r="JA23" s="1244"/>
      <c r="JB23" s="1245"/>
      <c r="JC23" s="1243"/>
      <c r="JD23" s="1243"/>
      <c r="JE23" s="1244"/>
      <c r="JF23" s="1245"/>
      <c r="JG23" s="1243"/>
      <c r="JH23" s="1243"/>
      <c r="JI23" s="1243"/>
      <c r="JJ23" s="1246"/>
      <c r="JK23" s="1243">
        <v>1</v>
      </c>
      <c r="JL23" s="1172">
        <f t="shared" ca="1" si="95"/>
        <v>1</v>
      </c>
    </row>
    <row r="24" spans="1:272" ht="12.6" customHeight="1" x14ac:dyDescent="0.25">
      <c r="A24" s="2683" t="str">
        <f t="shared" si="0"/>
        <v>G54</v>
      </c>
      <c r="B24" s="2684">
        <f t="shared" si="0"/>
        <v>1</v>
      </c>
      <c r="C24" s="2685" t="s">
        <v>1731</v>
      </c>
      <c r="D24" s="2686">
        <f t="shared" si="1"/>
        <v>55</v>
      </c>
      <c r="E24" s="2687">
        <f t="shared" si="2"/>
        <v>11.5</v>
      </c>
      <c r="F24" s="2688">
        <f t="shared" si="3"/>
        <v>11.125</v>
      </c>
      <c r="G24" s="2689">
        <f t="shared" si="4"/>
        <v>0</v>
      </c>
      <c r="H24" s="2690">
        <f t="shared" si="5"/>
        <v>2.75</v>
      </c>
      <c r="I24" s="2691" t="str">
        <f t="shared" si="6"/>
        <v>R</v>
      </c>
      <c r="J24" s="2686">
        <f t="shared" si="7"/>
        <v>0</v>
      </c>
      <c r="K24" s="2690">
        <f t="shared" si="8"/>
        <v>2.75</v>
      </c>
      <c r="L24" s="2692" t="str">
        <f t="shared" si="9"/>
        <v>R</v>
      </c>
      <c r="M24" s="2693">
        <f t="shared" si="10"/>
        <v>7.5</v>
      </c>
      <c r="N24" s="2694">
        <f t="shared" si="10"/>
        <v>7.5</v>
      </c>
      <c r="O24" s="2689">
        <f t="shared" si="11"/>
        <v>0</v>
      </c>
      <c r="P24" s="2690">
        <f t="shared" si="12"/>
        <v>7.75</v>
      </c>
      <c r="Q24" s="2686">
        <f t="shared" si="13"/>
        <v>0</v>
      </c>
      <c r="R24" s="2687">
        <f t="shared" si="14"/>
        <v>7.75</v>
      </c>
      <c r="S24" s="2695">
        <f t="shared" si="15"/>
        <v>0</v>
      </c>
      <c r="T24" s="2690">
        <f t="shared" si="16"/>
        <v>7.25</v>
      </c>
      <c r="U24" s="2686">
        <f t="shared" si="17"/>
        <v>0</v>
      </c>
      <c r="V24" s="2690">
        <f t="shared" si="18"/>
        <v>7.25</v>
      </c>
      <c r="W24" s="2694">
        <f t="shared" si="19"/>
        <v>5</v>
      </c>
      <c r="X24" s="2696" t="str">
        <f t="shared" si="20"/>
        <v/>
      </c>
      <c r="Y24" s="2697" t="str">
        <f t="shared" si="21"/>
        <v/>
      </c>
      <c r="Z24" s="2698" t="s">
        <v>1917</v>
      </c>
      <c r="AA24" s="2758" t="str">
        <f t="shared" si="22"/>
        <v/>
      </c>
      <c r="AB24" s="2683" t="str">
        <f t="shared" si="23"/>
        <v>G54</v>
      </c>
      <c r="AC24" s="2691" t="str">
        <f t="shared" si="24"/>
        <v>B</v>
      </c>
      <c r="AD24" s="2686">
        <f t="shared" ca="1" si="25"/>
        <v>7</v>
      </c>
      <c r="AE24" s="2690">
        <f t="shared" ca="1" si="26"/>
        <v>9</v>
      </c>
      <c r="AF24" s="2691">
        <f t="shared" ca="1" si="27"/>
        <v>5</v>
      </c>
      <c r="AG24" s="2686">
        <f t="shared" ca="1" si="28"/>
        <v>8</v>
      </c>
      <c r="AH24" s="2690">
        <f t="shared" ca="1" si="29"/>
        <v>0</v>
      </c>
      <c r="AI24" s="2686">
        <f t="shared" ca="1" si="30"/>
        <v>7</v>
      </c>
      <c r="AJ24" s="2690">
        <f t="shared" ca="1" si="31"/>
        <v>9</v>
      </c>
      <c r="AK24" s="2732" t="str">
        <f t="shared" si="32"/>
        <v/>
      </c>
      <c r="AL24" s="2733" t="str">
        <f t="shared" si="33"/>
        <v/>
      </c>
      <c r="AM24" s="2734">
        <f t="shared" si="32"/>
        <v>5</v>
      </c>
      <c r="AN24" s="2691">
        <f t="shared" si="32"/>
        <v>13</v>
      </c>
      <c r="AO24" s="2694">
        <f t="shared" si="32"/>
        <v>4</v>
      </c>
      <c r="AP24" s="2693">
        <f t="shared" si="34"/>
        <v>1.75</v>
      </c>
      <c r="AQ24" s="2736">
        <f t="shared" si="34"/>
        <v>1.75</v>
      </c>
      <c r="AR24" s="2689">
        <f t="shared" si="35"/>
        <v>1</v>
      </c>
      <c r="AS24" s="2690">
        <f t="shared" si="36"/>
        <v>0</v>
      </c>
      <c r="AT24" s="2737" t="str">
        <f t="shared" si="37"/>
        <v/>
      </c>
      <c r="AU24" s="2738" t="str">
        <f t="shared" si="38"/>
        <v>B</v>
      </c>
      <c r="AV24" s="2695">
        <f t="shared" si="39"/>
        <v>55</v>
      </c>
      <c r="AW24" s="2690">
        <f t="shared" si="40"/>
        <v>0</v>
      </c>
      <c r="AX24" s="2737" t="str">
        <f t="shared" si="41"/>
        <v/>
      </c>
      <c r="AY24" s="2738" t="str">
        <f t="shared" si="42"/>
        <v>B</v>
      </c>
      <c r="AZ24" s="2695" t="str">
        <f t="shared" si="43"/>
        <v/>
      </c>
      <c r="BA24" s="2690" t="str">
        <f t="shared" si="44"/>
        <v/>
      </c>
      <c r="BB24" s="2737" t="str">
        <f t="shared" si="45"/>
        <v/>
      </c>
      <c r="BC24" s="2738" t="str">
        <f t="shared" si="46"/>
        <v/>
      </c>
      <c r="BD24" s="2695" t="str">
        <f t="shared" si="47"/>
        <v/>
      </c>
      <c r="BE24" s="2690" t="str">
        <f t="shared" si="48"/>
        <v/>
      </c>
      <c r="BF24" s="2737" t="str">
        <f t="shared" si="49"/>
        <v/>
      </c>
      <c r="BG24" s="2738" t="str">
        <f t="shared" si="50"/>
        <v/>
      </c>
      <c r="BH24" s="1417"/>
      <c r="BJ24" s="995" t="str">
        <f t="shared" si="93"/>
        <v>G54</v>
      </c>
      <c r="BK24" s="993" t="b">
        <f t="shared" si="51"/>
        <v>0</v>
      </c>
      <c r="BL24" s="1784" t="b">
        <v>0</v>
      </c>
      <c r="BM24" s="989">
        <f t="shared" si="52"/>
        <v>52</v>
      </c>
      <c r="BN24" s="989" t="str">
        <f t="shared" si="53"/>
        <v>G</v>
      </c>
      <c r="BO24" s="989">
        <f t="shared" si="54"/>
        <v>7</v>
      </c>
      <c r="BP24" s="989" t="str">
        <f t="shared" si="55"/>
        <v>13/6</v>
      </c>
      <c r="BQ24" s="989">
        <f t="shared" si="56"/>
        <v>2.4</v>
      </c>
      <c r="BR24" s="989" t="b">
        <f t="shared" si="57"/>
        <v>1</v>
      </c>
      <c r="BS24" s="1303">
        <f t="shared" si="58"/>
        <v>8.75</v>
      </c>
      <c r="BT24" s="990" t="str">
        <f t="shared" si="59"/>
        <v>Yes</v>
      </c>
      <c r="BU24" s="1303">
        <f t="shared" si="60"/>
        <v>8.75</v>
      </c>
      <c r="BV24" s="990" t="str">
        <f t="shared" si="61"/>
        <v>Yes</v>
      </c>
      <c r="BW24" s="991">
        <f t="shared" ca="1" si="62"/>
        <v>20</v>
      </c>
      <c r="BX24" s="991" t="str">
        <f t="shared" ca="1" si="63"/>
        <v>G54</v>
      </c>
      <c r="BY24" s="991" t="b">
        <f t="shared" ca="1" si="64"/>
        <v>0</v>
      </c>
      <c r="BZ24" s="991" t="b">
        <f t="shared" si="86"/>
        <v>0</v>
      </c>
      <c r="CB24" s="672" t="s">
        <v>1450</v>
      </c>
      <c r="CC24" s="1685">
        <v>1</v>
      </c>
      <c r="CD24" s="699" t="s">
        <v>1731</v>
      </c>
      <c r="CE24" s="700">
        <v>56</v>
      </c>
      <c r="CF24" s="701">
        <v>0</v>
      </c>
      <c r="CG24" s="672">
        <v>7</v>
      </c>
      <c r="CH24" s="713"/>
      <c r="CI24" s="714"/>
      <c r="CJ24" s="713"/>
      <c r="CK24" s="714"/>
      <c r="CL24" s="715"/>
      <c r="CM24" s="743"/>
      <c r="CN24" s="738"/>
      <c r="CO24" s="1552"/>
      <c r="CP24" s="910"/>
      <c r="CQ24" s="672">
        <v>7</v>
      </c>
      <c r="CR24" s="713"/>
      <c r="CS24" s="714"/>
      <c r="CT24" s="713"/>
      <c r="CU24" s="714"/>
      <c r="CV24" s="715"/>
      <c r="CW24" s="743"/>
      <c r="CX24" s="738"/>
      <c r="CY24" s="1552"/>
      <c r="CZ24" s="910"/>
      <c r="DA24" s="717"/>
      <c r="DB24" s="702" t="s">
        <v>1738</v>
      </c>
      <c r="DC24" s="703" t="s">
        <v>34</v>
      </c>
      <c r="DD24" s="725"/>
      <c r="DE24" s="726">
        <v>11.125</v>
      </c>
      <c r="DF24" s="141"/>
      <c r="DG24" s="141"/>
      <c r="DH24" s="672" t="s">
        <v>1450</v>
      </c>
      <c r="DI24" s="673" t="s">
        <v>35</v>
      </c>
      <c r="DJ24" s="692">
        <v>8</v>
      </c>
      <c r="DK24" s="1332">
        <v>0</v>
      </c>
      <c r="DL24" s="674">
        <v>5</v>
      </c>
      <c r="DM24" s="693">
        <v>8</v>
      </c>
      <c r="DN24" s="1335">
        <v>0</v>
      </c>
      <c r="DO24" s="675"/>
      <c r="DP24" s="676"/>
      <c r="DQ24" s="1420">
        <v>5</v>
      </c>
      <c r="DR24" s="677">
        <v>13</v>
      </c>
      <c r="DS24" s="1420">
        <v>4</v>
      </c>
      <c r="DT24" s="1422">
        <v>2</v>
      </c>
      <c r="DU24" s="1423">
        <v>2</v>
      </c>
      <c r="DV24" s="2661">
        <v>1</v>
      </c>
      <c r="DW24" s="2664">
        <v>0.25</v>
      </c>
      <c r="DX24" s="679"/>
      <c r="DY24" s="2665" t="s">
        <v>35</v>
      </c>
      <c r="DZ24" s="2661">
        <v>55</v>
      </c>
      <c r="EA24" s="2664">
        <v>0.25</v>
      </c>
      <c r="EB24" s="679"/>
      <c r="EC24" s="2665" t="s">
        <v>35</v>
      </c>
      <c r="ED24" s="678"/>
      <c r="EE24" s="1337"/>
      <c r="EF24" s="679"/>
      <c r="EG24" s="674"/>
      <c r="EH24" s="678"/>
      <c r="EI24" s="1337"/>
      <c r="EJ24" s="679"/>
      <c r="EK24" s="680"/>
      <c r="EL24" s="241"/>
      <c r="EM24" s="1632" t="str">
        <f t="shared" si="65"/>
        <v>G54</v>
      </c>
      <c r="EN24" s="1429" t="str">
        <f t="shared" si="66"/>
        <v/>
      </c>
      <c r="EO24" s="1430" t="str">
        <f t="shared" si="67"/>
        <v/>
      </c>
      <c r="EP24" s="1431" t="str">
        <f t="shared" si="68"/>
        <v/>
      </c>
      <c r="EQ24" s="1435" t="str">
        <f t="shared" si="69"/>
        <v/>
      </c>
      <c r="ER24" s="1441" t="str">
        <f t="shared" si="70"/>
        <v/>
      </c>
      <c r="ES24" s="1442" t="str">
        <f t="shared" si="71"/>
        <v/>
      </c>
      <c r="ET24" s="1443" t="str">
        <f t="shared" si="72"/>
        <v/>
      </c>
      <c r="EU24" s="1444" t="str">
        <f t="shared" si="87"/>
        <v/>
      </c>
      <c r="EX24" s="503" t="str">
        <f t="shared" ca="1" si="88"/>
        <v>G54B</v>
      </c>
      <c r="EY24" s="940" t="b">
        <f t="shared" ca="1" si="73"/>
        <v>1</v>
      </c>
      <c r="EZ24" s="940">
        <f t="shared" ca="1" si="89"/>
        <v>5</v>
      </c>
      <c r="FA24" s="958" t="b">
        <f t="shared" ca="1" si="94"/>
        <v>1</v>
      </c>
      <c r="FB24" s="134">
        <f t="shared" ca="1" si="90"/>
        <v>666</v>
      </c>
      <c r="FC24" s="134">
        <f t="shared" ca="1" si="74"/>
        <v>93</v>
      </c>
      <c r="FD24" s="134">
        <f t="shared" ca="1" si="75"/>
        <v>480</v>
      </c>
      <c r="FE24" s="134">
        <f t="shared" ca="1" si="76"/>
        <v>93</v>
      </c>
      <c r="FF24" s="134">
        <f t="shared" ca="1" si="91"/>
        <v>666</v>
      </c>
      <c r="FN24" s="754" t="b">
        <v>0</v>
      </c>
      <c r="FO24" s="754" t="b">
        <f t="shared" si="77"/>
        <v>1</v>
      </c>
      <c r="FP24" s="754" t="b">
        <v>0</v>
      </c>
      <c r="FQ24" s="754" t="b">
        <f t="shared" si="92"/>
        <v>1</v>
      </c>
      <c r="FW24" s="2"/>
      <c r="FX24" s="2"/>
      <c r="FZ24" s="2"/>
      <c r="GA24" s="581">
        <f t="shared" si="78"/>
        <v>56</v>
      </c>
      <c r="GB24" s="623">
        <f t="shared" si="79"/>
        <v>0</v>
      </c>
      <c r="GC24" s="625">
        <f t="shared" si="80"/>
        <v>-0.25</v>
      </c>
      <c r="GD24" s="626">
        <f t="shared" si="81"/>
        <v>-0.25</v>
      </c>
      <c r="GE24" s="624">
        <f t="shared" si="82"/>
        <v>0</v>
      </c>
      <c r="GF24" s="582" t="str">
        <f t="shared" si="83"/>
        <v>G54</v>
      </c>
      <c r="GG24" s="692">
        <v>0</v>
      </c>
      <c r="GH24" s="1136">
        <v>0</v>
      </c>
      <c r="GI24" s="692"/>
      <c r="GJ24" s="1136"/>
      <c r="GK24" s="1641">
        <f t="shared" si="84"/>
        <v>671.5</v>
      </c>
      <c r="GL24" s="1641">
        <f t="shared" si="85"/>
        <v>671.5</v>
      </c>
      <c r="GM24" s="1642">
        <f>IF(ABS(GK24-GL24)&gt;='Job Info.'!$L$22,ABS(GK24-GL24),0)</f>
        <v>0</v>
      </c>
      <c r="HA24" s="1242" t="s">
        <v>1450</v>
      </c>
      <c r="HB24" s="1243">
        <v>1</v>
      </c>
      <c r="HC24" s="1243" t="s">
        <v>1731</v>
      </c>
      <c r="HD24" s="1244">
        <v>56</v>
      </c>
      <c r="HE24" s="1245">
        <v>0</v>
      </c>
      <c r="HF24" s="1243">
        <v>7</v>
      </c>
      <c r="HG24" s="1243"/>
      <c r="HH24" s="1243"/>
      <c r="HI24" s="1243"/>
      <c r="HJ24" s="1243"/>
      <c r="HK24" s="1243"/>
      <c r="HL24" s="1243"/>
      <c r="HM24" s="1243"/>
      <c r="HN24" s="1243"/>
      <c r="HO24" s="1243"/>
      <c r="HP24" s="1243">
        <v>7</v>
      </c>
      <c r="HQ24" s="1243"/>
      <c r="HR24" s="1243"/>
      <c r="HS24" s="1243"/>
      <c r="HT24" s="1243"/>
      <c r="HU24" s="1243"/>
      <c r="HV24" s="1243"/>
      <c r="HW24" s="1243"/>
      <c r="HX24" s="1243"/>
      <c r="HY24" s="1247"/>
      <c r="HZ24" s="1247"/>
      <c r="IA24" s="1247" t="s">
        <v>1738</v>
      </c>
      <c r="IB24" s="1247" t="s">
        <v>34</v>
      </c>
      <c r="IC24" s="1247"/>
      <c r="ID24" s="1262">
        <v>11.125</v>
      </c>
      <c r="IE24" s="1242" t="s">
        <v>1450</v>
      </c>
      <c r="IF24" s="1243" t="s">
        <v>35</v>
      </c>
      <c r="IG24" s="1244">
        <v>8</v>
      </c>
      <c r="IH24" s="1245">
        <v>0</v>
      </c>
      <c r="II24" s="1243">
        <v>5</v>
      </c>
      <c r="IJ24" s="1244">
        <v>8</v>
      </c>
      <c r="IK24" s="1245">
        <v>0</v>
      </c>
      <c r="IL24" s="1243"/>
      <c r="IM24" s="1243"/>
      <c r="IN24" s="1243">
        <v>5</v>
      </c>
      <c r="IO24" s="1243">
        <v>13</v>
      </c>
      <c r="IP24" s="1243">
        <v>4</v>
      </c>
      <c r="IQ24" s="1243">
        <v>2</v>
      </c>
      <c r="IR24" s="1243">
        <v>2</v>
      </c>
      <c r="IS24" s="1244"/>
      <c r="IT24" s="1245"/>
      <c r="IU24" s="1243"/>
      <c r="IV24" s="1243"/>
      <c r="IW24" s="1244"/>
      <c r="IX24" s="1245"/>
      <c r="IY24" s="1243"/>
      <c r="IZ24" s="1243"/>
      <c r="JA24" s="1244"/>
      <c r="JB24" s="1245"/>
      <c r="JC24" s="1243"/>
      <c r="JD24" s="1243"/>
      <c r="JE24" s="1244"/>
      <c r="JF24" s="1245"/>
      <c r="JG24" s="1243"/>
      <c r="JH24" s="1243"/>
      <c r="JI24" s="1243"/>
      <c r="JJ24" s="1246"/>
      <c r="JK24" s="1243">
        <v>1</v>
      </c>
      <c r="JL24" s="1172">
        <f t="shared" ca="1" si="95"/>
        <v>1</v>
      </c>
    </row>
    <row r="25" spans="1:272" ht="12.6" customHeight="1" x14ac:dyDescent="0.25">
      <c r="A25" s="2683" t="str">
        <f t="shared" si="0"/>
        <v>G55</v>
      </c>
      <c r="B25" s="2684">
        <f t="shared" si="0"/>
        <v>1</v>
      </c>
      <c r="C25" s="2685" t="s">
        <v>1729</v>
      </c>
      <c r="D25" s="2686">
        <f t="shared" si="1"/>
        <v>59</v>
      </c>
      <c r="E25" s="2687">
        <f t="shared" si="2"/>
        <v>11.5</v>
      </c>
      <c r="F25" s="2688">
        <f t="shared" si="3"/>
        <v>11.125</v>
      </c>
      <c r="G25" s="2689">
        <f t="shared" si="4"/>
        <v>0</v>
      </c>
      <c r="H25" s="2690">
        <f t="shared" si="5"/>
        <v>2.75</v>
      </c>
      <c r="I25" s="2691" t="str">
        <f t="shared" si="6"/>
        <v>R</v>
      </c>
      <c r="J25" s="2686">
        <f t="shared" si="7"/>
        <v>0</v>
      </c>
      <c r="K25" s="2690">
        <f t="shared" si="8"/>
        <v>2.75</v>
      </c>
      <c r="L25" s="2692" t="str">
        <f t="shared" si="9"/>
        <v>R</v>
      </c>
      <c r="M25" s="2693">
        <f t="shared" si="10"/>
        <v>7.5</v>
      </c>
      <c r="N25" s="2694">
        <f t="shared" si="10"/>
        <v>7.5</v>
      </c>
      <c r="O25" s="2689">
        <f t="shared" si="11"/>
        <v>0</v>
      </c>
      <c r="P25" s="2690">
        <f t="shared" si="12"/>
        <v>7.75</v>
      </c>
      <c r="Q25" s="2686">
        <f t="shared" si="13"/>
        <v>0</v>
      </c>
      <c r="R25" s="2687">
        <f t="shared" si="14"/>
        <v>7.75</v>
      </c>
      <c r="S25" s="2695">
        <f t="shared" si="15"/>
        <v>0</v>
      </c>
      <c r="T25" s="2690">
        <f t="shared" si="16"/>
        <v>7.25</v>
      </c>
      <c r="U25" s="2686">
        <f t="shared" si="17"/>
        <v>0</v>
      </c>
      <c r="V25" s="2690">
        <f t="shared" si="18"/>
        <v>7.25</v>
      </c>
      <c r="W25" s="2694">
        <f t="shared" si="19"/>
        <v>5</v>
      </c>
      <c r="X25" s="2696" t="str">
        <f t="shared" si="20"/>
        <v/>
      </c>
      <c r="Y25" s="2697" t="str">
        <f t="shared" si="21"/>
        <v/>
      </c>
      <c r="Z25" s="2698" t="s">
        <v>1918</v>
      </c>
      <c r="AA25" s="2758" t="str">
        <f t="shared" si="22"/>
        <v/>
      </c>
      <c r="AB25" s="2683" t="str">
        <f t="shared" si="23"/>
        <v>G55</v>
      </c>
      <c r="AC25" s="2691" t="str">
        <f t="shared" si="24"/>
        <v>B</v>
      </c>
      <c r="AD25" s="2686">
        <f t="shared" ca="1" si="25"/>
        <v>7</v>
      </c>
      <c r="AE25" s="2690">
        <f t="shared" ca="1" si="26"/>
        <v>9</v>
      </c>
      <c r="AF25" s="2691">
        <f t="shared" ca="1" si="27"/>
        <v>6</v>
      </c>
      <c r="AG25" s="2686">
        <f t="shared" ca="1" si="28"/>
        <v>8</v>
      </c>
      <c r="AH25" s="2690">
        <f t="shared" ca="1" si="29"/>
        <v>0</v>
      </c>
      <c r="AI25" s="2686">
        <f t="shared" ca="1" si="30"/>
        <v>3</v>
      </c>
      <c r="AJ25" s="2690">
        <f t="shared" ca="1" si="31"/>
        <v>9</v>
      </c>
      <c r="AK25" s="2732" t="str">
        <f t="shared" si="32"/>
        <v/>
      </c>
      <c r="AL25" s="2733" t="str">
        <f t="shared" si="33"/>
        <v/>
      </c>
      <c r="AM25" s="2734">
        <f t="shared" si="32"/>
        <v>5</v>
      </c>
      <c r="AN25" s="2691">
        <f t="shared" si="32"/>
        <v>13</v>
      </c>
      <c r="AO25" s="2694">
        <f t="shared" si="32"/>
        <v>4</v>
      </c>
      <c r="AP25" s="2693">
        <f t="shared" si="34"/>
        <v>1.75</v>
      </c>
      <c r="AQ25" s="2736" t="str">
        <f t="shared" si="34"/>
        <v/>
      </c>
      <c r="AR25" s="2689" t="str">
        <f t="shared" si="35"/>
        <v>P</v>
      </c>
      <c r="AS25" s="2690" t="str">
        <f t="shared" si="36"/>
        <v>#7</v>
      </c>
      <c r="AT25" s="2737" t="str">
        <f t="shared" si="37"/>
        <v/>
      </c>
      <c r="AU25" s="2738" t="str">
        <f t="shared" si="38"/>
        <v>B</v>
      </c>
      <c r="AV25" s="2695">
        <f t="shared" si="39"/>
        <v>1</v>
      </c>
      <c r="AW25" s="2690">
        <f t="shared" si="40"/>
        <v>0</v>
      </c>
      <c r="AX25" s="2737" t="str">
        <f t="shared" si="41"/>
        <v/>
      </c>
      <c r="AY25" s="2738" t="str">
        <f t="shared" si="42"/>
        <v>B</v>
      </c>
      <c r="AZ25" s="2695" t="str">
        <f t="shared" si="43"/>
        <v/>
      </c>
      <c r="BA25" s="2690" t="str">
        <f t="shared" si="44"/>
        <v/>
      </c>
      <c r="BB25" s="2737" t="str">
        <f t="shared" si="45"/>
        <v/>
      </c>
      <c r="BC25" s="2738" t="str">
        <f t="shared" si="46"/>
        <v/>
      </c>
      <c r="BD25" s="2695" t="str">
        <f t="shared" si="47"/>
        <v/>
      </c>
      <c r="BE25" s="2690" t="str">
        <f t="shared" si="48"/>
        <v/>
      </c>
      <c r="BF25" s="2737" t="str">
        <f t="shared" si="49"/>
        <v/>
      </c>
      <c r="BG25" s="2738" t="str">
        <f t="shared" si="50"/>
        <v/>
      </c>
      <c r="BH25" s="1417"/>
      <c r="BJ25" s="995" t="str">
        <f t="shared" si="93"/>
        <v>G55</v>
      </c>
      <c r="BK25" s="993" t="b">
        <f t="shared" si="51"/>
        <v>0</v>
      </c>
      <c r="BL25" s="1784" t="b">
        <v>0</v>
      </c>
      <c r="BM25" s="989">
        <f t="shared" si="52"/>
        <v>52</v>
      </c>
      <c r="BN25" s="989" t="str">
        <f t="shared" si="53"/>
        <v>G</v>
      </c>
      <c r="BO25" s="989">
        <f t="shared" si="54"/>
        <v>8</v>
      </c>
      <c r="BP25" s="989" t="str">
        <f t="shared" si="55"/>
        <v>13/6</v>
      </c>
      <c r="BQ25" s="989">
        <f t="shared" si="56"/>
        <v>2.4</v>
      </c>
      <c r="BR25" s="989" t="b">
        <f t="shared" si="57"/>
        <v>1</v>
      </c>
      <c r="BS25" s="1303">
        <f t="shared" si="58"/>
        <v>8.75</v>
      </c>
      <c r="BT25" s="990" t="str">
        <f t="shared" si="59"/>
        <v>Yes</v>
      </c>
      <c r="BU25" s="1303">
        <f t="shared" si="60"/>
        <v>8.75</v>
      </c>
      <c r="BV25" s="990" t="str">
        <f t="shared" si="61"/>
        <v>Yes</v>
      </c>
      <c r="BW25" s="991">
        <f t="shared" ca="1" si="62"/>
        <v>19</v>
      </c>
      <c r="BX25" s="991" t="str">
        <f t="shared" ca="1" si="63"/>
        <v>G55</v>
      </c>
      <c r="BY25" s="991" t="b">
        <f t="shared" ca="1" si="64"/>
        <v>0</v>
      </c>
      <c r="BZ25" s="991" t="b">
        <f t="shared" si="86"/>
        <v>0</v>
      </c>
      <c r="CB25" s="672" t="s">
        <v>1451</v>
      </c>
      <c r="CC25" s="1685">
        <v>1</v>
      </c>
      <c r="CD25" s="699" t="s">
        <v>1729</v>
      </c>
      <c r="CE25" s="700">
        <v>60</v>
      </c>
      <c r="CF25" s="701">
        <v>0</v>
      </c>
      <c r="CG25" s="672">
        <v>7</v>
      </c>
      <c r="CH25" s="713"/>
      <c r="CI25" s="714"/>
      <c r="CJ25" s="713"/>
      <c r="CK25" s="714"/>
      <c r="CL25" s="715"/>
      <c r="CM25" s="743"/>
      <c r="CN25" s="738"/>
      <c r="CO25" s="1552"/>
      <c r="CP25" s="910"/>
      <c r="CQ25" s="672">
        <v>7</v>
      </c>
      <c r="CR25" s="713"/>
      <c r="CS25" s="714"/>
      <c r="CT25" s="713"/>
      <c r="CU25" s="714"/>
      <c r="CV25" s="715"/>
      <c r="CW25" s="743"/>
      <c r="CX25" s="738"/>
      <c r="CY25" s="1552"/>
      <c r="CZ25" s="910"/>
      <c r="DA25" s="717"/>
      <c r="DB25" s="702">
        <v>14</v>
      </c>
      <c r="DC25" s="703"/>
      <c r="DD25" s="725"/>
      <c r="DE25" s="726">
        <v>11.125</v>
      </c>
      <c r="DF25" s="141"/>
      <c r="DG25" s="141"/>
      <c r="DH25" s="672" t="s">
        <v>1451</v>
      </c>
      <c r="DI25" s="673" t="s">
        <v>35</v>
      </c>
      <c r="DJ25" s="692">
        <v>8</v>
      </c>
      <c r="DK25" s="1332">
        <v>0</v>
      </c>
      <c r="DL25" s="674">
        <v>6</v>
      </c>
      <c r="DM25" s="693">
        <v>8</v>
      </c>
      <c r="DN25" s="1335">
        <v>0</v>
      </c>
      <c r="DO25" s="675"/>
      <c r="DP25" s="676"/>
      <c r="DQ25" s="1420">
        <v>5</v>
      </c>
      <c r="DR25" s="677">
        <v>13</v>
      </c>
      <c r="DS25" s="1420">
        <v>4</v>
      </c>
      <c r="DT25" s="1422">
        <v>2</v>
      </c>
      <c r="DU25" s="1423"/>
      <c r="DV25" s="678" t="s">
        <v>1018</v>
      </c>
      <c r="DW25" s="1337" t="s">
        <v>1739</v>
      </c>
      <c r="DX25" s="679"/>
      <c r="DY25" s="674" t="s">
        <v>35</v>
      </c>
      <c r="DZ25" s="2661">
        <v>1</v>
      </c>
      <c r="EA25" s="2664">
        <v>0.25</v>
      </c>
      <c r="EB25" s="679"/>
      <c r="EC25" s="2665" t="s">
        <v>35</v>
      </c>
      <c r="ED25" s="678"/>
      <c r="EE25" s="1337"/>
      <c r="EF25" s="679"/>
      <c r="EG25" s="674"/>
      <c r="EH25" s="678"/>
      <c r="EI25" s="1337"/>
      <c r="EJ25" s="679"/>
      <c r="EK25" s="680"/>
      <c r="EL25" s="241"/>
      <c r="EM25" s="1632" t="str">
        <f t="shared" si="65"/>
        <v>G55</v>
      </c>
      <c r="EN25" s="1429" t="str">
        <f t="shared" si="66"/>
        <v/>
      </c>
      <c r="EO25" s="1430" t="str">
        <f t="shared" si="67"/>
        <v/>
      </c>
      <c r="EP25" s="1431" t="str">
        <f t="shared" si="68"/>
        <v/>
      </c>
      <c r="EQ25" s="1435" t="str">
        <f t="shared" si="69"/>
        <v/>
      </c>
      <c r="ER25" s="1441" t="str">
        <f t="shared" si="70"/>
        <v/>
      </c>
      <c r="ES25" s="1442" t="str">
        <f t="shared" si="71"/>
        <v/>
      </c>
      <c r="ET25" s="1443" t="str">
        <f t="shared" si="72"/>
        <v/>
      </c>
      <c r="EU25" s="1444" t="str">
        <f t="shared" si="87"/>
        <v/>
      </c>
      <c r="EX25" s="503" t="str">
        <f t="shared" ca="1" si="88"/>
        <v>G55B</v>
      </c>
      <c r="EY25" s="940" t="b">
        <f t="shared" ca="1" si="73"/>
        <v>1</v>
      </c>
      <c r="EZ25" s="940">
        <f t="shared" ca="1" si="89"/>
        <v>5</v>
      </c>
      <c r="FA25" s="958" t="b">
        <f t="shared" ca="1" si="94"/>
        <v>1</v>
      </c>
      <c r="FB25" s="134">
        <f t="shared" ca="1" si="90"/>
        <v>714</v>
      </c>
      <c r="FC25" s="134">
        <f t="shared" ca="1" si="74"/>
        <v>93</v>
      </c>
      <c r="FD25" s="134">
        <f t="shared" ca="1" si="75"/>
        <v>576</v>
      </c>
      <c r="FE25" s="134">
        <f t="shared" ca="1" si="76"/>
        <v>45</v>
      </c>
      <c r="FF25" s="134">
        <f t="shared" ca="1" si="91"/>
        <v>714</v>
      </c>
      <c r="FN25" s="754" t="b">
        <v>0</v>
      </c>
      <c r="FO25" s="754" t="b">
        <f t="shared" si="77"/>
        <v>1</v>
      </c>
      <c r="FP25" s="754" t="b">
        <v>0</v>
      </c>
      <c r="FQ25" s="754" t="b">
        <f t="shared" si="92"/>
        <v>1</v>
      </c>
      <c r="FW25" s="2"/>
      <c r="FX25" s="2"/>
      <c r="FZ25" s="2"/>
      <c r="GA25" s="581">
        <f t="shared" si="78"/>
        <v>60</v>
      </c>
      <c r="GB25" s="623">
        <f t="shared" si="79"/>
        <v>0</v>
      </c>
      <c r="GC25" s="625">
        <f t="shared" si="80"/>
        <v>-0.25</v>
      </c>
      <c r="GD25" s="626">
        <f t="shared" si="81"/>
        <v>-0.25</v>
      </c>
      <c r="GE25" s="624">
        <f t="shared" si="82"/>
        <v>0</v>
      </c>
      <c r="GF25" s="582" t="str">
        <f t="shared" si="83"/>
        <v>G55</v>
      </c>
      <c r="GG25" s="692">
        <v>0</v>
      </c>
      <c r="GH25" s="1136">
        <v>0</v>
      </c>
      <c r="GI25" s="692"/>
      <c r="GJ25" s="1136"/>
      <c r="GK25" s="1641">
        <f t="shared" si="84"/>
        <v>719.5</v>
      </c>
      <c r="GL25" s="1641">
        <f t="shared" si="85"/>
        <v>719.5</v>
      </c>
      <c r="GM25" s="1642">
        <f>IF(ABS(GK25-GL25)&gt;='Job Info.'!$L$22,ABS(GK25-GL25),0)</f>
        <v>0</v>
      </c>
      <c r="HA25" s="1242" t="s">
        <v>1451</v>
      </c>
      <c r="HB25" s="1243">
        <v>1</v>
      </c>
      <c r="HC25" s="1243" t="s">
        <v>1729</v>
      </c>
      <c r="HD25" s="1244">
        <v>60</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v>14</v>
      </c>
      <c r="IB25" s="1247"/>
      <c r="IC25" s="1247"/>
      <c r="ID25" s="1262">
        <v>11.125</v>
      </c>
      <c r="IE25" s="1242" t="s">
        <v>1451</v>
      </c>
      <c r="IF25" s="1243" t="s">
        <v>35</v>
      </c>
      <c r="IG25" s="1244">
        <v>8</v>
      </c>
      <c r="IH25" s="1245">
        <v>0</v>
      </c>
      <c r="II25" s="1243">
        <v>6</v>
      </c>
      <c r="IJ25" s="1244">
        <v>8</v>
      </c>
      <c r="IK25" s="1245">
        <v>0</v>
      </c>
      <c r="IL25" s="1243"/>
      <c r="IM25" s="1243"/>
      <c r="IN25" s="1243">
        <v>5</v>
      </c>
      <c r="IO25" s="1243">
        <v>13</v>
      </c>
      <c r="IP25" s="1243">
        <v>4</v>
      </c>
      <c r="IQ25" s="1243">
        <v>2</v>
      </c>
      <c r="IR25" s="1243"/>
      <c r="IS25" s="1244" t="s">
        <v>1018</v>
      </c>
      <c r="IT25" s="1245" t="s">
        <v>1739</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5"/>
        <v>1</v>
      </c>
    </row>
    <row r="26" spans="1:272" ht="12.6" customHeight="1" x14ac:dyDescent="0.25">
      <c r="A26" s="2683" t="str">
        <f t="shared" si="0"/>
        <v>G56</v>
      </c>
      <c r="B26" s="2684">
        <f t="shared" si="0"/>
        <v>1</v>
      </c>
      <c r="C26" s="2685" t="s">
        <v>1729</v>
      </c>
      <c r="D26" s="2686">
        <f t="shared" si="1"/>
        <v>59</v>
      </c>
      <c r="E26" s="2687">
        <f t="shared" si="2"/>
        <v>1</v>
      </c>
      <c r="F26" s="2688">
        <f t="shared" si="3"/>
        <v>11.125</v>
      </c>
      <c r="G26" s="2689">
        <f t="shared" si="4"/>
        <v>0</v>
      </c>
      <c r="H26" s="2690">
        <f t="shared" si="5"/>
        <v>2.75</v>
      </c>
      <c r="I26" s="2691" t="str">
        <f t="shared" si="6"/>
        <v>R</v>
      </c>
      <c r="J26" s="2686" t="str">
        <f t="shared" si="7"/>
        <v/>
      </c>
      <c r="K26" s="2690" t="str">
        <f t="shared" si="8"/>
        <v/>
      </c>
      <c r="L26" s="2692" t="str">
        <f t="shared" si="9"/>
        <v/>
      </c>
      <c r="M26" s="2693">
        <f t="shared" si="10"/>
        <v>7.5</v>
      </c>
      <c r="N26" s="2694">
        <f t="shared" si="10"/>
        <v>7.5</v>
      </c>
      <c r="O26" s="2689">
        <f t="shared" si="11"/>
        <v>0</v>
      </c>
      <c r="P26" s="2690">
        <f t="shared" si="12"/>
        <v>7.75</v>
      </c>
      <c r="Q26" s="2686">
        <f t="shared" si="13"/>
        <v>0</v>
      </c>
      <c r="R26" s="2687">
        <f t="shared" si="14"/>
        <v>1</v>
      </c>
      <c r="S26" s="2695">
        <f t="shared" si="15"/>
        <v>0</v>
      </c>
      <c r="T26" s="2690">
        <f t="shared" si="16"/>
        <v>7.25</v>
      </c>
      <c r="U26" s="2686">
        <f t="shared" si="17"/>
        <v>0</v>
      </c>
      <c r="V26" s="2690">
        <f t="shared" si="18"/>
        <v>3.5</v>
      </c>
      <c r="W26" s="2694">
        <f t="shared" si="19"/>
        <v>5</v>
      </c>
      <c r="X26" s="2696" t="str">
        <f t="shared" si="20"/>
        <v/>
      </c>
      <c r="Y26" s="2697" t="str">
        <f t="shared" si="21"/>
        <v/>
      </c>
      <c r="Z26" s="2698" t="s">
        <v>1919</v>
      </c>
      <c r="AA26" s="2758" t="str">
        <f t="shared" si="22"/>
        <v/>
      </c>
      <c r="AB26" s="2683" t="str">
        <f t="shared" si="23"/>
        <v>G56</v>
      </c>
      <c r="AC26" s="2691" t="str">
        <f t="shared" si="24"/>
        <v>B</v>
      </c>
      <c r="AD26" s="2686">
        <f t="shared" ca="1" si="25"/>
        <v>3</v>
      </c>
      <c r="AE26" s="2690">
        <f t="shared" ca="1" si="26"/>
        <v>9</v>
      </c>
      <c r="AF26" s="2691">
        <f t="shared" ca="1" si="27"/>
        <v>6</v>
      </c>
      <c r="AG26" s="2686">
        <f t="shared" ca="1" si="28"/>
        <v>8</v>
      </c>
      <c r="AH26" s="2690">
        <f t="shared" ca="1" si="29"/>
        <v>0</v>
      </c>
      <c r="AI26" s="2686">
        <f t="shared" ca="1" si="30"/>
        <v>7</v>
      </c>
      <c r="AJ26" s="2690">
        <f t="shared" ca="1" si="31"/>
        <v>1.25</v>
      </c>
      <c r="AK26" s="2732" t="str">
        <f t="shared" si="32"/>
        <v/>
      </c>
      <c r="AL26" s="2733" t="str">
        <f t="shared" si="33"/>
        <v/>
      </c>
      <c r="AM26" s="2734">
        <f t="shared" si="32"/>
        <v>5</v>
      </c>
      <c r="AN26" s="2691">
        <f t="shared" si="32"/>
        <v>13</v>
      </c>
      <c r="AO26" s="2694">
        <f t="shared" si="32"/>
        <v>4</v>
      </c>
      <c r="AP26" s="2693" t="str">
        <f t="shared" si="34"/>
        <v/>
      </c>
      <c r="AQ26" s="2736" t="str">
        <f t="shared" si="34"/>
        <v/>
      </c>
      <c r="AR26" s="2689" t="str">
        <f t="shared" si="35"/>
        <v>P</v>
      </c>
      <c r="AS26" s="2690" t="str">
        <f t="shared" si="36"/>
        <v>#1</v>
      </c>
      <c r="AT26" s="2737" t="str">
        <f t="shared" si="37"/>
        <v/>
      </c>
      <c r="AU26" s="2738" t="str">
        <f t="shared" si="38"/>
        <v>B</v>
      </c>
      <c r="AV26" s="2695" t="str">
        <f t="shared" si="39"/>
        <v/>
      </c>
      <c r="AW26" s="2690" t="str">
        <f t="shared" si="40"/>
        <v/>
      </c>
      <c r="AX26" s="2737" t="str">
        <f t="shared" si="41"/>
        <v/>
      </c>
      <c r="AY26" s="2738" t="str">
        <f t="shared" si="42"/>
        <v/>
      </c>
      <c r="AZ26" s="2695" t="str">
        <f t="shared" si="43"/>
        <v/>
      </c>
      <c r="BA26" s="2690" t="str">
        <f t="shared" si="44"/>
        <v/>
      </c>
      <c r="BB26" s="2737" t="str">
        <f t="shared" si="45"/>
        <v/>
      </c>
      <c r="BC26" s="2738" t="str">
        <f t="shared" si="46"/>
        <v/>
      </c>
      <c r="BD26" s="2695" t="str">
        <f t="shared" si="47"/>
        <v/>
      </c>
      <c r="BE26" s="2690" t="str">
        <f t="shared" si="48"/>
        <v/>
      </c>
      <c r="BF26" s="2737" t="str">
        <f t="shared" si="49"/>
        <v/>
      </c>
      <c r="BG26" s="2738" t="str">
        <f t="shared" si="50"/>
        <v/>
      </c>
      <c r="BH26" s="1417"/>
      <c r="BJ26" s="995" t="str">
        <f t="shared" si="93"/>
        <v>G56</v>
      </c>
      <c r="BK26" s="993" t="b">
        <f t="shared" si="51"/>
        <v>0</v>
      </c>
      <c r="BL26" s="1784" t="b">
        <v>0</v>
      </c>
      <c r="BM26" s="989">
        <f t="shared" si="52"/>
        <v>52</v>
      </c>
      <c r="BN26" s="989" t="str">
        <f t="shared" si="53"/>
        <v>G</v>
      </c>
      <c r="BO26" s="989">
        <f t="shared" si="54"/>
        <v>8</v>
      </c>
      <c r="BP26" s="989" t="str">
        <f t="shared" si="55"/>
        <v>13/6</v>
      </c>
      <c r="BQ26" s="989">
        <f t="shared" si="56"/>
        <v>2.4</v>
      </c>
      <c r="BR26" s="989" t="b">
        <f t="shared" si="57"/>
        <v>1</v>
      </c>
      <c r="BS26" s="1303">
        <f t="shared" si="58"/>
        <v>8.75</v>
      </c>
      <c r="BT26" s="990" t="str">
        <f t="shared" si="59"/>
        <v>Yes</v>
      </c>
      <c r="BU26" s="1303">
        <f t="shared" si="60"/>
        <v>6</v>
      </c>
      <c r="BV26" s="990" t="str">
        <f t="shared" si="61"/>
        <v>Yes</v>
      </c>
      <c r="BW26" s="991">
        <f t="shared" ca="1" si="62"/>
        <v>15</v>
      </c>
      <c r="BX26" s="991" t="str">
        <f t="shared" ca="1" si="63"/>
        <v>G56</v>
      </c>
      <c r="BY26" s="991" t="b">
        <f t="shared" ca="1" si="64"/>
        <v>0</v>
      </c>
      <c r="BZ26" s="991" t="b">
        <f t="shared" si="86"/>
        <v>0</v>
      </c>
      <c r="CB26" s="672" t="s">
        <v>1452</v>
      </c>
      <c r="CC26" s="1685">
        <v>1</v>
      </c>
      <c r="CD26" s="699" t="s">
        <v>1729</v>
      </c>
      <c r="CE26" s="700">
        <v>59</v>
      </c>
      <c r="CF26" s="701">
        <v>2.25</v>
      </c>
      <c r="CG26" s="672">
        <v>7</v>
      </c>
      <c r="CH26" s="713"/>
      <c r="CI26" s="714"/>
      <c r="CJ26" s="713"/>
      <c r="CK26" s="714"/>
      <c r="CL26" s="715"/>
      <c r="CM26" s="743"/>
      <c r="CN26" s="738"/>
      <c r="CO26" s="1552"/>
      <c r="CP26" s="910"/>
      <c r="CQ26" s="672">
        <v>2</v>
      </c>
      <c r="CR26" s="713"/>
      <c r="CS26" s="714"/>
      <c r="CT26" s="713"/>
      <c r="CU26" s="714"/>
      <c r="CV26" s="715"/>
      <c r="CW26" s="743"/>
      <c r="CX26" s="738"/>
      <c r="CY26" s="1552"/>
      <c r="CZ26" s="910"/>
      <c r="DA26" s="717"/>
      <c r="DB26" s="702" t="s">
        <v>1740</v>
      </c>
      <c r="DC26" s="703" t="s">
        <v>1679</v>
      </c>
      <c r="DD26" s="725"/>
      <c r="DE26" s="726">
        <v>11.125</v>
      </c>
      <c r="DF26" s="141"/>
      <c r="DG26" s="141"/>
      <c r="DH26" s="672" t="s">
        <v>1452</v>
      </c>
      <c r="DI26" s="673" t="s">
        <v>35</v>
      </c>
      <c r="DJ26" s="692">
        <v>4</v>
      </c>
      <c r="DK26" s="1332">
        <v>0</v>
      </c>
      <c r="DL26" s="674">
        <v>6</v>
      </c>
      <c r="DM26" s="693">
        <v>8</v>
      </c>
      <c r="DN26" s="1335">
        <v>0</v>
      </c>
      <c r="DO26" s="675"/>
      <c r="DP26" s="676"/>
      <c r="DQ26" s="1420">
        <v>5</v>
      </c>
      <c r="DR26" s="677">
        <v>13</v>
      </c>
      <c r="DS26" s="1420">
        <v>4</v>
      </c>
      <c r="DT26" s="1422"/>
      <c r="DU26" s="1423"/>
      <c r="DV26" s="678" t="s">
        <v>1018</v>
      </c>
      <c r="DW26" s="1337" t="s">
        <v>1705</v>
      </c>
      <c r="DX26" s="679"/>
      <c r="DY26" s="674" t="s">
        <v>35</v>
      </c>
      <c r="DZ26" s="678"/>
      <c r="EA26" s="1337"/>
      <c r="EB26" s="679"/>
      <c r="EC26" s="674"/>
      <c r="ED26" s="678"/>
      <c r="EE26" s="1337"/>
      <c r="EF26" s="679"/>
      <c r="EG26" s="674"/>
      <c r="EH26" s="678"/>
      <c r="EI26" s="1337"/>
      <c r="EJ26" s="679"/>
      <c r="EK26" s="680"/>
      <c r="EL26" s="241"/>
      <c r="EM26" s="1632" t="str">
        <f t="shared" si="65"/>
        <v>G56</v>
      </c>
      <c r="EN26" s="1429" t="str">
        <f t="shared" si="66"/>
        <v/>
      </c>
      <c r="EO26" s="1430" t="str">
        <f t="shared" si="67"/>
        <v/>
      </c>
      <c r="EP26" s="1431" t="str">
        <f t="shared" si="68"/>
        <v/>
      </c>
      <c r="EQ26" s="1435" t="str">
        <f t="shared" si="69"/>
        <v/>
      </c>
      <c r="ER26" s="1441" t="str">
        <f t="shared" si="70"/>
        <v/>
      </c>
      <c r="ES26" s="1442" t="str">
        <f t="shared" si="71"/>
        <v/>
      </c>
      <c r="ET26" s="1443" t="str">
        <f t="shared" si="72"/>
        <v/>
      </c>
      <c r="EU26" s="1444" t="str">
        <f t="shared" si="87"/>
        <v/>
      </c>
      <c r="EX26" s="503" t="str">
        <f t="shared" ca="1" si="88"/>
        <v>G56B</v>
      </c>
      <c r="EY26" s="940" t="b">
        <f t="shared" ca="1" si="73"/>
        <v>1</v>
      </c>
      <c r="EZ26" s="940">
        <f t="shared" ca="1" si="89"/>
        <v>5</v>
      </c>
      <c r="FA26" s="958" t="b">
        <f t="shared" ca="1" si="94"/>
        <v>1</v>
      </c>
      <c r="FB26" s="134">
        <f t="shared" ca="1" si="90"/>
        <v>706.25</v>
      </c>
      <c r="FC26" s="134">
        <f t="shared" ca="1" si="74"/>
        <v>45</v>
      </c>
      <c r="FD26" s="134">
        <f t="shared" ca="1" si="75"/>
        <v>576</v>
      </c>
      <c r="FE26" s="134">
        <f t="shared" ca="1" si="76"/>
        <v>85.25</v>
      </c>
      <c r="FF26" s="134">
        <f t="shared" ca="1" si="91"/>
        <v>706.25</v>
      </c>
      <c r="FN26" s="754" t="b">
        <v>0</v>
      </c>
      <c r="FO26" s="754" t="b">
        <f t="shared" si="77"/>
        <v>1</v>
      </c>
      <c r="FP26" s="754" t="b">
        <v>0</v>
      </c>
      <c r="FQ26" s="754" t="b">
        <f t="shared" si="92"/>
        <v>1</v>
      </c>
      <c r="FW26" s="2"/>
      <c r="FX26" s="2"/>
      <c r="FZ26" s="2"/>
      <c r="GA26" s="581">
        <f t="shared" si="78"/>
        <v>59</v>
      </c>
      <c r="GB26" s="623">
        <f t="shared" si="79"/>
        <v>2.25</v>
      </c>
      <c r="GC26" s="625">
        <f t="shared" si="80"/>
        <v>-0.25</v>
      </c>
      <c r="GD26" s="626">
        <f t="shared" si="81"/>
        <v>-1</v>
      </c>
      <c r="GE26" s="624">
        <f t="shared" si="82"/>
        <v>0</v>
      </c>
      <c r="GF26" s="582" t="str">
        <f t="shared" si="83"/>
        <v>G56</v>
      </c>
      <c r="GG26" s="692">
        <v>0</v>
      </c>
      <c r="GH26" s="1136">
        <v>0</v>
      </c>
      <c r="GI26" s="692"/>
      <c r="GJ26" s="1136"/>
      <c r="GK26" s="1641">
        <f t="shared" si="84"/>
        <v>709</v>
      </c>
      <c r="GL26" s="1641">
        <f t="shared" si="85"/>
        <v>709</v>
      </c>
      <c r="GM26" s="1642">
        <f>IF(ABS(GK26-GL26)&gt;='Job Info.'!$L$22,ABS(GK26-GL26),0)</f>
        <v>0</v>
      </c>
      <c r="GZ26" s="145"/>
      <c r="HA26" s="1242" t="s">
        <v>1452</v>
      </c>
      <c r="HB26" s="1243">
        <v>1</v>
      </c>
      <c r="HC26" s="1243" t="s">
        <v>1729</v>
      </c>
      <c r="HD26" s="1244">
        <v>59</v>
      </c>
      <c r="HE26" s="1245">
        <v>2.25</v>
      </c>
      <c r="HF26" s="1243">
        <v>7</v>
      </c>
      <c r="HG26" s="1243"/>
      <c r="HH26" s="1243"/>
      <c r="HI26" s="1243"/>
      <c r="HJ26" s="1243"/>
      <c r="HK26" s="1243"/>
      <c r="HL26" s="1243"/>
      <c r="HM26" s="1243"/>
      <c r="HN26" s="1243"/>
      <c r="HO26" s="1243"/>
      <c r="HP26" s="1243">
        <v>2</v>
      </c>
      <c r="HQ26" s="1243"/>
      <c r="HR26" s="1243"/>
      <c r="HS26" s="1243"/>
      <c r="HT26" s="1243"/>
      <c r="HU26" s="1243"/>
      <c r="HV26" s="1243"/>
      <c r="HW26" s="1243"/>
      <c r="HX26" s="1243"/>
      <c r="HY26" s="1247"/>
      <c r="HZ26" s="1247"/>
      <c r="IA26" s="1247" t="s">
        <v>1740</v>
      </c>
      <c r="IB26" s="1247" t="s">
        <v>1679</v>
      </c>
      <c r="IC26" s="1247"/>
      <c r="ID26" s="1262">
        <v>11.125</v>
      </c>
      <c r="IE26" s="1242" t="s">
        <v>1452</v>
      </c>
      <c r="IF26" s="1243" t="s">
        <v>35</v>
      </c>
      <c r="IG26" s="1244">
        <v>4</v>
      </c>
      <c r="IH26" s="1245">
        <v>0</v>
      </c>
      <c r="II26" s="1243">
        <v>6</v>
      </c>
      <c r="IJ26" s="1244">
        <v>8</v>
      </c>
      <c r="IK26" s="1245">
        <v>0</v>
      </c>
      <c r="IL26" s="1243"/>
      <c r="IM26" s="1243"/>
      <c r="IN26" s="1243">
        <v>5</v>
      </c>
      <c r="IO26" s="1243">
        <v>13</v>
      </c>
      <c r="IP26" s="1243">
        <v>4</v>
      </c>
      <c r="IQ26" s="1243"/>
      <c r="IR26" s="1243"/>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5"/>
        <v>1</v>
      </c>
    </row>
    <row r="27" spans="1:272" ht="12.6" customHeight="1" x14ac:dyDescent="0.25">
      <c r="A27" s="2683" t="str">
        <f t="shared" si="0"/>
        <v>G57</v>
      </c>
      <c r="B27" s="2684">
        <f t="shared" si="0"/>
        <v>2</v>
      </c>
      <c r="C27" s="2685" t="s">
        <v>1741</v>
      </c>
      <c r="D27" s="2686">
        <f t="shared" si="1"/>
        <v>59</v>
      </c>
      <c r="E27" s="2687">
        <f t="shared" si="2"/>
        <v>1</v>
      </c>
      <c r="F27" s="2688">
        <f t="shared" si="3"/>
        <v>11.125</v>
      </c>
      <c r="G27" s="2689">
        <f t="shared" si="4"/>
        <v>0</v>
      </c>
      <c r="H27" s="2690">
        <f t="shared" si="5"/>
        <v>2.75</v>
      </c>
      <c r="I27" s="2691" t="str">
        <f t="shared" si="6"/>
        <v>R</v>
      </c>
      <c r="J27" s="2686" t="str">
        <f t="shared" si="7"/>
        <v/>
      </c>
      <c r="K27" s="2690" t="str">
        <f t="shared" si="8"/>
        <v/>
      </c>
      <c r="L27" s="2692" t="str">
        <f t="shared" si="9"/>
        <v/>
      </c>
      <c r="M27" s="2693">
        <f t="shared" si="10"/>
        <v>7.5</v>
      </c>
      <c r="N27" s="2694">
        <f t="shared" si="10"/>
        <v>7.5</v>
      </c>
      <c r="O27" s="2689">
        <f t="shared" si="11"/>
        <v>0</v>
      </c>
      <c r="P27" s="2690">
        <f t="shared" si="12"/>
        <v>7.75</v>
      </c>
      <c r="Q27" s="2686">
        <f t="shared" si="13"/>
        <v>0</v>
      </c>
      <c r="R27" s="2687">
        <f t="shared" si="14"/>
        <v>1</v>
      </c>
      <c r="S27" s="2695">
        <f t="shared" si="15"/>
        <v>0</v>
      </c>
      <c r="T27" s="2690">
        <f t="shared" si="16"/>
        <v>7.25</v>
      </c>
      <c r="U27" s="2686">
        <f t="shared" si="17"/>
        <v>0</v>
      </c>
      <c r="V27" s="2690">
        <f t="shared" si="18"/>
        <v>3.5</v>
      </c>
      <c r="W27" s="2694">
        <f t="shared" si="19"/>
        <v>5</v>
      </c>
      <c r="X27" s="2696" t="str">
        <f t="shared" si="20"/>
        <v/>
      </c>
      <c r="Y27" s="2697" t="str">
        <f t="shared" si="21"/>
        <v/>
      </c>
      <c r="Z27" s="2698" t="s">
        <v>1920</v>
      </c>
      <c r="AA27" s="2758" t="str">
        <f t="shared" si="22"/>
        <v/>
      </c>
      <c r="AB27" s="2683" t="str">
        <f t="shared" si="23"/>
        <v>G57</v>
      </c>
      <c r="AC27" s="2691" t="str">
        <f t="shared" si="24"/>
        <v>B</v>
      </c>
      <c r="AD27" s="2686">
        <f t="shared" ca="1" si="25"/>
        <v>3</v>
      </c>
      <c r="AE27" s="2690">
        <f t="shared" ca="1" si="26"/>
        <v>9</v>
      </c>
      <c r="AF27" s="2691">
        <f t="shared" ca="1" si="27"/>
        <v>6</v>
      </c>
      <c r="AG27" s="2686">
        <f t="shared" ca="1" si="28"/>
        <v>8</v>
      </c>
      <c r="AH27" s="2690">
        <f t="shared" ca="1" si="29"/>
        <v>0</v>
      </c>
      <c r="AI27" s="2686">
        <f t="shared" ca="1" si="30"/>
        <v>7</v>
      </c>
      <c r="AJ27" s="2690">
        <f t="shared" ca="1" si="31"/>
        <v>1.25</v>
      </c>
      <c r="AK27" s="2732" t="str">
        <f t="shared" si="32"/>
        <v/>
      </c>
      <c r="AL27" s="2733" t="str">
        <f t="shared" si="33"/>
        <v/>
      </c>
      <c r="AM27" s="2734">
        <f t="shared" si="32"/>
        <v>5</v>
      </c>
      <c r="AN27" s="2691">
        <f t="shared" si="32"/>
        <v>13</v>
      </c>
      <c r="AO27" s="2694">
        <f t="shared" si="32"/>
        <v>4</v>
      </c>
      <c r="AP27" s="2693" t="str">
        <f t="shared" si="34"/>
        <v/>
      </c>
      <c r="AQ27" s="2736" t="str">
        <f t="shared" si="34"/>
        <v/>
      </c>
      <c r="AR27" s="2689" t="str">
        <f t="shared" si="35"/>
        <v>P</v>
      </c>
      <c r="AS27" s="2690" t="str">
        <f t="shared" si="36"/>
        <v>#1</v>
      </c>
      <c r="AT27" s="2737" t="str">
        <f t="shared" si="37"/>
        <v/>
      </c>
      <c r="AU27" s="2738" t="str">
        <f t="shared" si="38"/>
        <v>B</v>
      </c>
      <c r="AV27" s="2695" t="str">
        <f t="shared" si="39"/>
        <v/>
      </c>
      <c r="AW27" s="2690" t="str">
        <f t="shared" si="40"/>
        <v/>
      </c>
      <c r="AX27" s="2737" t="str">
        <f t="shared" si="41"/>
        <v/>
      </c>
      <c r="AY27" s="2738" t="str">
        <f t="shared" si="42"/>
        <v/>
      </c>
      <c r="AZ27" s="2695" t="str">
        <f t="shared" si="43"/>
        <v/>
      </c>
      <c r="BA27" s="2690" t="str">
        <f t="shared" si="44"/>
        <v/>
      </c>
      <c r="BB27" s="2737" t="str">
        <f t="shared" si="45"/>
        <v/>
      </c>
      <c r="BC27" s="2738" t="str">
        <f t="shared" si="46"/>
        <v/>
      </c>
      <c r="BD27" s="2695" t="str">
        <f t="shared" si="47"/>
        <v/>
      </c>
      <c r="BE27" s="2690" t="str">
        <f t="shared" si="48"/>
        <v/>
      </c>
      <c r="BF27" s="2737" t="str">
        <f t="shared" si="49"/>
        <v/>
      </c>
      <c r="BG27" s="2738" t="str">
        <f t="shared" si="50"/>
        <v/>
      </c>
      <c r="BH27" s="1417"/>
      <c r="BJ27" s="995" t="str">
        <f t="shared" si="93"/>
        <v>G57</v>
      </c>
      <c r="BK27" s="993" t="b">
        <f t="shared" si="51"/>
        <v>0</v>
      </c>
      <c r="BL27" s="1784" t="b">
        <v>0</v>
      </c>
      <c r="BM27" s="989">
        <f t="shared" si="52"/>
        <v>60</v>
      </c>
      <c r="BN27" s="989" t="str">
        <f t="shared" si="53"/>
        <v>G</v>
      </c>
      <c r="BO27" s="989">
        <f t="shared" si="54"/>
        <v>8</v>
      </c>
      <c r="BP27" s="989" t="str">
        <f t="shared" si="55"/>
        <v>13/6</v>
      </c>
      <c r="BQ27" s="989">
        <f t="shared" si="56"/>
        <v>2.4</v>
      </c>
      <c r="BR27" s="989" t="b">
        <f t="shared" si="57"/>
        <v>1</v>
      </c>
      <c r="BS27" s="1303">
        <f t="shared" si="58"/>
        <v>8.75</v>
      </c>
      <c r="BT27" s="990" t="str">
        <f t="shared" si="59"/>
        <v>Yes</v>
      </c>
      <c r="BU27" s="1303">
        <f t="shared" si="60"/>
        <v>6</v>
      </c>
      <c r="BV27" s="990" t="str">
        <f t="shared" si="61"/>
        <v>Yes</v>
      </c>
      <c r="BW27" s="991">
        <f t="shared" ca="1" si="62"/>
        <v>15</v>
      </c>
      <c r="BX27" s="991" t="str">
        <f t="shared" ca="1" si="63"/>
        <v>G57</v>
      </c>
      <c r="BY27" s="991" t="b">
        <f t="shared" ca="1" si="64"/>
        <v>0</v>
      </c>
      <c r="BZ27" s="991" t="b">
        <f t="shared" si="86"/>
        <v>0</v>
      </c>
      <c r="CB27" s="672" t="s">
        <v>1453</v>
      </c>
      <c r="CC27" s="1685">
        <v>2</v>
      </c>
      <c r="CD27" s="699" t="s">
        <v>1741</v>
      </c>
      <c r="CE27" s="700">
        <v>59</v>
      </c>
      <c r="CF27" s="701">
        <v>2.25</v>
      </c>
      <c r="CG27" s="672">
        <v>7</v>
      </c>
      <c r="CH27" s="713"/>
      <c r="CI27" s="714"/>
      <c r="CJ27" s="713"/>
      <c r="CK27" s="714"/>
      <c r="CL27" s="715"/>
      <c r="CM27" s="743"/>
      <c r="CN27" s="738"/>
      <c r="CO27" s="1552"/>
      <c r="CP27" s="910"/>
      <c r="CQ27" s="672">
        <v>2</v>
      </c>
      <c r="CR27" s="713"/>
      <c r="CS27" s="714"/>
      <c r="CT27" s="713"/>
      <c r="CU27" s="714"/>
      <c r="CV27" s="715"/>
      <c r="CW27" s="743"/>
      <c r="CX27" s="738"/>
      <c r="CY27" s="1552"/>
      <c r="CZ27" s="910"/>
      <c r="DA27" s="717"/>
      <c r="DB27" s="702" t="s">
        <v>1742</v>
      </c>
      <c r="DC27" s="703" t="s">
        <v>1679</v>
      </c>
      <c r="DD27" s="725"/>
      <c r="DE27" s="726">
        <v>11.125</v>
      </c>
      <c r="DF27" s="141"/>
      <c r="DG27" s="141"/>
      <c r="DH27" s="672" t="s">
        <v>1453</v>
      </c>
      <c r="DI27" s="673" t="s">
        <v>35</v>
      </c>
      <c r="DJ27" s="692">
        <v>4</v>
      </c>
      <c r="DK27" s="1332">
        <v>0</v>
      </c>
      <c r="DL27" s="674">
        <v>6</v>
      </c>
      <c r="DM27" s="693">
        <v>8</v>
      </c>
      <c r="DN27" s="1335">
        <v>0</v>
      </c>
      <c r="DO27" s="675"/>
      <c r="DP27" s="676"/>
      <c r="DQ27" s="1420">
        <v>5</v>
      </c>
      <c r="DR27" s="677">
        <v>13</v>
      </c>
      <c r="DS27" s="1420">
        <v>4</v>
      </c>
      <c r="DT27" s="1422"/>
      <c r="DU27" s="1423"/>
      <c r="DV27" s="678" t="s">
        <v>1018</v>
      </c>
      <c r="DW27" s="1337" t="s">
        <v>1705</v>
      </c>
      <c r="DX27" s="679"/>
      <c r="DY27" s="674" t="s">
        <v>35</v>
      </c>
      <c r="DZ27" s="678"/>
      <c r="EA27" s="1337"/>
      <c r="EB27" s="679"/>
      <c r="EC27" s="674"/>
      <c r="ED27" s="678"/>
      <c r="EE27" s="1337"/>
      <c r="EF27" s="679"/>
      <c r="EG27" s="674"/>
      <c r="EH27" s="678"/>
      <c r="EI27" s="1337"/>
      <c r="EJ27" s="679"/>
      <c r="EK27" s="680"/>
      <c r="EL27" s="241"/>
      <c r="EM27" s="1632" t="str">
        <f t="shared" si="65"/>
        <v>G57</v>
      </c>
      <c r="EN27" s="1429" t="str">
        <f t="shared" si="66"/>
        <v/>
      </c>
      <c r="EO27" s="1430" t="str">
        <f t="shared" si="67"/>
        <v/>
      </c>
      <c r="EP27" s="1431" t="str">
        <f t="shared" si="68"/>
        <v/>
      </c>
      <c r="EQ27" s="1435" t="str">
        <f t="shared" si="69"/>
        <v/>
      </c>
      <c r="ER27" s="1441" t="str">
        <f t="shared" si="70"/>
        <v/>
      </c>
      <c r="ES27" s="1442" t="str">
        <f t="shared" si="71"/>
        <v/>
      </c>
      <c r="ET27" s="1443" t="str">
        <f t="shared" si="72"/>
        <v/>
      </c>
      <c r="EU27" s="1444" t="str">
        <f t="shared" si="87"/>
        <v/>
      </c>
      <c r="EX27" s="503" t="str">
        <f t="shared" ca="1" si="88"/>
        <v>G57B</v>
      </c>
      <c r="EY27" s="940" t="b">
        <f t="shared" ca="1" si="73"/>
        <v>1</v>
      </c>
      <c r="EZ27" s="940">
        <f t="shared" ca="1" si="89"/>
        <v>5</v>
      </c>
      <c r="FA27" s="958" t="b">
        <f t="shared" ca="1" si="94"/>
        <v>1</v>
      </c>
      <c r="FB27" s="134">
        <f t="shared" ca="1" si="90"/>
        <v>706.25</v>
      </c>
      <c r="FC27" s="134">
        <f t="shared" ca="1" si="74"/>
        <v>45</v>
      </c>
      <c r="FD27" s="134">
        <f t="shared" ca="1" si="75"/>
        <v>576</v>
      </c>
      <c r="FE27" s="134">
        <f t="shared" ca="1" si="76"/>
        <v>85.25</v>
      </c>
      <c r="FF27" s="134">
        <f t="shared" ca="1" si="91"/>
        <v>706.25</v>
      </c>
      <c r="FN27" s="754" t="b">
        <v>0</v>
      </c>
      <c r="FO27" s="754" t="b">
        <f t="shared" si="77"/>
        <v>1</v>
      </c>
      <c r="FP27" s="754" t="b">
        <v>0</v>
      </c>
      <c r="FQ27" s="754" t="b">
        <f t="shared" si="92"/>
        <v>1</v>
      </c>
      <c r="FW27" s="2"/>
      <c r="FX27" s="2"/>
      <c r="FZ27" s="2"/>
      <c r="GA27" s="581">
        <f t="shared" si="78"/>
        <v>59</v>
      </c>
      <c r="GB27" s="623">
        <f t="shared" si="79"/>
        <v>2.25</v>
      </c>
      <c r="GC27" s="625">
        <f t="shared" si="80"/>
        <v>-0.25</v>
      </c>
      <c r="GD27" s="626">
        <f t="shared" si="81"/>
        <v>-1</v>
      </c>
      <c r="GE27" s="624">
        <f t="shared" si="82"/>
        <v>0</v>
      </c>
      <c r="GF27" s="582" t="str">
        <f t="shared" si="83"/>
        <v>G57</v>
      </c>
      <c r="GG27" s="692">
        <v>0</v>
      </c>
      <c r="GH27" s="1136">
        <v>0</v>
      </c>
      <c r="GI27" s="692"/>
      <c r="GJ27" s="1136"/>
      <c r="GK27" s="1641">
        <f t="shared" si="84"/>
        <v>709</v>
      </c>
      <c r="GL27" s="1641">
        <f t="shared" si="85"/>
        <v>709</v>
      </c>
      <c r="GM27" s="1642">
        <f>IF(ABS(GK27-GL27)&gt;='Job Info.'!$L$22,ABS(GK27-GL27),0)</f>
        <v>0</v>
      </c>
      <c r="GZ27" s="145"/>
      <c r="HA27" s="1242" t="s">
        <v>1453</v>
      </c>
      <c r="HB27" s="1243">
        <v>2</v>
      </c>
      <c r="HC27" s="1243" t="s">
        <v>1741</v>
      </c>
      <c r="HD27" s="1244">
        <v>59</v>
      </c>
      <c r="HE27" s="1245">
        <v>2.25</v>
      </c>
      <c r="HF27" s="1243">
        <v>7</v>
      </c>
      <c r="HG27" s="1243"/>
      <c r="HH27" s="1243"/>
      <c r="HI27" s="1243"/>
      <c r="HJ27" s="1243"/>
      <c r="HK27" s="1243"/>
      <c r="HL27" s="1243"/>
      <c r="HM27" s="1243"/>
      <c r="HN27" s="1243"/>
      <c r="HO27" s="1243"/>
      <c r="HP27" s="1243">
        <v>2</v>
      </c>
      <c r="HQ27" s="1243"/>
      <c r="HR27" s="1243"/>
      <c r="HS27" s="1243"/>
      <c r="HT27" s="1243"/>
      <c r="HU27" s="1243"/>
      <c r="HV27" s="1243"/>
      <c r="HW27" s="1243"/>
      <c r="HX27" s="1243"/>
      <c r="HY27" s="1247"/>
      <c r="HZ27" s="1247"/>
      <c r="IA27" s="1247" t="s">
        <v>1742</v>
      </c>
      <c r="IB27" s="1247" t="s">
        <v>1679</v>
      </c>
      <c r="IC27" s="1247"/>
      <c r="ID27" s="1262">
        <v>11.125</v>
      </c>
      <c r="IE27" s="1242" t="s">
        <v>1453</v>
      </c>
      <c r="IF27" s="1243" t="s">
        <v>35</v>
      </c>
      <c r="IG27" s="1244">
        <v>4</v>
      </c>
      <c r="IH27" s="1245">
        <v>0</v>
      </c>
      <c r="II27" s="1243">
        <v>6</v>
      </c>
      <c r="IJ27" s="1244">
        <v>8</v>
      </c>
      <c r="IK27" s="1245">
        <v>0</v>
      </c>
      <c r="IL27" s="1243"/>
      <c r="IM27" s="1243"/>
      <c r="IN27" s="1243">
        <v>5</v>
      </c>
      <c r="IO27" s="1243">
        <v>13</v>
      </c>
      <c r="IP27" s="1243">
        <v>4</v>
      </c>
      <c r="IQ27" s="1243"/>
      <c r="IR27" s="1243"/>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5"/>
        <v>1</v>
      </c>
    </row>
    <row r="28" spans="1:272" ht="12.6" customHeight="1" x14ac:dyDescent="0.3">
      <c r="A28" s="2683" t="str">
        <f t="shared" si="0"/>
        <v>G58</v>
      </c>
      <c r="B28" s="2684">
        <f t="shared" si="0"/>
        <v>1</v>
      </c>
      <c r="C28" s="2685" t="s">
        <v>1741</v>
      </c>
      <c r="D28" s="2686">
        <f t="shared" si="1"/>
        <v>59</v>
      </c>
      <c r="E28" s="2687">
        <f t="shared" si="2"/>
        <v>0.25</v>
      </c>
      <c r="F28" s="2688">
        <f t="shared" si="3"/>
        <v>11.125</v>
      </c>
      <c r="G28" s="2689">
        <f t="shared" si="4"/>
        <v>0</v>
      </c>
      <c r="H28" s="2690">
        <f t="shared" si="5"/>
        <v>2.75</v>
      </c>
      <c r="I28" s="2691" t="str">
        <f t="shared" si="6"/>
        <v>R</v>
      </c>
      <c r="J28" s="2686" t="str">
        <f t="shared" si="7"/>
        <v/>
      </c>
      <c r="K28" s="2690" t="str">
        <f t="shared" si="8"/>
        <v/>
      </c>
      <c r="L28" s="2692" t="str">
        <f t="shared" si="9"/>
        <v/>
      </c>
      <c r="M28" s="2693">
        <f t="shared" si="10"/>
        <v>7.5</v>
      </c>
      <c r="N28" s="2694">
        <f t="shared" si="10"/>
        <v>7.5</v>
      </c>
      <c r="O28" s="2689">
        <f t="shared" si="11"/>
        <v>0</v>
      </c>
      <c r="P28" s="2690">
        <f t="shared" si="12"/>
        <v>7.75</v>
      </c>
      <c r="Q28" s="2686">
        <f t="shared" si="13"/>
        <v>0</v>
      </c>
      <c r="R28" s="2687">
        <f t="shared" si="14"/>
        <v>1.5</v>
      </c>
      <c r="S28" s="2695">
        <f t="shared" si="15"/>
        <v>0</v>
      </c>
      <c r="T28" s="2690">
        <f t="shared" si="16"/>
        <v>7.25</v>
      </c>
      <c r="U28" s="2686">
        <f t="shared" si="17"/>
        <v>0</v>
      </c>
      <c r="V28" s="2690">
        <f t="shared" si="18"/>
        <v>3</v>
      </c>
      <c r="W28" s="2694">
        <f t="shared" si="19"/>
        <v>5</v>
      </c>
      <c r="X28" s="2696" t="str">
        <f t="shared" si="20"/>
        <v/>
      </c>
      <c r="Y28" s="2697" t="str">
        <f t="shared" si="21"/>
        <v/>
      </c>
      <c r="Z28" s="2698" t="s">
        <v>1921</v>
      </c>
      <c r="AA28" s="2758" t="str">
        <f t="shared" si="22"/>
        <v/>
      </c>
      <c r="AB28" s="2683" t="str">
        <f t="shared" si="23"/>
        <v>G58</v>
      </c>
      <c r="AC28" s="2691" t="str">
        <f t="shared" si="24"/>
        <v>B</v>
      </c>
      <c r="AD28" s="2686">
        <f t="shared" ca="1" si="25"/>
        <v>3</v>
      </c>
      <c r="AE28" s="2690">
        <f t="shared" ca="1" si="26"/>
        <v>9</v>
      </c>
      <c r="AF28" s="2691">
        <f t="shared" ca="1" si="27"/>
        <v>6</v>
      </c>
      <c r="AG28" s="2686">
        <f t="shared" ca="1" si="28"/>
        <v>8</v>
      </c>
      <c r="AH28" s="2690">
        <f t="shared" ca="1" si="29"/>
        <v>0</v>
      </c>
      <c r="AI28" s="2686">
        <f t="shared" ca="1" si="30"/>
        <v>7</v>
      </c>
      <c r="AJ28" s="2690">
        <f t="shared" ca="1" si="31"/>
        <v>0.5</v>
      </c>
      <c r="AK28" s="2732" t="str">
        <f t="shared" si="32"/>
        <v/>
      </c>
      <c r="AL28" s="2733" t="str">
        <f t="shared" si="33"/>
        <v/>
      </c>
      <c r="AM28" s="2734">
        <f t="shared" si="32"/>
        <v>5</v>
      </c>
      <c r="AN28" s="2691">
        <f t="shared" si="32"/>
        <v>13</v>
      </c>
      <c r="AO28" s="2694">
        <f t="shared" si="32"/>
        <v>4</v>
      </c>
      <c r="AP28" s="2693" t="str">
        <f t="shared" si="34"/>
        <v/>
      </c>
      <c r="AQ28" s="2736" t="str">
        <f t="shared" si="34"/>
        <v/>
      </c>
      <c r="AR28" s="2689" t="str">
        <f t="shared" si="35"/>
        <v>P</v>
      </c>
      <c r="AS28" s="2690" t="str">
        <f t="shared" si="36"/>
        <v>#1</v>
      </c>
      <c r="AT28" s="2737" t="str">
        <f t="shared" si="37"/>
        <v/>
      </c>
      <c r="AU28" s="2738" t="str">
        <f t="shared" si="38"/>
        <v>B</v>
      </c>
      <c r="AV28" s="2695" t="str">
        <f t="shared" si="39"/>
        <v/>
      </c>
      <c r="AW28" s="2690" t="str">
        <f t="shared" si="40"/>
        <v/>
      </c>
      <c r="AX28" s="2737" t="str">
        <f t="shared" si="41"/>
        <v/>
      </c>
      <c r="AY28" s="2738" t="str">
        <f t="shared" si="42"/>
        <v/>
      </c>
      <c r="AZ28" s="2695" t="str">
        <f t="shared" si="43"/>
        <v/>
      </c>
      <c r="BA28" s="2690" t="str">
        <f t="shared" si="44"/>
        <v/>
      </c>
      <c r="BB28" s="2737" t="str">
        <f t="shared" si="45"/>
        <v/>
      </c>
      <c r="BC28" s="2738" t="str">
        <f t="shared" si="46"/>
        <v/>
      </c>
      <c r="BD28" s="2695" t="str">
        <f t="shared" si="47"/>
        <v/>
      </c>
      <c r="BE28" s="2690" t="str">
        <f t="shared" si="48"/>
        <v/>
      </c>
      <c r="BF28" s="2737" t="str">
        <f t="shared" si="49"/>
        <v/>
      </c>
      <c r="BG28" s="2738" t="str">
        <f t="shared" si="50"/>
        <v/>
      </c>
      <c r="BH28" s="1417"/>
      <c r="BJ28" s="995" t="str">
        <f t="shared" si="93"/>
        <v>G58</v>
      </c>
      <c r="BK28" s="993" t="b">
        <f t="shared" si="51"/>
        <v>0</v>
      </c>
      <c r="BL28" s="1784" t="b">
        <v>0</v>
      </c>
      <c r="BM28" s="989">
        <f t="shared" si="52"/>
        <v>60</v>
      </c>
      <c r="BN28" s="989" t="str">
        <f t="shared" si="53"/>
        <v>G</v>
      </c>
      <c r="BO28" s="989">
        <f t="shared" si="54"/>
        <v>8</v>
      </c>
      <c r="BP28" s="989" t="str">
        <f t="shared" si="55"/>
        <v>13/6</v>
      </c>
      <c r="BQ28" s="989">
        <f t="shared" si="56"/>
        <v>2.4</v>
      </c>
      <c r="BR28" s="989" t="b">
        <f t="shared" si="57"/>
        <v>1</v>
      </c>
      <c r="BS28" s="1303">
        <f t="shared" si="58"/>
        <v>8.75</v>
      </c>
      <c r="BT28" s="990" t="str">
        <f t="shared" si="59"/>
        <v>Yes</v>
      </c>
      <c r="BU28" s="1303">
        <f t="shared" si="60"/>
        <v>6</v>
      </c>
      <c r="BV28" s="990" t="str">
        <f t="shared" si="61"/>
        <v>Yes</v>
      </c>
      <c r="BW28" s="991">
        <f t="shared" ca="1" si="62"/>
        <v>15</v>
      </c>
      <c r="BX28" s="991" t="str">
        <f t="shared" ca="1" si="63"/>
        <v>G58</v>
      </c>
      <c r="BY28" s="991" t="b">
        <f t="shared" ca="1" si="64"/>
        <v>0</v>
      </c>
      <c r="BZ28" s="991" t="b">
        <f t="shared" si="86"/>
        <v>0</v>
      </c>
      <c r="CB28" s="672" t="s">
        <v>1454</v>
      </c>
      <c r="CC28" s="1685">
        <v>1</v>
      </c>
      <c r="CD28" s="699" t="s">
        <v>1741</v>
      </c>
      <c r="CE28" s="700">
        <v>59</v>
      </c>
      <c r="CF28" s="701">
        <v>7</v>
      </c>
      <c r="CG28" s="672">
        <v>7</v>
      </c>
      <c r="CH28" s="713"/>
      <c r="CI28" s="714"/>
      <c r="CJ28" s="713"/>
      <c r="CK28" s="714"/>
      <c r="CL28" s="715"/>
      <c r="CM28" s="743"/>
      <c r="CN28" s="738"/>
      <c r="CO28" s="1552"/>
      <c r="CP28" s="910"/>
      <c r="CQ28" s="672">
        <v>18</v>
      </c>
      <c r="CR28" s="713"/>
      <c r="CS28" s="714"/>
      <c r="CT28" s="713"/>
      <c r="CU28" s="714"/>
      <c r="CV28" s="715"/>
      <c r="CW28" s="743"/>
      <c r="CX28" s="738"/>
      <c r="CY28" s="1552"/>
      <c r="CZ28" s="910"/>
      <c r="DA28" s="717"/>
      <c r="DB28" s="702">
        <v>11</v>
      </c>
      <c r="DC28" s="703" t="s">
        <v>158</v>
      </c>
      <c r="DD28" s="725"/>
      <c r="DE28" s="726">
        <v>11.125</v>
      </c>
      <c r="DF28" s="141"/>
      <c r="DG28" s="141"/>
      <c r="DH28" s="672" t="s">
        <v>1454</v>
      </c>
      <c r="DI28" s="673" t="s">
        <v>35</v>
      </c>
      <c r="DJ28" s="692">
        <v>4</v>
      </c>
      <c r="DK28" s="1332">
        <v>0</v>
      </c>
      <c r="DL28" s="674">
        <v>6</v>
      </c>
      <c r="DM28" s="693">
        <v>8</v>
      </c>
      <c r="DN28" s="1335">
        <v>0</v>
      </c>
      <c r="DO28" s="675"/>
      <c r="DP28" s="676"/>
      <c r="DQ28" s="1420">
        <v>5</v>
      </c>
      <c r="DR28" s="677">
        <v>13</v>
      </c>
      <c r="DS28" s="1420">
        <v>4</v>
      </c>
      <c r="DT28" s="1422"/>
      <c r="DU28" s="1423"/>
      <c r="DV28" s="678" t="s">
        <v>1018</v>
      </c>
      <c r="DW28" s="1337" t="s">
        <v>1705</v>
      </c>
      <c r="DX28" s="679"/>
      <c r="DY28" s="674" t="s">
        <v>35</v>
      </c>
      <c r="DZ28" s="678"/>
      <c r="EA28" s="1337"/>
      <c r="EB28" s="679"/>
      <c r="EC28" s="674"/>
      <c r="ED28" s="678"/>
      <c r="EE28" s="1337"/>
      <c r="EF28" s="679"/>
      <c r="EG28" s="674"/>
      <c r="EH28" s="678"/>
      <c r="EI28" s="1337"/>
      <c r="EJ28" s="679"/>
      <c r="EK28" s="680"/>
      <c r="EL28" s="241"/>
      <c r="EM28" s="1632" t="str">
        <f t="shared" si="65"/>
        <v>G58</v>
      </c>
      <c r="EN28" s="1429" t="str">
        <f t="shared" si="66"/>
        <v/>
      </c>
      <c r="EO28" s="1430" t="str">
        <f t="shared" si="67"/>
        <v/>
      </c>
      <c r="EP28" s="1431" t="str">
        <f t="shared" si="68"/>
        <v/>
      </c>
      <c r="EQ28" s="1435" t="str">
        <f t="shared" si="69"/>
        <v/>
      </c>
      <c r="ER28" s="1441" t="str">
        <f t="shared" si="70"/>
        <v/>
      </c>
      <c r="ES28" s="1442" t="str">
        <f t="shared" si="71"/>
        <v/>
      </c>
      <c r="ET28" s="1443" t="str">
        <f t="shared" si="72"/>
        <v/>
      </c>
      <c r="EU28" s="1444" t="str">
        <f t="shared" si="87"/>
        <v/>
      </c>
      <c r="EX28" s="503" t="str">
        <f t="shared" ca="1" si="88"/>
        <v>G58B</v>
      </c>
      <c r="EY28" s="940" t="b">
        <f t="shared" ca="1" si="73"/>
        <v>1</v>
      </c>
      <c r="EZ28" s="940">
        <f t="shared" ca="1" si="89"/>
        <v>5</v>
      </c>
      <c r="FA28" s="958" t="b">
        <f t="shared" ca="1" si="94"/>
        <v>1</v>
      </c>
      <c r="FB28" s="134">
        <f t="shared" ca="1" si="90"/>
        <v>705.5</v>
      </c>
      <c r="FC28" s="134">
        <f t="shared" ca="1" si="74"/>
        <v>45</v>
      </c>
      <c r="FD28" s="134">
        <f t="shared" ca="1" si="75"/>
        <v>576</v>
      </c>
      <c r="FE28" s="134">
        <f t="shared" ca="1" si="76"/>
        <v>84.5</v>
      </c>
      <c r="FF28" s="134">
        <f t="shared" ca="1" si="91"/>
        <v>705.5</v>
      </c>
      <c r="FN28" s="754" t="b">
        <v>0</v>
      </c>
      <c r="FO28" s="754" t="b">
        <f t="shared" si="77"/>
        <v>1</v>
      </c>
      <c r="FP28" s="754" t="b">
        <v>0</v>
      </c>
      <c r="FQ28" s="754" t="b">
        <f t="shared" si="92"/>
        <v>1</v>
      </c>
      <c r="FW28" s="2"/>
      <c r="FX28" s="2"/>
      <c r="FZ28" s="2"/>
      <c r="GA28" s="581">
        <f t="shared" si="78"/>
        <v>59</v>
      </c>
      <c r="GB28" s="623">
        <f t="shared" si="79"/>
        <v>7</v>
      </c>
      <c r="GC28" s="625">
        <f t="shared" si="80"/>
        <v>-0.25</v>
      </c>
      <c r="GD28" s="626">
        <f t="shared" si="81"/>
        <v>-6.5</v>
      </c>
      <c r="GE28" s="624">
        <f t="shared" si="82"/>
        <v>0</v>
      </c>
      <c r="GF28" s="582" t="str">
        <f t="shared" si="83"/>
        <v>G58</v>
      </c>
      <c r="GG28" s="692">
        <v>0</v>
      </c>
      <c r="GH28" s="1136">
        <v>0</v>
      </c>
      <c r="GI28" s="692"/>
      <c r="GJ28" s="1136"/>
      <c r="GK28" s="1641">
        <f t="shared" si="84"/>
        <v>708.25</v>
      </c>
      <c r="GL28" s="1641">
        <f t="shared" si="85"/>
        <v>708.25</v>
      </c>
      <c r="GM28" s="1642">
        <f>IF(ABS(GK28-GL28)&gt;='Job Info.'!$L$22,ABS(GK28-GL28),0)</f>
        <v>0</v>
      </c>
      <c r="GZ28" s="144"/>
      <c r="HA28" s="1242" t="s">
        <v>1454</v>
      </c>
      <c r="HB28" s="1243">
        <v>1</v>
      </c>
      <c r="HC28" s="1243" t="s">
        <v>1741</v>
      </c>
      <c r="HD28" s="1244">
        <v>59</v>
      </c>
      <c r="HE28" s="1245">
        <v>7</v>
      </c>
      <c r="HF28" s="1243">
        <v>7</v>
      </c>
      <c r="HG28" s="1243"/>
      <c r="HH28" s="1243"/>
      <c r="HI28" s="1243"/>
      <c r="HJ28" s="1243"/>
      <c r="HK28" s="1243"/>
      <c r="HL28" s="1243"/>
      <c r="HM28" s="1243"/>
      <c r="HN28" s="1243"/>
      <c r="HO28" s="1243"/>
      <c r="HP28" s="1243">
        <v>18</v>
      </c>
      <c r="HQ28" s="1243"/>
      <c r="HR28" s="1243"/>
      <c r="HS28" s="1243"/>
      <c r="HT28" s="1243"/>
      <c r="HU28" s="1243"/>
      <c r="HV28" s="1243"/>
      <c r="HW28" s="1243"/>
      <c r="HX28" s="1243"/>
      <c r="HY28" s="1247"/>
      <c r="HZ28" s="1247"/>
      <c r="IA28" s="1247">
        <v>11</v>
      </c>
      <c r="IB28" s="1247" t="s">
        <v>158</v>
      </c>
      <c r="IC28" s="1247"/>
      <c r="ID28" s="1262">
        <v>11.125</v>
      </c>
      <c r="IE28" s="1242" t="s">
        <v>1454</v>
      </c>
      <c r="IF28" s="1243" t="s">
        <v>35</v>
      </c>
      <c r="IG28" s="1244">
        <v>4</v>
      </c>
      <c r="IH28" s="1245">
        <v>0</v>
      </c>
      <c r="II28" s="1243">
        <v>6</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5"/>
        <v>1</v>
      </c>
    </row>
    <row r="29" spans="1:272" ht="12.6" customHeight="1" x14ac:dyDescent="0.25">
      <c r="A29" s="2683" t="str">
        <f t="shared" si="0"/>
        <v>G59</v>
      </c>
      <c r="B29" s="2684">
        <f t="shared" si="0"/>
        <v>1</v>
      </c>
      <c r="C29" s="2685" t="s">
        <v>1743</v>
      </c>
      <c r="D29" s="2686">
        <f t="shared" si="1"/>
        <v>55</v>
      </c>
      <c r="E29" s="2687">
        <f t="shared" si="2"/>
        <v>10.25</v>
      </c>
      <c r="F29" s="2688">
        <f t="shared" si="3"/>
        <v>11.125</v>
      </c>
      <c r="G29" s="2689">
        <f t="shared" si="4"/>
        <v>0</v>
      </c>
      <c r="H29" s="2690">
        <f t="shared" si="5"/>
        <v>2.75</v>
      </c>
      <c r="I29" s="2691" t="str">
        <f t="shared" si="6"/>
        <v>R</v>
      </c>
      <c r="J29" s="2686" t="str">
        <f t="shared" si="7"/>
        <v/>
      </c>
      <c r="K29" s="2690" t="str">
        <f t="shared" si="8"/>
        <v/>
      </c>
      <c r="L29" s="2692" t="str">
        <f t="shared" si="9"/>
        <v/>
      </c>
      <c r="M29" s="2693">
        <f t="shared" si="10"/>
        <v>7.5</v>
      </c>
      <c r="N29" s="2694">
        <f t="shared" si="10"/>
        <v>7.5</v>
      </c>
      <c r="O29" s="2689">
        <f t="shared" si="11"/>
        <v>0</v>
      </c>
      <c r="P29" s="2690">
        <f t="shared" si="12"/>
        <v>7.75</v>
      </c>
      <c r="Q29" s="2686">
        <f t="shared" si="13"/>
        <v>0</v>
      </c>
      <c r="R29" s="2687">
        <f t="shared" si="14"/>
        <v>1.5</v>
      </c>
      <c r="S29" s="2695">
        <f t="shared" si="15"/>
        <v>0</v>
      </c>
      <c r="T29" s="2690">
        <f t="shared" si="16"/>
        <v>7.25</v>
      </c>
      <c r="U29" s="2686">
        <f t="shared" si="17"/>
        <v>0</v>
      </c>
      <c r="V29" s="2690">
        <f t="shared" si="18"/>
        <v>3</v>
      </c>
      <c r="W29" s="2694">
        <f t="shared" si="19"/>
        <v>5</v>
      </c>
      <c r="X29" s="2696" t="str">
        <f t="shared" si="20"/>
        <v/>
      </c>
      <c r="Y29" s="2697" t="str">
        <f t="shared" si="21"/>
        <v/>
      </c>
      <c r="Z29" s="2698" t="s">
        <v>1922</v>
      </c>
      <c r="AA29" s="2758" t="str">
        <f t="shared" si="22"/>
        <v/>
      </c>
      <c r="AB29" s="2683" t="str">
        <f t="shared" si="23"/>
        <v>G59</v>
      </c>
      <c r="AC29" s="2691" t="str">
        <f t="shared" si="24"/>
        <v>B</v>
      </c>
      <c r="AD29" s="2686">
        <f t="shared" ca="1" si="25"/>
        <v>7</v>
      </c>
      <c r="AE29" s="2690">
        <f t="shared" ca="1" si="26"/>
        <v>9</v>
      </c>
      <c r="AF29" s="2691">
        <f t="shared" ca="1" si="27"/>
        <v>5</v>
      </c>
      <c r="AG29" s="2686">
        <f t="shared" ca="1" si="28"/>
        <v>8</v>
      </c>
      <c r="AH29" s="2690">
        <f t="shared" ca="1" si="29"/>
        <v>0</v>
      </c>
      <c r="AI29" s="2686">
        <f t="shared" ca="1" si="30"/>
        <v>7</v>
      </c>
      <c r="AJ29" s="2690">
        <f t="shared" ca="1" si="31"/>
        <v>10.5</v>
      </c>
      <c r="AK29" s="2732" t="str">
        <f t="shared" si="32"/>
        <v/>
      </c>
      <c r="AL29" s="2733" t="str">
        <f t="shared" si="33"/>
        <v/>
      </c>
      <c r="AM29" s="2734">
        <f t="shared" si="32"/>
        <v>5</v>
      </c>
      <c r="AN29" s="2691">
        <f t="shared" si="32"/>
        <v>13</v>
      </c>
      <c r="AO29" s="2694">
        <f t="shared" si="32"/>
        <v>4</v>
      </c>
      <c r="AP29" s="2693">
        <f t="shared" si="34"/>
        <v>1.75</v>
      </c>
      <c r="AQ29" s="2736" t="str">
        <f t="shared" si="34"/>
        <v/>
      </c>
      <c r="AR29" s="2689">
        <f t="shared" si="35"/>
        <v>1</v>
      </c>
      <c r="AS29" s="2690">
        <f t="shared" si="36"/>
        <v>0</v>
      </c>
      <c r="AT29" s="2737" t="str">
        <f t="shared" si="37"/>
        <v/>
      </c>
      <c r="AU29" s="2738" t="str">
        <f t="shared" si="38"/>
        <v>B</v>
      </c>
      <c r="AV29" s="2695" t="str">
        <f t="shared" si="39"/>
        <v/>
      </c>
      <c r="AW29" s="2690" t="str">
        <f t="shared" si="40"/>
        <v/>
      </c>
      <c r="AX29" s="2737" t="str">
        <f t="shared" si="41"/>
        <v/>
      </c>
      <c r="AY29" s="2738" t="str">
        <f t="shared" si="42"/>
        <v/>
      </c>
      <c r="AZ29" s="2695" t="str">
        <f t="shared" si="43"/>
        <v/>
      </c>
      <c r="BA29" s="2690" t="str">
        <f t="shared" si="44"/>
        <v/>
      </c>
      <c r="BB29" s="2737" t="str">
        <f t="shared" si="45"/>
        <v/>
      </c>
      <c r="BC29" s="2738" t="str">
        <f t="shared" si="46"/>
        <v/>
      </c>
      <c r="BD29" s="2695" t="str">
        <f t="shared" si="47"/>
        <v/>
      </c>
      <c r="BE29" s="2690" t="str">
        <f t="shared" si="48"/>
        <v/>
      </c>
      <c r="BF29" s="2737" t="str">
        <f t="shared" si="49"/>
        <v/>
      </c>
      <c r="BG29" s="2738" t="str">
        <f t="shared" si="50"/>
        <v/>
      </c>
      <c r="BH29" s="1417"/>
      <c r="BJ29" s="995" t="str">
        <f t="shared" si="93"/>
        <v>G59</v>
      </c>
      <c r="BK29" s="993" t="b">
        <f t="shared" si="51"/>
        <v>0</v>
      </c>
      <c r="BL29" s="1784" t="b">
        <v>0</v>
      </c>
      <c r="BM29" s="989">
        <f t="shared" si="52"/>
        <v>60</v>
      </c>
      <c r="BN29" s="989" t="str">
        <f t="shared" si="53"/>
        <v>G</v>
      </c>
      <c r="BO29" s="989">
        <f t="shared" si="54"/>
        <v>7</v>
      </c>
      <c r="BP29" s="989" t="str">
        <f t="shared" si="55"/>
        <v>13/6</v>
      </c>
      <c r="BQ29" s="989">
        <f t="shared" si="56"/>
        <v>2.4</v>
      </c>
      <c r="BR29" s="989" t="b">
        <f t="shared" si="57"/>
        <v>1</v>
      </c>
      <c r="BS29" s="1303">
        <f t="shared" si="58"/>
        <v>8.75</v>
      </c>
      <c r="BT29" s="990" t="str">
        <f t="shared" si="59"/>
        <v>Yes</v>
      </c>
      <c r="BU29" s="1303">
        <f t="shared" si="60"/>
        <v>6</v>
      </c>
      <c r="BV29" s="990" t="str">
        <f t="shared" si="61"/>
        <v>Yes</v>
      </c>
      <c r="BW29" s="991">
        <f t="shared" ca="1" si="62"/>
        <v>16</v>
      </c>
      <c r="BX29" s="991" t="str">
        <f t="shared" ca="1" si="63"/>
        <v>G59</v>
      </c>
      <c r="BY29" s="991" t="b">
        <f t="shared" ca="1" si="64"/>
        <v>0</v>
      </c>
      <c r="BZ29" s="991" t="b">
        <f t="shared" si="86"/>
        <v>0</v>
      </c>
      <c r="CB29" s="672" t="s">
        <v>1455</v>
      </c>
      <c r="CC29" s="1685">
        <v>1</v>
      </c>
      <c r="CD29" s="699" t="s">
        <v>1743</v>
      </c>
      <c r="CE29" s="700">
        <v>56</v>
      </c>
      <c r="CF29" s="701">
        <v>5</v>
      </c>
      <c r="CG29" s="672">
        <v>7</v>
      </c>
      <c r="CH29" s="713"/>
      <c r="CI29" s="714"/>
      <c r="CJ29" s="713"/>
      <c r="CK29" s="714"/>
      <c r="CL29" s="715"/>
      <c r="CM29" s="743"/>
      <c r="CN29" s="738"/>
      <c r="CO29" s="1552"/>
      <c r="CP29" s="910"/>
      <c r="CQ29" s="672">
        <v>18</v>
      </c>
      <c r="CR29" s="713"/>
      <c r="CS29" s="714"/>
      <c r="CT29" s="713"/>
      <c r="CU29" s="714"/>
      <c r="CV29" s="715"/>
      <c r="CW29" s="743"/>
      <c r="CX29" s="738"/>
      <c r="CY29" s="1552"/>
      <c r="CZ29" s="910"/>
      <c r="DA29" s="717"/>
      <c r="DB29" s="702" t="s">
        <v>1744</v>
      </c>
      <c r="DC29" s="703" t="s">
        <v>158</v>
      </c>
      <c r="DD29" s="725"/>
      <c r="DE29" s="726">
        <v>11.125</v>
      </c>
      <c r="DF29" s="141"/>
      <c r="DG29" s="141"/>
      <c r="DH29" s="672" t="s">
        <v>1455</v>
      </c>
      <c r="DI29" s="673" t="s">
        <v>35</v>
      </c>
      <c r="DJ29" s="692">
        <v>8</v>
      </c>
      <c r="DK29" s="1332">
        <v>0</v>
      </c>
      <c r="DL29" s="674">
        <v>5</v>
      </c>
      <c r="DM29" s="693">
        <v>8</v>
      </c>
      <c r="DN29" s="1335">
        <v>0</v>
      </c>
      <c r="DO29" s="675"/>
      <c r="DP29" s="676"/>
      <c r="DQ29" s="1420">
        <v>5</v>
      </c>
      <c r="DR29" s="677">
        <v>13</v>
      </c>
      <c r="DS29" s="1420">
        <v>4</v>
      </c>
      <c r="DT29" s="1422">
        <v>2</v>
      </c>
      <c r="DU29" s="1423"/>
      <c r="DV29" s="2661">
        <v>1</v>
      </c>
      <c r="DW29" s="2664">
        <v>0.25</v>
      </c>
      <c r="DX29" s="679"/>
      <c r="DY29" s="2665" t="s">
        <v>35</v>
      </c>
      <c r="DZ29" s="678"/>
      <c r="EA29" s="1337"/>
      <c r="EB29" s="679"/>
      <c r="EC29" s="674"/>
      <c r="ED29" s="678"/>
      <c r="EE29" s="1337"/>
      <c r="EF29" s="679"/>
      <c r="EG29" s="674"/>
      <c r="EH29" s="678"/>
      <c r="EI29" s="1337"/>
      <c r="EJ29" s="679"/>
      <c r="EK29" s="680"/>
      <c r="EL29" s="241"/>
      <c r="EM29" s="1632" t="str">
        <f t="shared" si="65"/>
        <v>G59</v>
      </c>
      <c r="EN29" s="1429" t="str">
        <f t="shared" si="66"/>
        <v/>
      </c>
      <c r="EO29" s="1430" t="str">
        <f t="shared" si="67"/>
        <v/>
      </c>
      <c r="EP29" s="1431" t="str">
        <f t="shared" si="68"/>
        <v/>
      </c>
      <c r="EQ29" s="1435" t="str">
        <f t="shared" si="69"/>
        <v/>
      </c>
      <c r="ER29" s="1441" t="str">
        <f t="shared" si="70"/>
        <v/>
      </c>
      <c r="ES29" s="1442" t="str">
        <f t="shared" si="71"/>
        <v/>
      </c>
      <c r="ET29" s="1443" t="str">
        <f t="shared" si="72"/>
        <v/>
      </c>
      <c r="EU29" s="1444" t="str">
        <f t="shared" si="87"/>
        <v/>
      </c>
      <c r="EX29" s="503" t="str">
        <f t="shared" ca="1" si="88"/>
        <v>G59B</v>
      </c>
      <c r="EY29" s="940" t="b">
        <f t="shared" ca="1" si="73"/>
        <v>1</v>
      </c>
      <c r="EZ29" s="940">
        <f t="shared" ca="1" si="89"/>
        <v>5</v>
      </c>
      <c r="FA29" s="958" t="b">
        <f t="shared" ca="1" si="94"/>
        <v>1</v>
      </c>
      <c r="FB29" s="134">
        <f t="shared" ca="1" si="90"/>
        <v>667.5</v>
      </c>
      <c r="FC29" s="134">
        <f t="shared" ca="1" si="74"/>
        <v>93</v>
      </c>
      <c r="FD29" s="134">
        <f t="shared" ca="1" si="75"/>
        <v>480</v>
      </c>
      <c r="FE29" s="134">
        <f t="shared" ca="1" si="76"/>
        <v>94.5</v>
      </c>
      <c r="FF29" s="134">
        <f t="shared" ca="1" si="91"/>
        <v>667.5</v>
      </c>
      <c r="FN29" s="754" t="b">
        <v>0</v>
      </c>
      <c r="FO29" s="754" t="b">
        <f t="shared" si="77"/>
        <v>1</v>
      </c>
      <c r="FP29" s="754" t="b">
        <v>0</v>
      </c>
      <c r="FQ29" s="754" t="b">
        <f t="shared" si="92"/>
        <v>1</v>
      </c>
      <c r="FW29" s="2"/>
      <c r="FX29" s="2"/>
      <c r="FZ29" s="2"/>
      <c r="GA29" s="581">
        <f t="shared" si="78"/>
        <v>56</v>
      </c>
      <c r="GB29" s="623">
        <f t="shared" si="79"/>
        <v>5</v>
      </c>
      <c r="GC29" s="625">
        <f t="shared" si="80"/>
        <v>-0.25</v>
      </c>
      <c r="GD29" s="626">
        <f t="shared" si="81"/>
        <v>-6.5</v>
      </c>
      <c r="GE29" s="624">
        <f t="shared" si="82"/>
        <v>0</v>
      </c>
      <c r="GF29" s="582" t="str">
        <f t="shared" si="83"/>
        <v>G59</v>
      </c>
      <c r="GG29" s="692">
        <v>0</v>
      </c>
      <c r="GH29" s="1136">
        <v>0</v>
      </c>
      <c r="GI29" s="692"/>
      <c r="GJ29" s="1136"/>
      <c r="GK29" s="1641">
        <f t="shared" si="84"/>
        <v>670.25</v>
      </c>
      <c r="GL29" s="1641">
        <f t="shared" si="85"/>
        <v>670.25</v>
      </c>
      <c r="GM29" s="1642">
        <f>IF(ABS(GK29-GL29)&gt;='Job Info.'!$L$22,ABS(GK29-GL29),0)</f>
        <v>0</v>
      </c>
      <c r="HA29" s="1242" t="s">
        <v>1455</v>
      </c>
      <c r="HB29" s="1243">
        <v>1</v>
      </c>
      <c r="HC29" s="1243" t="s">
        <v>1743</v>
      </c>
      <c r="HD29" s="1244">
        <v>56</v>
      </c>
      <c r="HE29" s="1245">
        <v>5</v>
      </c>
      <c r="HF29" s="1243">
        <v>7</v>
      </c>
      <c r="HG29" s="1243"/>
      <c r="HH29" s="1243"/>
      <c r="HI29" s="1243"/>
      <c r="HJ29" s="1243"/>
      <c r="HK29" s="1243"/>
      <c r="HL29" s="1243"/>
      <c r="HM29" s="1243"/>
      <c r="HN29" s="1243"/>
      <c r="HO29" s="1243"/>
      <c r="HP29" s="1243">
        <v>18</v>
      </c>
      <c r="HQ29" s="1243"/>
      <c r="HR29" s="1243"/>
      <c r="HS29" s="1243"/>
      <c r="HT29" s="1243"/>
      <c r="HU29" s="1243"/>
      <c r="HV29" s="1243"/>
      <c r="HW29" s="1243"/>
      <c r="HX29" s="1243"/>
      <c r="HY29" s="1247"/>
      <c r="HZ29" s="1247"/>
      <c r="IA29" s="1247" t="s">
        <v>1744</v>
      </c>
      <c r="IB29" s="1247" t="s">
        <v>158</v>
      </c>
      <c r="IC29" s="1247"/>
      <c r="ID29" s="1262">
        <v>11.125</v>
      </c>
      <c r="IE29" s="1242" t="s">
        <v>1455</v>
      </c>
      <c r="IF29" s="1243" t="s">
        <v>35</v>
      </c>
      <c r="IG29" s="1244">
        <v>8</v>
      </c>
      <c r="IH29" s="1245">
        <v>0</v>
      </c>
      <c r="II29" s="1243">
        <v>5</v>
      </c>
      <c r="IJ29" s="1244">
        <v>8</v>
      </c>
      <c r="IK29" s="1245">
        <v>0</v>
      </c>
      <c r="IL29" s="1243"/>
      <c r="IM29" s="1243"/>
      <c r="IN29" s="1243">
        <v>5</v>
      </c>
      <c r="IO29" s="1243">
        <v>13</v>
      </c>
      <c r="IP29" s="1243">
        <v>4</v>
      </c>
      <c r="IQ29" s="1243">
        <v>2</v>
      </c>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5"/>
        <v>1</v>
      </c>
    </row>
    <row r="30" spans="1:272" s="145" customFormat="1" ht="12.6" customHeight="1" x14ac:dyDescent="0.25">
      <c r="A30" s="2683" t="str">
        <f t="shared" si="0"/>
        <v>G60</v>
      </c>
      <c r="B30" s="2684">
        <f t="shared" si="0"/>
        <v>2</v>
      </c>
      <c r="C30" s="2685" t="s">
        <v>1743</v>
      </c>
      <c r="D30" s="2686">
        <f t="shared" si="1"/>
        <v>55</v>
      </c>
      <c r="E30" s="2687">
        <f t="shared" si="2"/>
        <v>11.5</v>
      </c>
      <c r="F30" s="2688">
        <f t="shared" si="3"/>
        <v>11.125</v>
      </c>
      <c r="G30" s="2689">
        <f t="shared" si="4"/>
        <v>0</v>
      </c>
      <c r="H30" s="2690">
        <f t="shared" si="5"/>
        <v>2.75</v>
      </c>
      <c r="I30" s="2691" t="str">
        <f t="shared" si="6"/>
        <v>R</v>
      </c>
      <c r="J30" s="2686">
        <f t="shared" si="7"/>
        <v>0</v>
      </c>
      <c r="K30" s="2690">
        <f t="shared" si="8"/>
        <v>2.75</v>
      </c>
      <c r="L30" s="2692" t="str">
        <f t="shared" si="9"/>
        <v>R</v>
      </c>
      <c r="M30" s="2693">
        <f t="shared" si="10"/>
        <v>7.5</v>
      </c>
      <c r="N30" s="2694">
        <f t="shared" si="10"/>
        <v>7.5</v>
      </c>
      <c r="O30" s="2689">
        <f t="shared" si="11"/>
        <v>0</v>
      </c>
      <c r="P30" s="2690">
        <f t="shared" si="12"/>
        <v>7.75</v>
      </c>
      <c r="Q30" s="2686">
        <f t="shared" si="13"/>
        <v>0</v>
      </c>
      <c r="R30" s="2687">
        <f t="shared" si="14"/>
        <v>7.75</v>
      </c>
      <c r="S30" s="2695">
        <f t="shared" si="15"/>
        <v>0</v>
      </c>
      <c r="T30" s="2690">
        <f t="shared" si="16"/>
        <v>7.25</v>
      </c>
      <c r="U30" s="2686">
        <f t="shared" si="17"/>
        <v>0</v>
      </c>
      <c r="V30" s="2690">
        <f t="shared" si="18"/>
        <v>7.25</v>
      </c>
      <c r="W30" s="2694">
        <f t="shared" si="19"/>
        <v>5</v>
      </c>
      <c r="X30" s="2696" t="str">
        <f t="shared" si="20"/>
        <v/>
      </c>
      <c r="Y30" s="2697" t="str">
        <f t="shared" si="21"/>
        <v/>
      </c>
      <c r="Z30" s="2698" t="s">
        <v>1923</v>
      </c>
      <c r="AA30" s="2758" t="str">
        <f t="shared" si="22"/>
        <v/>
      </c>
      <c r="AB30" s="2683" t="str">
        <f t="shared" si="23"/>
        <v>G60</v>
      </c>
      <c r="AC30" s="2691" t="str">
        <f t="shared" si="24"/>
        <v>B</v>
      </c>
      <c r="AD30" s="2686">
        <f t="shared" ca="1" si="25"/>
        <v>7</v>
      </c>
      <c r="AE30" s="2690">
        <f t="shared" ca="1" si="26"/>
        <v>9</v>
      </c>
      <c r="AF30" s="2691">
        <f t="shared" ca="1" si="27"/>
        <v>5</v>
      </c>
      <c r="AG30" s="2686">
        <f t="shared" ca="1" si="28"/>
        <v>8</v>
      </c>
      <c r="AH30" s="2690">
        <f t="shared" ca="1" si="29"/>
        <v>0</v>
      </c>
      <c r="AI30" s="2686">
        <f t="shared" ca="1" si="30"/>
        <v>7</v>
      </c>
      <c r="AJ30" s="2690">
        <f t="shared" ca="1" si="31"/>
        <v>9</v>
      </c>
      <c r="AK30" s="2732" t="str">
        <f t="shared" si="32"/>
        <v/>
      </c>
      <c r="AL30" s="2733" t="str">
        <f t="shared" si="33"/>
        <v/>
      </c>
      <c r="AM30" s="2734">
        <f t="shared" si="32"/>
        <v>5</v>
      </c>
      <c r="AN30" s="2691">
        <f t="shared" si="32"/>
        <v>13</v>
      </c>
      <c r="AO30" s="2694">
        <f t="shared" si="32"/>
        <v>4</v>
      </c>
      <c r="AP30" s="2693">
        <f t="shared" si="34"/>
        <v>1.75</v>
      </c>
      <c r="AQ30" s="2736">
        <f t="shared" si="34"/>
        <v>1.75</v>
      </c>
      <c r="AR30" s="2689" t="str">
        <f t="shared" si="35"/>
        <v>P</v>
      </c>
      <c r="AS30" s="2690" t="str">
        <f t="shared" si="36"/>
        <v>#5</v>
      </c>
      <c r="AT30" s="2737">
        <f t="shared" si="37"/>
        <v>0.3</v>
      </c>
      <c r="AU30" s="2738" t="str">
        <f t="shared" si="38"/>
        <v/>
      </c>
      <c r="AV30" s="2695" t="str">
        <f t="shared" si="39"/>
        <v>P</v>
      </c>
      <c r="AW30" s="2690" t="str">
        <f t="shared" si="40"/>
        <v>#6</v>
      </c>
      <c r="AX30" s="2737">
        <f t="shared" si="41"/>
        <v>0.3</v>
      </c>
      <c r="AY30" s="2738" t="str">
        <f t="shared" si="42"/>
        <v/>
      </c>
      <c r="AZ30" s="2695">
        <f t="shared" si="43"/>
        <v>1</v>
      </c>
      <c r="BA30" s="2690">
        <f t="shared" si="44"/>
        <v>0</v>
      </c>
      <c r="BB30" s="2737" t="str">
        <f t="shared" si="45"/>
        <v/>
      </c>
      <c r="BC30" s="2738" t="str">
        <f t="shared" si="46"/>
        <v>B</v>
      </c>
      <c r="BD30" s="2695">
        <f t="shared" si="47"/>
        <v>55</v>
      </c>
      <c r="BE30" s="2690">
        <f t="shared" si="48"/>
        <v>0</v>
      </c>
      <c r="BF30" s="2737" t="str">
        <f t="shared" si="49"/>
        <v/>
      </c>
      <c r="BG30" s="2738" t="str">
        <f t="shared" si="50"/>
        <v>B</v>
      </c>
      <c r="BH30" s="1417"/>
      <c r="BJ30" s="995" t="str">
        <f t="shared" si="93"/>
        <v>G60</v>
      </c>
      <c r="BK30" s="993" t="b">
        <f t="shared" si="51"/>
        <v>0</v>
      </c>
      <c r="BL30" s="1784" t="b">
        <v>0</v>
      </c>
      <c r="BM30" s="989">
        <f t="shared" si="52"/>
        <v>60</v>
      </c>
      <c r="BN30" s="989" t="str">
        <f t="shared" si="53"/>
        <v>G</v>
      </c>
      <c r="BO30" s="989">
        <f t="shared" si="54"/>
        <v>7</v>
      </c>
      <c r="BP30" s="989" t="str">
        <f t="shared" si="55"/>
        <v>13/6</v>
      </c>
      <c r="BQ30" s="989">
        <f t="shared" si="56"/>
        <v>2.4</v>
      </c>
      <c r="BR30" s="989" t="b">
        <f t="shared" si="57"/>
        <v>1</v>
      </c>
      <c r="BS30" s="1303">
        <f t="shared" si="58"/>
        <v>8.75</v>
      </c>
      <c r="BT30" s="990" t="str">
        <f t="shared" si="59"/>
        <v>Yes</v>
      </c>
      <c r="BU30" s="1303">
        <f t="shared" si="60"/>
        <v>8.75</v>
      </c>
      <c r="BV30" s="990" t="str">
        <f t="shared" si="61"/>
        <v>Yes</v>
      </c>
      <c r="BW30" s="991">
        <f t="shared" ca="1" si="62"/>
        <v>26</v>
      </c>
      <c r="BX30" s="991" t="str">
        <f t="shared" ca="1" si="63"/>
        <v>G60</v>
      </c>
      <c r="BY30" s="991" t="b">
        <f t="shared" ca="1" si="64"/>
        <v>0</v>
      </c>
      <c r="BZ30" s="991" t="b">
        <f t="shared" si="86"/>
        <v>0</v>
      </c>
      <c r="CB30" s="672" t="s">
        <v>1456</v>
      </c>
      <c r="CC30" s="1685">
        <v>2</v>
      </c>
      <c r="CD30" s="699" t="s">
        <v>1743</v>
      </c>
      <c r="CE30" s="700">
        <v>56</v>
      </c>
      <c r="CF30" s="701">
        <v>0</v>
      </c>
      <c r="CG30" s="672">
        <v>7</v>
      </c>
      <c r="CH30" s="713"/>
      <c r="CI30" s="714"/>
      <c r="CJ30" s="713"/>
      <c r="CK30" s="714"/>
      <c r="CL30" s="715"/>
      <c r="CM30" s="743"/>
      <c r="CN30" s="738"/>
      <c r="CO30" s="1552"/>
      <c r="CP30" s="910"/>
      <c r="CQ30" s="672">
        <v>7</v>
      </c>
      <c r="CR30" s="713"/>
      <c r="CS30" s="714"/>
      <c r="CT30" s="713"/>
      <c r="CU30" s="714"/>
      <c r="CV30" s="715"/>
      <c r="CW30" s="743"/>
      <c r="CX30" s="738"/>
      <c r="CY30" s="1552"/>
      <c r="CZ30" s="910"/>
      <c r="DA30" s="717"/>
      <c r="DB30" s="702" t="s">
        <v>1745</v>
      </c>
      <c r="DC30" s="703"/>
      <c r="DD30" s="725"/>
      <c r="DE30" s="726">
        <v>11.125</v>
      </c>
      <c r="DF30" s="141"/>
      <c r="DG30" s="141"/>
      <c r="DH30" s="672" t="s">
        <v>1456</v>
      </c>
      <c r="DI30" s="673" t="s">
        <v>35</v>
      </c>
      <c r="DJ30" s="692">
        <v>8</v>
      </c>
      <c r="DK30" s="1332">
        <v>0</v>
      </c>
      <c r="DL30" s="674">
        <v>5</v>
      </c>
      <c r="DM30" s="693">
        <v>8</v>
      </c>
      <c r="DN30" s="1335">
        <v>0</v>
      </c>
      <c r="DO30" s="675"/>
      <c r="DP30" s="676"/>
      <c r="DQ30" s="1420">
        <v>5</v>
      </c>
      <c r="DR30" s="677">
        <v>13</v>
      </c>
      <c r="DS30" s="1420">
        <v>4</v>
      </c>
      <c r="DT30" s="1422">
        <v>2</v>
      </c>
      <c r="DU30" s="1423">
        <v>2</v>
      </c>
      <c r="DV30" s="2661" t="s">
        <v>1018</v>
      </c>
      <c r="DW30" s="2664" t="s">
        <v>1750</v>
      </c>
      <c r="DX30" s="2761">
        <v>0.3</v>
      </c>
      <c r="DY30" s="674"/>
      <c r="DZ30" s="2661" t="s">
        <v>1018</v>
      </c>
      <c r="EA30" s="2664" t="s">
        <v>1706</v>
      </c>
      <c r="EB30" s="2761">
        <v>0.3</v>
      </c>
      <c r="EC30" s="674"/>
      <c r="ED30" s="2661">
        <v>1</v>
      </c>
      <c r="EE30" s="2664">
        <v>0.25</v>
      </c>
      <c r="EF30" s="679"/>
      <c r="EG30" s="2665" t="s">
        <v>35</v>
      </c>
      <c r="EH30" s="2661">
        <v>55</v>
      </c>
      <c r="EI30" s="2664">
        <v>0.25</v>
      </c>
      <c r="EJ30" s="679"/>
      <c r="EK30" s="2762" t="s">
        <v>35</v>
      </c>
      <c r="EL30" s="241"/>
      <c r="EM30" s="1632" t="str">
        <f t="shared" si="65"/>
        <v>G60</v>
      </c>
      <c r="EN30" s="1429" t="str">
        <f t="shared" si="66"/>
        <v/>
      </c>
      <c r="EO30" s="1430" t="str">
        <f t="shared" si="67"/>
        <v/>
      </c>
      <c r="EP30" s="1431" t="str">
        <f t="shared" si="68"/>
        <v/>
      </c>
      <c r="EQ30" s="1435" t="str">
        <f t="shared" si="69"/>
        <v/>
      </c>
      <c r="ER30" s="1441" t="str">
        <f t="shared" si="70"/>
        <v/>
      </c>
      <c r="ES30" s="1442" t="str">
        <f t="shared" si="71"/>
        <v/>
      </c>
      <c r="ET30" s="1443" t="str">
        <f t="shared" si="72"/>
        <v/>
      </c>
      <c r="EU30" s="1444" t="str">
        <f t="shared" si="87"/>
        <v/>
      </c>
      <c r="EX30" s="503" t="str">
        <f t="shared" ca="1" si="88"/>
        <v>G60B</v>
      </c>
      <c r="EY30" s="940" t="b">
        <f t="shared" ca="1" si="73"/>
        <v>1</v>
      </c>
      <c r="EZ30" s="940">
        <f t="shared" ca="1" si="89"/>
        <v>5</v>
      </c>
      <c r="FA30" s="958" t="b">
        <f t="shared" ca="1" si="94"/>
        <v>1</v>
      </c>
      <c r="FB30" s="134">
        <f t="shared" ca="1" si="90"/>
        <v>666</v>
      </c>
      <c r="FC30" s="134">
        <f t="shared" ca="1" si="74"/>
        <v>93</v>
      </c>
      <c r="FD30" s="134">
        <f t="shared" ca="1" si="75"/>
        <v>480</v>
      </c>
      <c r="FE30" s="134">
        <f t="shared" ca="1" si="76"/>
        <v>93</v>
      </c>
      <c r="FF30" s="134">
        <f t="shared" ca="1" si="91"/>
        <v>666</v>
      </c>
      <c r="FN30" s="754" t="b">
        <v>0</v>
      </c>
      <c r="FO30" s="755" t="b">
        <f t="shared" si="77"/>
        <v>1</v>
      </c>
      <c r="FP30" s="755" t="b">
        <v>0</v>
      </c>
      <c r="FQ30" s="755" t="b">
        <f t="shared" si="92"/>
        <v>1</v>
      </c>
      <c r="FW30" s="2"/>
      <c r="FX30" s="2"/>
      <c r="FZ30" s="2"/>
      <c r="GA30" s="581">
        <f t="shared" si="78"/>
        <v>56</v>
      </c>
      <c r="GB30" s="623">
        <f t="shared" si="79"/>
        <v>0</v>
      </c>
      <c r="GC30" s="625">
        <f t="shared" si="80"/>
        <v>-0.25</v>
      </c>
      <c r="GD30" s="626">
        <f t="shared" si="81"/>
        <v>-0.25</v>
      </c>
      <c r="GE30" s="624">
        <f t="shared" si="82"/>
        <v>0</v>
      </c>
      <c r="GF30" s="582" t="str">
        <f t="shared" si="83"/>
        <v>G60</v>
      </c>
      <c r="GG30" s="692">
        <v>0</v>
      </c>
      <c r="GH30" s="1136">
        <v>0</v>
      </c>
      <c r="GI30" s="692"/>
      <c r="GJ30" s="1136"/>
      <c r="GK30" s="1641">
        <f t="shared" si="84"/>
        <v>671.5</v>
      </c>
      <c r="GL30" s="1641">
        <f t="shared" si="85"/>
        <v>671.5</v>
      </c>
      <c r="GM30" s="1642">
        <f>IF(ABS(GK30-GL30)&gt;='Job Info.'!$L$22,ABS(GK30-GL30),0)</f>
        <v>0</v>
      </c>
      <c r="GZ30" s="130"/>
      <c r="HA30" s="1242" t="s">
        <v>1456</v>
      </c>
      <c r="HB30" s="1243">
        <v>2</v>
      </c>
      <c r="HC30" s="1243" t="s">
        <v>1743</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t="s">
        <v>1745</v>
      </c>
      <c r="IB30" s="1247"/>
      <c r="IC30" s="1247"/>
      <c r="ID30" s="1262">
        <v>11.125</v>
      </c>
      <c r="IE30" s="1242" t="s">
        <v>1456</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5"/>
        <v>1</v>
      </c>
    </row>
    <row r="31" spans="1:272" s="145" customFormat="1" ht="12.6" customHeight="1" x14ac:dyDescent="0.25">
      <c r="A31" s="2683" t="str">
        <f t="shared" si="0"/>
        <v>G61</v>
      </c>
      <c r="B31" s="2684">
        <f t="shared" si="0"/>
        <v>2</v>
      </c>
      <c r="C31" s="2685" t="s">
        <v>1743</v>
      </c>
      <c r="D31" s="2686">
        <f t="shared" si="1"/>
        <v>55</v>
      </c>
      <c r="E31" s="2687">
        <f t="shared" si="2"/>
        <v>11.5</v>
      </c>
      <c r="F31" s="2688">
        <f t="shared" si="3"/>
        <v>11.125</v>
      </c>
      <c r="G31" s="2689">
        <f t="shared" si="4"/>
        <v>0</v>
      </c>
      <c r="H31" s="2690">
        <f t="shared" si="5"/>
        <v>2.75</v>
      </c>
      <c r="I31" s="2691" t="str">
        <f t="shared" si="6"/>
        <v>R</v>
      </c>
      <c r="J31" s="2686">
        <f t="shared" si="7"/>
        <v>0</v>
      </c>
      <c r="K31" s="2690">
        <f t="shared" si="8"/>
        <v>2.75</v>
      </c>
      <c r="L31" s="2692" t="str">
        <f t="shared" si="9"/>
        <v>R</v>
      </c>
      <c r="M31" s="2693">
        <f t="shared" si="10"/>
        <v>7.5</v>
      </c>
      <c r="N31" s="2694">
        <f t="shared" si="10"/>
        <v>7.5</v>
      </c>
      <c r="O31" s="2689">
        <f t="shared" si="11"/>
        <v>0</v>
      </c>
      <c r="P31" s="2690">
        <f t="shared" si="12"/>
        <v>7.75</v>
      </c>
      <c r="Q31" s="2686">
        <f t="shared" si="13"/>
        <v>0</v>
      </c>
      <c r="R31" s="2687">
        <f t="shared" si="14"/>
        <v>7.75</v>
      </c>
      <c r="S31" s="2695">
        <f t="shared" si="15"/>
        <v>0</v>
      </c>
      <c r="T31" s="2690">
        <f t="shared" si="16"/>
        <v>7.25</v>
      </c>
      <c r="U31" s="2686">
        <f t="shared" si="17"/>
        <v>0</v>
      </c>
      <c r="V31" s="2690">
        <f t="shared" si="18"/>
        <v>7.25</v>
      </c>
      <c r="W31" s="2694">
        <f t="shared" si="19"/>
        <v>5</v>
      </c>
      <c r="X31" s="2696" t="str">
        <f t="shared" si="20"/>
        <v/>
      </c>
      <c r="Y31" s="2697" t="str">
        <f t="shared" si="21"/>
        <v/>
      </c>
      <c r="Z31" s="2698" t="s">
        <v>1924</v>
      </c>
      <c r="AA31" s="2758" t="str">
        <f t="shared" si="22"/>
        <v/>
      </c>
      <c r="AB31" s="2683" t="str">
        <f t="shared" si="23"/>
        <v>G61</v>
      </c>
      <c r="AC31" s="2691" t="str">
        <f t="shared" si="24"/>
        <v>B</v>
      </c>
      <c r="AD31" s="2686">
        <f t="shared" ca="1" si="25"/>
        <v>7</v>
      </c>
      <c r="AE31" s="2690">
        <f t="shared" ca="1" si="26"/>
        <v>9</v>
      </c>
      <c r="AF31" s="2691">
        <f t="shared" ca="1" si="27"/>
        <v>5</v>
      </c>
      <c r="AG31" s="2686">
        <f t="shared" ca="1" si="28"/>
        <v>8</v>
      </c>
      <c r="AH31" s="2690">
        <f t="shared" ca="1" si="29"/>
        <v>0</v>
      </c>
      <c r="AI31" s="2686">
        <f t="shared" ca="1" si="30"/>
        <v>7</v>
      </c>
      <c r="AJ31" s="2690">
        <f t="shared" ca="1" si="31"/>
        <v>9</v>
      </c>
      <c r="AK31" s="2732" t="str">
        <f t="shared" si="32"/>
        <v/>
      </c>
      <c r="AL31" s="2733" t="str">
        <f t="shared" si="33"/>
        <v/>
      </c>
      <c r="AM31" s="2734">
        <f t="shared" si="32"/>
        <v>5</v>
      </c>
      <c r="AN31" s="2691">
        <f t="shared" si="32"/>
        <v>13</v>
      </c>
      <c r="AO31" s="2694">
        <f t="shared" si="32"/>
        <v>4</v>
      </c>
      <c r="AP31" s="2693">
        <f t="shared" si="34"/>
        <v>1.75</v>
      </c>
      <c r="AQ31" s="2736">
        <f t="shared" si="34"/>
        <v>1.75</v>
      </c>
      <c r="AR31" s="2689" t="str">
        <f t="shared" si="35"/>
        <v>P</v>
      </c>
      <c r="AS31" s="2690" t="str">
        <f t="shared" si="36"/>
        <v>#1</v>
      </c>
      <c r="AT31" s="2737">
        <f t="shared" si="37"/>
        <v>0.3</v>
      </c>
      <c r="AU31" s="2738" t="str">
        <f t="shared" si="38"/>
        <v/>
      </c>
      <c r="AV31" s="2695" t="str">
        <f t="shared" si="39"/>
        <v>P</v>
      </c>
      <c r="AW31" s="2690" t="str">
        <f t="shared" si="40"/>
        <v>#2</v>
      </c>
      <c r="AX31" s="2737">
        <f t="shared" si="41"/>
        <v>0.3</v>
      </c>
      <c r="AY31" s="2738" t="str">
        <f t="shared" si="42"/>
        <v/>
      </c>
      <c r="AZ31" s="2695">
        <f t="shared" si="43"/>
        <v>1</v>
      </c>
      <c r="BA31" s="2690">
        <f t="shared" si="44"/>
        <v>0</v>
      </c>
      <c r="BB31" s="2737" t="str">
        <f t="shared" si="45"/>
        <v/>
      </c>
      <c r="BC31" s="2738" t="str">
        <f t="shared" si="46"/>
        <v>B</v>
      </c>
      <c r="BD31" s="2695">
        <f t="shared" si="47"/>
        <v>55</v>
      </c>
      <c r="BE31" s="2690">
        <f t="shared" si="48"/>
        <v>0</v>
      </c>
      <c r="BF31" s="2737" t="str">
        <f t="shared" si="49"/>
        <v/>
      </c>
      <c r="BG31" s="2738" t="str">
        <f t="shared" si="50"/>
        <v>B</v>
      </c>
      <c r="BH31" s="1417"/>
      <c r="BJ31" s="995" t="str">
        <f t="shared" si="93"/>
        <v>G61</v>
      </c>
      <c r="BK31" s="993" t="b">
        <f t="shared" si="51"/>
        <v>0</v>
      </c>
      <c r="BL31" s="1784" t="b">
        <v>0</v>
      </c>
      <c r="BM31" s="989">
        <f t="shared" si="52"/>
        <v>60</v>
      </c>
      <c r="BN31" s="989" t="str">
        <f t="shared" si="53"/>
        <v>G</v>
      </c>
      <c r="BO31" s="989">
        <f t="shared" si="54"/>
        <v>7</v>
      </c>
      <c r="BP31" s="989" t="str">
        <f t="shared" si="55"/>
        <v>13/6</v>
      </c>
      <c r="BQ31" s="989">
        <f t="shared" si="56"/>
        <v>2.4</v>
      </c>
      <c r="BR31" s="989" t="b">
        <f t="shared" si="57"/>
        <v>1</v>
      </c>
      <c r="BS31" s="1303">
        <f t="shared" si="58"/>
        <v>8.75</v>
      </c>
      <c r="BT31" s="990" t="str">
        <f t="shared" si="59"/>
        <v>Yes</v>
      </c>
      <c r="BU31" s="1303">
        <f t="shared" si="60"/>
        <v>8.75</v>
      </c>
      <c r="BV31" s="990" t="str">
        <f t="shared" si="61"/>
        <v>Yes</v>
      </c>
      <c r="BW31" s="991">
        <f t="shared" ca="1" si="62"/>
        <v>26</v>
      </c>
      <c r="BX31" s="991" t="str">
        <f t="shared" ca="1" si="63"/>
        <v>G61</v>
      </c>
      <c r="BY31" s="991" t="b">
        <f t="shared" ca="1" si="64"/>
        <v>0</v>
      </c>
      <c r="BZ31" s="991" t="b">
        <f t="shared" si="86"/>
        <v>0</v>
      </c>
      <c r="CB31" s="672" t="s">
        <v>1457</v>
      </c>
      <c r="CC31" s="1685">
        <v>2</v>
      </c>
      <c r="CD31" s="699" t="s">
        <v>1743</v>
      </c>
      <c r="CE31" s="700">
        <v>56</v>
      </c>
      <c r="CF31" s="701">
        <v>0</v>
      </c>
      <c r="CG31" s="672">
        <v>7</v>
      </c>
      <c r="CH31" s="713"/>
      <c r="CI31" s="714"/>
      <c r="CJ31" s="713"/>
      <c r="CK31" s="714"/>
      <c r="CL31" s="715"/>
      <c r="CM31" s="743"/>
      <c r="CN31" s="738"/>
      <c r="CO31" s="1552"/>
      <c r="CP31" s="910"/>
      <c r="CQ31" s="672">
        <v>7</v>
      </c>
      <c r="CR31" s="713"/>
      <c r="CS31" s="714"/>
      <c r="CT31" s="713"/>
      <c r="CU31" s="714"/>
      <c r="CV31" s="715"/>
      <c r="CW31" s="743"/>
      <c r="CX31" s="738"/>
      <c r="CY31" s="1552"/>
      <c r="CZ31" s="910"/>
      <c r="DA31" s="717"/>
      <c r="DB31" s="702" t="s">
        <v>1742</v>
      </c>
      <c r="DC31" s="703"/>
      <c r="DD31" s="725"/>
      <c r="DE31" s="726">
        <v>11.125</v>
      </c>
      <c r="DF31" s="141"/>
      <c r="DG31" s="141"/>
      <c r="DH31" s="672" t="s">
        <v>1457</v>
      </c>
      <c r="DI31" s="673" t="s">
        <v>35</v>
      </c>
      <c r="DJ31" s="692">
        <v>8</v>
      </c>
      <c r="DK31" s="1332">
        <v>0</v>
      </c>
      <c r="DL31" s="674">
        <v>5</v>
      </c>
      <c r="DM31" s="693">
        <v>8</v>
      </c>
      <c r="DN31" s="1335">
        <v>0</v>
      </c>
      <c r="DO31" s="675"/>
      <c r="DP31" s="676"/>
      <c r="DQ31" s="1420">
        <v>5</v>
      </c>
      <c r="DR31" s="677">
        <v>13</v>
      </c>
      <c r="DS31" s="1420">
        <v>4</v>
      </c>
      <c r="DT31" s="1422">
        <v>2</v>
      </c>
      <c r="DU31" s="1423">
        <v>2</v>
      </c>
      <c r="DV31" s="2661" t="s">
        <v>1018</v>
      </c>
      <c r="DW31" s="2664" t="s">
        <v>1705</v>
      </c>
      <c r="DX31" s="2761">
        <v>0.3</v>
      </c>
      <c r="DY31" s="674"/>
      <c r="DZ31" s="2661" t="s">
        <v>1018</v>
      </c>
      <c r="EA31" s="2664" t="s">
        <v>1752</v>
      </c>
      <c r="EB31" s="2761">
        <v>0.3</v>
      </c>
      <c r="EC31" s="674"/>
      <c r="ED31" s="2661">
        <v>1</v>
      </c>
      <c r="EE31" s="2664">
        <v>0.25</v>
      </c>
      <c r="EF31" s="679"/>
      <c r="EG31" s="2665" t="s">
        <v>35</v>
      </c>
      <c r="EH31" s="2661">
        <v>55</v>
      </c>
      <c r="EI31" s="2664">
        <v>0.25</v>
      </c>
      <c r="EJ31" s="679"/>
      <c r="EK31" s="2762" t="s">
        <v>35</v>
      </c>
      <c r="EL31" s="241"/>
      <c r="EM31" s="1632" t="str">
        <f t="shared" si="65"/>
        <v>G61</v>
      </c>
      <c r="EN31" s="1429" t="str">
        <f t="shared" si="66"/>
        <v/>
      </c>
      <c r="EO31" s="1430" t="str">
        <f t="shared" si="67"/>
        <v/>
      </c>
      <c r="EP31" s="1431" t="str">
        <f t="shared" si="68"/>
        <v/>
      </c>
      <c r="EQ31" s="1435" t="str">
        <f t="shared" si="69"/>
        <v/>
      </c>
      <c r="ER31" s="1441" t="str">
        <f t="shared" si="70"/>
        <v/>
      </c>
      <c r="ES31" s="1442" t="str">
        <f t="shared" si="71"/>
        <v/>
      </c>
      <c r="ET31" s="1443" t="str">
        <f t="shared" si="72"/>
        <v/>
      </c>
      <c r="EU31" s="1444" t="str">
        <f t="shared" si="87"/>
        <v/>
      </c>
      <c r="EX31" s="503" t="str">
        <f t="shared" ca="1" si="88"/>
        <v>G61B</v>
      </c>
      <c r="EY31" s="940" t="b">
        <f t="shared" ca="1" si="73"/>
        <v>1</v>
      </c>
      <c r="EZ31" s="940">
        <f t="shared" ca="1" si="89"/>
        <v>5</v>
      </c>
      <c r="FA31" s="958" t="b">
        <f t="shared" ca="1" si="94"/>
        <v>1</v>
      </c>
      <c r="FB31" s="134">
        <f t="shared" ca="1" si="90"/>
        <v>666</v>
      </c>
      <c r="FC31" s="134">
        <f t="shared" ca="1" si="74"/>
        <v>93</v>
      </c>
      <c r="FD31" s="134">
        <f t="shared" ca="1" si="75"/>
        <v>480</v>
      </c>
      <c r="FE31" s="134">
        <f t="shared" ca="1" si="76"/>
        <v>93</v>
      </c>
      <c r="FF31" s="134">
        <f t="shared" ca="1" si="91"/>
        <v>666</v>
      </c>
      <c r="FN31" s="754" t="b">
        <v>0</v>
      </c>
      <c r="FO31" s="755" t="b">
        <f t="shared" si="77"/>
        <v>1</v>
      </c>
      <c r="FP31" s="755" t="b">
        <v>0</v>
      </c>
      <c r="FQ31" s="755" t="b">
        <f t="shared" si="92"/>
        <v>1</v>
      </c>
      <c r="FW31" s="2"/>
      <c r="FX31" s="2"/>
      <c r="FZ31" s="2"/>
      <c r="GA31" s="581">
        <f t="shared" si="78"/>
        <v>56</v>
      </c>
      <c r="GB31" s="623">
        <f t="shared" si="79"/>
        <v>0</v>
      </c>
      <c r="GC31" s="625">
        <f t="shared" si="80"/>
        <v>-0.25</v>
      </c>
      <c r="GD31" s="626">
        <f t="shared" si="81"/>
        <v>-0.25</v>
      </c>
      <c r="GE31" s="624">
        <f t="shared" si="82"/>
        <v>0</v>
      </c>
      <c r="GF31" s="582" t="str">
        <f t="shared" si="83"/>
        <v>G61</v>
      </c>
      <c r="GG31" s="692">
        <v>0</v>
      </c>
      <c r="GH31" s="1136">
        <v>0</v>
      </c>
      <c r="GI31" s="692"/>
      <c r="GJ31" s="1136"/>
      <c r="GK31" s="1641">
        <f t="shared" si="84"/>
        <v>671.5</v>
      </c>
      <c r="GL31" s="1641">
        <f t="shared" si="85"/>
        <v>671.5</v>
      </c>
      <c r="GM31" s="1642">
        <f>IF(ABS(GK31-GL31)&gt;='Job Info.'!$L$22,ABS(GK31-GL31),0)</f>
        <v>0</v>
      </c>
      <c r="GZ31" s="130"/>
      <c r="HA31" s="1242" t="s">
        <v>1457</v>
      </c>
      <c r="HB31" s="1243">
        <v>2</v>
      </c>
      <c r="HC31" s="1243" t="s">
        <v>1743</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1742</v>
      </c>
      <c r="IB31" s="1247"/>
      <c r="IC31" s="1247"/>
      <c r="ID31" s="1262">
        <v>11.125</v>
      </c>
      <c r="IE31" s="1242" t="s">
        <v>1457</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5"/>
        <v>1</v>
      </c>
    </row>
    <row r="32" spans="1:272" ht="12.6" customHeight="1" x14ac:dyDescent="0.25">
      <c r="A32" s="2683" t="str">
        <f t="shared" si="0"/>
        <v>G62</v>
      </c>
      <c r="B32" s="2684">
        <f t="shared" si="0"/>
        <v>7</v>
      </c>
      <c r="C32" s="2685" t="s">
        <v>1743</v>
      </c>
      <c r="D32" s="2686">
        <f t="shared" si="1"/>
        <v>55</v>
      </c>
      <c r="E32" s="2687">
        <f t="shared" si="2"/>
        <v>11.5</v>
      </c>
      <c r="F32" s="2688">
        <f t="shared" si="3"/>
        <v>11.125</v>
      </c>
      <c r="G32" s="2689">
        <f t="shared" si="4"/>
        <v>0</v>
      </c>
      <c r="H32" s="2690">
        <f t="shared" si="5"/>
        <v>2.75</v>
      </c>
      <c r="I32" s="2691" t="str">
        <f t="shared" si="6"/>
        <v>R</v>
      </c>
      <c r="J32" s="2686">
        <f t="shared" si="7"/>
        <v>0</v>
      </c>
      <c r="K32" s="2690">
        <f t="shared" si="8"/>
        <v>2.75</v>
      </c>
      <c r="L32" s="2692" t="str">
        <f t="shared" si="9"/>
        <v>R</v>
      </c>
      <c r="M32" s="2693">
        <f t="shared" si="10"/>
        <v>7.5</v>
      </c>
      <c r="N32" s="2694">
        <f t="shared" si="10"/>
        <v>7.5</v>
      </c>
      <c r="O32" s="2689">
        <f t="shared" si="11"/>
        <v>0</v>
      </c>
      <c r="P32" s="2690">
        <f t="shared" si="12"/>
        <v>7.75</v>
      </c>
      <c r="Q32" s="2686">
        <f t="shared" si="13"/>
        <v>0</v>
      </c>
      <c r="R32" s="2687">
        <f t="shared" si="14"/>
        <v>7.75</v>
      </c>
      <c r="S32" s="2695">
        <f t="shared" si="15"/>
        <v>0</v>
      </c>
      <c r="T32" s="2690">
        <f t="shared" si="16"/>
        <v>7.25</v>
      </c>
      <c r="U32" s="2686">
        <f t="shared" si="17"/>
        <v>0</v>
      </c>
      <c r="V32" s="2690">
        <f t="shared" si="18"/>
        <v>7.25</v>
      </c>
      <c r="W32" s="2694">
        <f t="shared" si="19"/>
        <v>5</v>
      </c>
      <c r="X32" s="2696" t="str">
        <f t="shared" si="20"/>
        <v/>
      </c>
      <c r="Y32" s="2697" t="str">
        <f t="shared" si="21"/>
        <v/>
      </c>
      <c r="Z32" s="2698" t="s">
        <v>1925</v>
      </c>
      <c r="AA32" s="2758" t="str">
        <f t="shared" si="22"/>
        <v/>
      </c>
      <c r="AB32" s="2683" t="str">
        <f t="shared" si="23"/>
        <v>G62</v>
      </c>
      <c r="AC32" s="2691" t="str">
        <f t="shared" si="24"/>
        <v>B</v>
      </c>
      <c r="AD32" s="2686">
        <f t="shared" ca="1" si="25"/>
        <v>7</v>
      </c>
      <c r="AE32" s="2690">
        <f t="shared" ca="1" si="26"/>
        <v>9</v>
      </c>
      <c r="AF32" s="2691">
        <f t="shared" ca="1" si="27"/>
        <v>5</v>
      </c>
      <c r="AG32" s="2686">
        <f t="shared" ca="1" si="28"/>
        <v>8</v>
      </c>
      <c r="AH32" s="2690">
        <f t="shared" ca="1" si="29"/>
        <v>0</v>
      </c>
      <c r="AI32" s="2686">
        <f t="shared" ca="1" si="30"/>
        <v>7</v>
      </c>
      <c r="AJ32" s="2690">
        <f t="shared" ca="1" si="31"/>
        <v>9</v>
      </c>
      <c r="AK32" s="2732" t="str">
        <f t="shared" si="32"/>
        <v/>
      </c>
      <c r="AL32" s="2733" t="str">
        <f t="shared" si="33"/>
        <v/>
      </c>
      <c r="AM32" s="2734">
        <f t="shared" si="32"/>
        <v>5</v>
      </c>
      <c r="AN32" s="2691">
        <f t="shared" si="32"/>
        <v>13</v>
      </c>
      <c r="AO32" s="2694">
        <f t="shared" si="32"/>
        <v>4</v>
      </c>
      <c r="AP32" s="2693">
        <f t="shared" si="34"/>
        <v>1.75</v>
      </c>
      <c r="AQ32" s="2736">
        <f t="shared" si="34"/>
        <v>1.75</v>
      </c>
      <c r="AR32" s="2689">
        <f t="shared" si="35"/>
        <v>1</v>
      </c>
      <c r="AS32" s="2690">
        <f t="shared" si="36"/>
        <v>0</v>
      </c>
      <c r="AT32" s="2737" t="str">
        <f t="shared" si="37"/>
        <v/>
      </c>
      <c r="AU32" s="2738" t="str">
        <f t="shared" si="38"/>
        <v>B</v>
      </c>
      <c r="AV32" s="2695">
        <f t="shared" si="39"/>
        <v>55</v>
      </c>
      <c r="AW32" s="2690">
        <f t="shared" si="40"/>
        <v>0</v>
      </c>
      <c r="AX32" s="2737" t="str">
        <f t="shared" si="41"/>
        <v/>
      </c>
      <c r="AY32" s="2738" t="str">
        <f t="shared" si="42"/>
        <v>B</v>
      </c>
      <c r="AZ32" s="2695" t="str">
        <f t="shared" si="43"/>
        <v/>
      </c>
      <c r="BA32" s="2690" t="str">
        <f t="shared" si="44"/>
        <v/>
      </c>
      <c r="BB32" s="2737" t="str">
        <f t="shared" si="45"/>
        <v/>
      </c>
      <c r="BC32" s="2738" t="str">
        <f t="shared" si="46"/>
        <v/>
      </c>
      <c r="BD32" s="2695" t="str">
        <f t="shared" si="47"/>
        <v/>
      </c>
      <c r="BE32" s="2690" t="str">
        <f t="shared" si="48"/>
        <v/>
      </c>
      <c r="BF32" s="2737" t="str">
        <f t="shared" si="49"/>
        <v/>
      </c>
      <c r="BG32" s="2738" t="str">
        <f t="shared" si="50"/>
        <v/>
      </c>
      <c r="BH32" s="1417"/>
      <c r="BJ32" s="995" t="str">
        <f t="shared" si="93"/>
        <v>G62</v>
      </c>
      <c r="BK32" s="993" t="b">
        <f t="shared" si="51"/>
        <v>0</v>
      </c>
      <c r="BL32" s="1784" t="b">
        <v>0</v>
      </c>
      <c r="BM32" s="989">
        <f t="shared" si="52"/>
        <v>60</v>
      </c>
      <c r="BN32" s="989" t="str">
        <f t="shared" si="53"/>
        <v>G</v>
      </c>
      <c r="BO32" s="989">
        <f t="shared" si="54"/>
        <v>7</v>
      </c>
      <c r="BP32" s="989" t="str">
        <f t="shared" si="55"/>
        <v>13/6</v>
      </c>
      <c r="BQ32" s="989">
        <f t="shared" si="56"/>
        <v>2.4</v>
      </c>
      <c r="BR32" s="989" t="b">
        <f t="shared" si="57"/>
        <v>1</v>
      </c>
      <c r="BS32" s="1303">
        <f t="shared" si="58"/>
        <v>8.75</v>
      </c>
      <c r="BT32" s="990" t="str">
        <f t="shared" si="59"/>
        <v>Yes</v>
      </c>
      <c r="BU32" s="1303">
        <f t="shared" si="60"/>
        <v>8.75</v>
      </c>
      <c r="BV32" s="990" t="str">
        <f t="shared" si="61"/>
        <v>Yes</v>
      </c>
      <c r="BW32" s="991">
        <f t="shared" ca="1" si="62"/>
        <v>20</v>
      </c>
      <c r="BX32" s="991" t="str">
        <f t="shared" ca="1" si="63"/>
        <v>G62</v>
      </c>
      <c r="BY32" s="991" t="b">
        <f t="shared" ca="1" si="64"/>
        <v>0</v>
      </c>
      <c r="BZ32" s="991" t="b">
        <f t="shared" si="86"/>
        <v>0</v>
      </c>
      <c r="CB32" s="672" t="s">
        <v>1458</v>
      </c>
      <c r="CC32" s="1685">
        <v>7</v>
      </c>
      <c r="CD32" s="699" t="s">
        <v>1743</v>
      </c>
      <c r="CE32" s="700">
        <v>56</v>
      </c>
      <c r="CF32" s="701">
        <v>0</v>
      </c>
      <c r="CG32" s="672">
        <v>7</v>
      </c>
      <c r="CH32" s="713"/>
      <c r="CI32" s="714"/>
      <c r="CJ32" s="713"/>
      <c r="CK32" s="714"/>
      <c r="CL32" s="715"/>
      <c r="CM32" s="743"/>
      <c r="CN32" s="738"/>
      <c r="CO32" s="1552"/>
      <c r="CP32" s="910"/>
      <c r="CQ32" s="672">
        <v>7</v>
      </c>
      <c r="CR32" s="713"/>
      <c r="CS32" s="714"/>
      <c r="CT32" s="713"/>
      <c r="CU32" s="714"/>
      <c r="CV32" s="715"/>
      <c r="CW32" s="743"/>
      <c r="CX32" s="738"/>
      <c r="CY32" s="1552"/>
      <c r="CZ32" s="910"/>
      <c r="DA32" s="717"/>
      <c r="DB32" s="702">
        <v>11</v>
      </c>
      <c r="DC32" s="703"/>
      <c r="DD32" s="725"/>
      <c r="DE32" s="726">
        <v>11.125</v>
      </c>
      <c r="DF32" s="141"/>
      <c r="DG32" s="141"/>
      <c r="DH32" s="672" t="s">
        <v>1458</v>
      </c>
      <c r="DI32" s="673" t="s">
        <v>35</v>
      </c>
      <c r="DJ32" s="692">
        <v>8</v>
      </c>
      <c r="DK32" s="1332">
        <v>0</v>
      </c>
      <c r="DL32" s="674">
        <v>5</v>
      </c>
      <c r="DM32" s="693">
        <v>8</v>
      </c>
      <c r="DN32" s="1335">
        <v>0</v>
      </c>
      <c r="DO32" s="675"/>
      <c r="DP32" s="676"/>
      <c r="DQ32" s="1420">
        <v>5</v>
      </c>
      <c r="DR32" s="677">
        <v>13</v>
      </c>
      <c r="DS32" s="1420">
        <v>4</v>
      </c>
      <c r="DT32" s="1422">
        <v>2</v>
      </c>
      <c r="DU32" s="1423">
        <v>2</v>
      </c>
      <c r="DV32" s="2661">
        <v>1</v>
      </c>
      <c r="DW32" s="2664">
        <v>0.25</v>
      </c>
      <c r="DX32" s="679"/>
      <c r="DY32" s="2665" t="s">
        <v>35</v>
      </c>
      <c r="DZ32" s="2661">
        <v>55</v>
      </c>
      <c r="EA32" s="2664">
        <v>0.25</v>
      </c>
      <c r="EB32" s="679"/>
      <c r="EC32" s="2665" t="s">
        <v>35</v>
      </c>
      <c r="ED32" s="678"/>
      <c r="EE32" s="1337"/>
      <c r="EF32" s="679"/>
      <c r="EG32" s="674"/>
      <c r="EH32" s="678"/>
      <c r="EI32" s="1337"/>
      <c r="EJ32" s="679"/>
      <c r="EK32" s="680"/>
      <c r="EL32" s="241"/>
      <c r="EM32" s="1632" t="str">
        <f t="shared" si="65"/>
        <v>G62</v>
      </c>
      <c r="EN32" s="1429" t="str">
        <f t="shared" si="66"/>
        <v/>
      </c>
      <c r="EO32" s="1430" t="str">
        <f t="shared" si="67"/>
        <v/>
      </c>
      <c r="EP32" s="1431" t="str">
        <f t="shared" si="68"/>
        <v/>
      </c>
      <c r="EQ32" s="1435" t="str">
        <f t="shared" si="69"/>
        <v/>
      </c>
      <c r="ER32" s="1441" t="str">
        <f t="shared" si="70"/>
        <v/>
      </c>
      <c r="ES32" s="1442" t="str">
        <f t="shared" si="71"/>
        <v/>
      </c>
      <c r="ET32" s="1443" t="str">
        <f t="shared" si="72"/>
        <v/>
      </c>
      <c r="EU32" s="1444" t="str">
        <f t="shared" si="87"/>
        <v/>
      </c>
      <c r="EX32" s="503" t="str">
        <f t="shared" ca="1" si="88"/>
        <v>G62B</v>
      </c>
      <c r="EY32" s="940" t="b">
        <f t="shared" ca="1" si="73"/>
        <v>1</v>
      </c>
      <c r="EZ32" s="940">
        <f t="shared" ca="1" si="89"/>
        <v>5</v>
      </c>
      <c r="FA32" s="958" t="b">
        <f t="shared" ca="1" si="94"/>
        <v>1</v>
      </c>
      <c r="FB32" s="134">
        <f t="shared" ca="1" si="90"/>
        <v>666</v>
      </c>
      <c r="FC32" s="134">
        <f t="shared" ca="1" si="74"/>
        <v>93</v>
      </c>
      <c r="FD32" s="134">
        <f t="shared" ca="1" si="75"/>
        <v>480</v>
      </c>
      <c r="FE32" s="134">
        <f t="shared" ca="1" si="76"/>
        <v>93</v>
      </c>
      <c r="FF32" s="134">
        <f t="shared" ca="1" si="91"/>
        <v>666</v>
      </c>
      <c r="FN32" s="754" t="b">
        <v>0</v>
      </c>
      <c r="FO32" s="754" t="b">
        <f t="shared" si="77"/>
        <v>1</v>
      </c>
      <c r="FP32" s="754" t="b">
        <v>0</v>
      </c>
      <c r="FQ32" s="754" t="b">
        <f t="shared" si="92"/>
        <v>1</v>
      </c>
      <c r="FW32" s="2"/>
      <c r="FX32" s="2"/>
      <c r="FZ32" s="2"/>
      <c r="GA32" s="581">
        <f t="shared" si="78"/>
        <v>56</v>
      </c>
      <c r="GB32" s="623">
        <f t="shared" si="79"/>
        <v>0</v>
      </c>
      <c r="GC32" s="625">
        <f t="shared" si="80"/>
        <v>-0.25</v>
      </c>
      <c r="GD32" s="626">
        <f t="shared" si="81"/>
        <v>-0.25</v>
      </c>
      <c r="GE32" s="624">
        <f t="shared" si="82"/>
        <v>0</v>
      </c>
      <c r="GF32" s="582" t="str">
        <f t="shared" si="83"/>
        <v>G62</v>
      </c>
      <c r="GG32" s="692">
        <v>0</v>
      </c>
      <c r="GH32" s="1136">
        <v>0</v>
      </c>
      <c r="GI32" s="692"/>
      <c r="GJ32" s="1136"/>
      <c r="GK32" s="1641">
        <f t="shared" si="84"/>
        <v>671.5</v>
      </c>
      <c r="GL32" s="1641">
        <f t="shared" si="85"/>
        <v>671.5</v>
      </c>
      <c r="GM32" s="1642">
        <f>IF(ABS(GK32-GL32)&gt;='Job Info.'!$L$22,ABS(GK32-GL32),0)</f>
        <v>0</v>
      </c>
      <c r="HA32" s="1242" t="s">
        <v>1458</v>
      </c>
      <c r="HB32" s="1243">
        <v>7</v>
      </c>
      <c r="HC32" s="1243" t="s">
        <v>1743</v>
      </c>
      <c r="HD32" s="1244">
        <v>56</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11</v>
      </c>
      <c r="IB32" s="1247"/>
      <c r="IC32" s="1247"/>
      <c r="ID32" s="1262">
        <v>11.125</v>
      </c>
      <c r="IE32" s="1242" t="s">
        <v>1458</v>
      </c>
      <c r="IF32" s="1243" t="s">
        <v>35</v>
      </c>
      <c r="IG32" s="1244">
        <v>8</v>
      </c>
      <c r="IH32" s="1245">
        <v>0</v>
      </c>
      <c r="II32" s="1243">
        <v>5</v>
      </c>
      <c r="IJ32" s="1244">
        <v>8</v>
      </c>
      <c r="IK32" s="1245">
        <v>0</v>
      </c>
      <c r="IL32" s="1243"/>
      <c r="IM32" s="1243"/>
      <c r="IN32" s="1243">
        <v>5</v>
      </c>
      <c r="IO32" s="1243">
        <v>13</v>
      </c>
      <c r="IP32" s="1243">
        <v>4</v>
      </c>
      <c r="IQ32" s="1243">
        <v>2</v>
      </c>
      <c r="IR32" s="1243">
        <v>2</v>
      </c>
      <c r="IS32" s="1244"/>
      <c r="IT32" s="1245"/>
      <c r="IU32" s="1243"/>
      <c r="IV32" s="1243"/>
      <c r="IW32" s="1244"/>
      <c r="IX32" s="1245"/>
      <c r="IY32" s="1243"/>
      <c r="IZ32" s="1243"/>
      <c r="JA32" s="1244"/>
      <c r="JB32" s="1245"/>
      <c r="JC32" s="1243"/>
      <c r="JD32" s="1243"/>
      <c r="JE32" s="1244"/>
      <c r="JF32" s="1245"/>
      <c r="JG32" s="1243"/>
      <c r="JH32" s="1243"/>
      <c r="JI32" s="1243"/>
      <c r="JJ32" s="1246"/>
      <c r="JK32" s="1243">
        <v>1</v>
      </c>
      <c r="JL32" s="1172">
        <f t="shared" ca="1" si="95"/>
        <v>1</v>
      </c>
    </row>
    <row r="33" spans="1:272" ht="12.6" customHeight="1" x14ac:dyDescent="0.25">
      <c r="A33" s="2683" t="str">
        <f t="shared" si="0"/>
        <v>G63</v>
      </c>
      <c r="B33" s="2684">
        <f t="shared" si="0"/>
        <v>1</v>
      </c>
      <c r="C33" s="2685" t="s">
        <v>1743</v>
      </c>
      <c r="D33" s="2686">
        <f t="shared" si="1"/>
        <v>55</v>
      </c>
      <c r="E33" s="2687">
        <f t="shared" si="2"/>
        <v>3.375</v>
      </c>
      <c r="F33" s="2688">
        <f t="shared" si="3"/>
        <v>11.125</v>
      </c>
      <c r="G33" s="2689">
        <f t="shared" si="4"/>
        <v>0</v>
      </c>
      <c r="H33" s="2690">
        <f t="shared" si="5"/>
        <v>2.75</v>
      </c>
      <c r="I33" s="2691" t="str">
        <f t="shared" si="6"/>
        <v>R</v>
      </c>
      <c r="J33" s="2686" t="str">
        <f t="shared" si="7"/>
        <v/>
      </c>
      <c r="K33" s="2690" t="str">
        <f t="shared" si="8"/>
        <v/>
      </c>
      <c r="L33" s="2692" t="str">
        <f t="shared" si="9"/>
        <v/>
      </c>
      <c r="M33" s="2693">
        <f t="shared" si="10"/>
        <v>7.5</v>
      </c>
      <c r="N33" s="2694">
        <f t="shared" si="10"/>
        <v>7.5</v>
      </c>
      <c r="O33" s="2689">
        <f t="shared" si="11"/>
        <v>0</v>
      </c>
      <c r="P33" s="2690">
        <f t="shared" si="12"/>
        <v>7.75</v>
      </c>
      <c r="Q33" s="2686">
        <f t="shared" si="13"/>
        <v>0</v>
      </c>
      <c r="R33" s="2687">
        <f t="shared" si="14"/>
        <v>1</v>
      </c>
      <c r="S33" s="2695">
        <f t="shared" si="15"/>
        <v>0</v>
      </c>
      <c r="T33" s="2690">
        <f t="shared" si="16"/>
        <v>7.25</v>
      </c>
      <c r="U33" s="2686">
        <f t="shared" si="17"/>
        <v>0</v>
      </c>
      <c r="V33" s="2690">
        <f t="shared" si="18"/>
        <v>1.5</v>
      </c>
      <c r="W33" s="2694">
        <f t="shared" si="19"/>
        <v>5</v>
      </c>
      <c r="X33" s="2696" t="str">
        <f t="shared" si="20"/>
        <v/>
      </c>
      <c r="Y33" s="2697" t="str">
        <f t="shared" si="21"/>
        <v/>
      </c>
      <c r="Z33" s="2698" t="s">
        <v>1926</v>
      </c>
      <c r="AA33" s="2758" t="str">
        <f t="shared" si="22"/>
        <v/>
      </c>
      <c r="AB33" s="2683" t="str">
        <f t="shared" si="23"/>
        <v>G63</v>
      </c>
      <c r="AC33" s="2691" t="str">
        <f t="shared" si="24"/>
        <v>B</v>
      </c>
      <c r="AD33" s="2686">
        <f t="shared" ca="1" si="25"/>
        <v>7</v>
      </c>
      <c r="AE33" s="2690">
        <f t="shared" ca="1" si="26"/>
        <v>9</v>
      </c>
      <c r="AF33" s="2691">
        <f t="shared" ca="1" si="27"/>
        <v>5</v>
      </c>
      <c r="AG33" s="2686">
        <f t="shared" ca="1" si="28"/>
        <v>8</v>
      </c>
      <c r="AH33" s="2690">
        <f t="shared" ca="1" si="29"/>
        <v>0</v>
      </c>
      <c r="AI33" s="2686">
        <f t="shared" ca="1" si="30"/>
        <v>7</v>
      </c>
      <c r="AJ33" s="2690">
        <f t="shared" ca="1" si="31"/>
        <v>3.625</v>
      </c>
      <c r="AK33" s="2732" t="str">
        <f t="shared" si="32"/>
        <v/>
      </c>
      <c r="AL33" s="2733" t="str">
        <f t="shared" si="33"/>
        <v/>
      </c>
      <c r="AM33" s="2734">
        <f t="shared" si="32"/>
        <v>5</v>
      </c>
      <c r="AN33" s="2691">
        <f t="shared" si="32"/>
        <v>13</v>
      </c>
      <c r="AO33" s="2694">
        <f t="shared" si="32"/>
        <v>4</v>
      </c>
      <c r="AP33" s="2693">
        <f t="shared" si="34"/>
        <v>1.75</v>
      </c>
      <c r="AQ33" s="2736" t="str">
        <f t="shared" si="34"/>
        <v/>
      </c>
      <c r="AR33" s="2689">
        <f t="shared" si="35"/>
        <v>1</v>
      </c>
      <c r="AS33" s="2690">
        <f t="shared" si="36"/>
        <v>0</v>
      </c>
      <c r="AT33" s="2737" t="str">
        <f t="shared" si="37"/>
        <v/>
      </c>
      <c r="AU33" s="2738" t="str">
        <f t="shared" si="38"/>
        <v>B</v>
      </c>
      <c r="AV33" s="2695" t="str">
        <f t="shared" si="39"/>
        <v/>
      </c>
      <c r="AW33" s="2690" t="str">
        <f t="shared" si="40"/>
        <v/>
      </c>
      <c r="AX33" s="2737" t="str">
        <f t="shared" si="41"/>
        <v/>
      </c>
      <c r="AY33" s="2738" t="str">
        <f t="shared" si="42"/>
        <v/>
      </c>
      <c r="AZ33" s="2695" t="str">
        <f t="shared" si="43"/>
        <v/>
      </c>
      <c r="BA33" s="2690" t="str">
        <f t="shared" si="44"/>
        <v/>
      </c>
      <c r="BB33" s="2737" t="str">
        <f t="shared" si="45"/>
        <v/>
      </c>
      <c r="BC33" s="2738" t="str">
        <f t="shared" si="46"/>
        <v/>
      </c>
      <c r="BD33" s="2695" t="str">
        <f t="shared" si="47"/>
        <v/>
      </c>
      <c r="BE33" s="2690" t="str">
        <f t="shared" si="48"/>
        <v/>
      </c>
      <c r="BF33" s="2737" t="str">
        <f t="shared" si="49"/>
        <v/>
      </c>
      <c r="BG33" s="2738" t="str">
        <f t="shared" si="50"/>
        <v/>
      </c>
      <c r="BH33" s="1417"/>
      <c r="BJ33" s="995" t="str">
        <f t="shared" si="93"/>
        <v>G63</v>
      </c>
      <c r="BK33" s="993" t="b">
        <f t="shared" si="51"/>
        <v>0</v>
      </c>
      <c r="BL33" s="1784" t="b">
        <v>0</v>
      </c>
      <c r="BM33" s="989">
        <f t="shared" si="52"/>
        <v>60</v>
      </c>
      <c r="BN33" s="989" t="str">
        <f t="shared" si="53"/>
        <v>G</v>
      </c>
      <c r="BO33" s="989">
        <f t="shared" si="54"/>
        <v>7</v>
      </c>
      <c r="BP33" s="989" t="str">
        <f t="shared" si="55"/>
        <v>13/6</v>
      </c>
      <c r="BQ33" s="989">
        <f t="shared" si="56"/>
        <v>2.4</v>
      </c>
      <c r="BR33" s="989" t="b">
        <f t="shared" si="57"/>
        <v>1</v>
      </c>
      <c r="BS33" s="1303">
        <f t="shared" si="58"/>
        <v>8.75</v>
      </c>
      <c r="BT33" s="990" t="str">
        <f t="shared" si="59"/>
        <v>Yes</v>
      </c>
      <c r="BU33" s="1303">
        <f t="shared" si="60"/>
        <v>6</v>
      </c>
      <c r="BV33" s="990" t="str">
        <f t="shared" si="61"/>
        <v>Yes</v>
      </c>
      <c r="BW33" s="991">
        <f t="shared" ca="1" si="62"/>
        <v>16</v>
      </c>
      <c r="BX33" s="991" t="str">
        <f t="shared" ca="1" si="63"/>
        <v>G63</v>
      </c>
      <c r="BY33" s="991" t="b">
        <f t="shared" ca="1" si="64"/>
        <v>0</v>
      </c>
      <c r="BZ33" s="991" t="b">
        <f t="shared" si="86"/>
        <v>0</v>
      </c>
      <c r="CB33" s="672" t="s">
        <v>1459</v>
      </c>
      <c r="CC33" s="1685">
        <v>1</v>
      </c>
      <c r="CD33" s="699" t="s">
        <v>1743</v>
      </c>
      <c r="CE33" s="700">
        <v>56</v>
      </c>
      <c r="CF33" s="701">
        <v>0</v>
      </c>
      <c r="CG33" s="672">
        <v>7</v>
      </c>
      <c r="CH33" s="713"/>
      <c r="CI33" s="714"/>
      <c r="CJ33" s="713"/>
      <c r="CK33" s="714"/>
      <c r="CL33" s="715"/>
      <c r="CM33" s="743"/>
      <c r="CN33" s="738"/>
      <c r="CO33" s="1552"/>
      <c r="CP33" s="910"/>
      <c r="CQ33" s="672">
        <v>11</v>
      </c>
      <c r="CR33" s="713"/>
      <c r="CS33" s="714"/>
      <c r="CT33" s="713"/>
      <c r="CU33" s="714"/>
      <c r="CV33" s="715"/>
      <c r="CW33" s="743"/>
      <c r="CX33" s="738"/>
      <c r="CY33" s="1552"/>
      <c r="CZ33" s="910"/>
      <c r="DA33" s="717"/>
      <c r="DB33" s="702">
        <v>11</v>
      </c>
      <c r="DC33" s="703"/>
      <c r="DD33" s="725"/>
      <c r="DE33" s="726">
        <v>11.125</v>
      </c>
      <c r="DF33" s="141"/>
      <c r="DG33" s="141"/>
      <c r="DH33" s="672" t="s">
        <v>1459</v>
      </c>
      <c r="DI33" s="673" t="s">
        <v>35</v>
      </c>
      <c r="DJ33" s="692">
        <v>8</v>
      </c>
      <c r="DK33" s="1332">
        <v>0</v>
      </c>
      <c r="DL33" s="674">
        <v>5</v>
      </c>
      <c r="DM33" s="693">
        <v>8</v>
      </c>
      <c r="DN33" s="1335">
        <v>0</v>
      </c>
      <c r="DO33" s="675"/>
      <c r="DP33" s="676"/>
      <c r="DQ33" s="1420">
        <v>5</v>
      </c>
      <c r="DR33" s="677">
        <v>13</v>
      </c>
      <c r="DS33" s="1420">
        <v>4</v>
      </c>
      <c r="DT33" s="1422">
        <v>2</v>
      </c>
      <c r="DU33" s="1423"/>
      <c r="DV33" s="2661">
        <v>1</v>
      </c>
      <c r="DW33" s="2664">
        <v>0.25</v>
      </c>
      <c r="DX33" s="679"/>
      <c r="DY33" s="2665" t="s">
        <v>35</v>
      </c>
      <c r="DZ33" s="678"/>
      <c r="EA33" s="1337"/>
      <c r="EB33" s="679"/>
      <c r="EC33" s="674"/>
      <c r="ED33" s="678"/>
      <c r="EE33" s="1337"/>
      <c r="EF33" s="679"/>
      <c r="EG33" s="674"/>
      <c r="EH33" s="678"/>
      <c r="EI33" s="1337"/>
      <c r="EJ33" s="679"/>
      <c r="EK33" s="680"/>
      <c r="EL33" s="241"/>
      <c r="EM33" s="1632" t="str">
        <f t="shared" si="65"/>
        <v>G63</v>
      </c>
      <c r="EN33" s="1429" t="str">
        <f t="shared" si="66"/>
        <v/>
      </c>
      <c r="EO33" s="1430" t="str">
        <f t="shared" si="67"/>
        <v/>
      </c>
      <c r="EP33" s="1431" t="str">
        <f t="shared" si="68"/>
        <v/>
      </c>
      <c r="EQ33" s="1435" t="str">
        <f t="shared" si="69"/>
        <v/>
      </c>
      <c r="ER33" s="1441" t="str">
        <f t="shared" si="70"/>
        <v/>
      </c>
      <c r="ES33" s="1442" t="str">
        <f t="shared" si="71"/>
        <v/>
      </c>
      <c r="ET33" s="1443" t="str">
        <f t="shared" si="72"/>
        <v/>
      </c>
      <c r="EU33" s="1444" t="str">
        <f t="shared" si="87"/>
        <v/>
      </c>
      <c r="EX33" s="503" t="str">
        <f t="shared" ca="1" si="88"/>
        <v>G63B</v>
      </c>
      <c r="EY33" s="940" t="b">
        <f t="shared" ca="1" si="73"/>
        <v>1</v>
      </c>
      <c r="EZ33" s="940">
        <f t="shared" ca="1" si="89"/>
        <v>5</v>
      </c>
      <c r="FA33" s="958" t="b">
        <f t="shared" ca="1" si="94"/>
        <v>1</v>
      </c>
      <c r="FB33" s="134">
        <f t="shared" ca="1" si="90"/>
        <v>660.625</v>
      </c>
      <c r="FC33" s="134">
        <f t="shared" ca="1" si="74"/>
        <v>93</v>
      </c>
      <c r="FD33" s="134">
        <f t="shared" ca="1" si="75"/>
        <v>480</v>
      </c>
      <c r="FE33" s="134">
        <f t="shared" ca="1" si="76"/>
        <v>87.625</v>
      </c>
      <c r="FF33" s="134">
        <f t="shared" ca="1" si="91"/>
        <v>660.625</v>
      </c>
      <c r="FN33" s="754" t="b">
        <v>0</v>
      </c>
      <c r="FO33" s="754" t="b">
        <f t="shared" si="77"/>
        <v>1</v>
      </c>
      <c r="FP33" s="754" t="b">
        <v>0</v>
      </c>
      <c r="FQ33" s="754" t="b">
        <f t="shared" si="92"/>
        <v>1</v>
      </c>
      <c r="FW33" s="2"/>
      <c r="FX33" s="2"/>
      <c r="FZ33" s="2"/>
      <c r="GA33" s="581">
        <f t="shared" si="78"/>
        <v>56</v>
      </c>
      <c r="GB33" s="623">
        <f t="shared" si="79"/>
        <v>0</v>
      </c>
      <c r="GC33" s="625">
        <f t="shared" si="80"/>
        <v>-0.25</v>
      </c>
      <c r="GD33" s="626">
        <f t="shared" si="81"/>
        <v>-8.375</v>
      </c>
      <c r="GE33" s="624">
        <f t="shared" si="82"/>
        <v>0</v>
      </c>
      <c r="GF33" s="582" t="str">
        <f t="shared" si="83"/>
        <v>G63</v>
      </c>
      <c r="GG33" s="692">
        <v>0</v>
      </c>
      <c r="GH33" s="1136">
        <v>0</v>
      </c>
      <c r="GI33" s="692"/>
      <c r="GJ33" s="1136"/>
      <c r="GK33" s="1641">
        <f t="shared" si="84"/>
        <v>663.375</v>
      </c>
      <c r="GL33" s="1641">
        <f t="shared" si="85"/>
        <v>663.375</v>
      </c>
      <c r="GM33" s="1642">
        <f>IF(ABS(GK33-GL33)&gt;='Job Info.'!$L$22,ABS(GK33-GL33),0)</f>
        <v>0</v>
      </c>
      <c r="HA33" s="1242" t="s">
        <v>1459</v>
      </c>
      <c r="HB33" s="1243">
        <v>1</v>
      </c>
      <c r="HC33" s="1243" t="s">
        <v>1743</v>
      </c>
      <c r="HD33" s="1244">
        <v>56</v>
      </c>
      <c r="HE33" s="1245">
        <v>0</v>
      </c>
      <c r="HF33" s="1243">
        <v>7</v>
      </c>
      <c r="HG33" s="1243"/>
      <c r="HH33" s="1243"/>
      <c r="HI33" s="1243"/>
      <c r="HJ33" s="1243"/>
      <c r="HK33" s="1243"/>
      <c r="HL33" s="1243"/>
      <c r="HM33" s="1243"/>
      <c r="HN33" s="1243"/>
      <c r="HO33" s="1243"/>
      <c r="HP33" s="1243">
        <v>11</v>
      </c>
      <c r="HQ33" s="1243"/>
      <c r="HR33" s="1243"/>
      <c r="HS33" s="1243"/>
      <c r="HT33" s="1243"/>
      <c r="HU33" s="1243"/>
      <c r="HV33" s="1243"/>
      <c r="HW33" s="1243"/>
      <c r="HX33" s="1243"/>
      <c r="HY33" s="1247"/>
      <c r="HZ33" s="1247"/>
      <c r="IA33" s="1247">
        <v>11</v>
      </c>
      <c r="IB33" s="1247"/>
      <c r="IC33" s="1247"/>
      <c r="ID33" s="1262">
        <v>11.125</v>
      </c>
      <c r="IE33" s="1242" t="s">
        <v>1459</v>
      </c>
      <c r="IF33" s="1243" t="s">
        <v>35</v>
      </c>
      <c r="IG33" s="1244">
        <v>8</v>
      </c>
      <c r="IH33" s="1245">
        <v>0</v>
      </c>
      <c r="II33" s="1243">
        <v>5</v>
      </c>
      <c r="IJ33" s="1244">
        <v>8</v>
      </c>
      <c r="IK33" s="1245">
        <v>0</v>
      </c>
      <c r="IL33" s="1243"/>
      <c r="IM33" s="1243"/>
      <c r="IN33" s="1243">
        <v>5</v>
      </c>
      <c r="IO33" s="1243">
        <v>13</v>
      </c>
      <c r="IP33" s="1243">
        <v>4</v>
      </c>
      <c r="IQ33" s="1243">
        <v>2</v>
      </c>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v>1</v>
      </c>
      <c r="JL33" s="1172">
        <f t="shared" ca="1" si="95"/>
        <v>1</v>
      </c>
    </row>
    <row r="34" spans="1:272" ht="12.6" customHeight="1" x14ac:dyDescent="0.25">
      <c r="A34" s="2683" t="str">
        <f t="shared" si="0"/>
        <v>G64</v>
      </c>
      <c r="B34" s="2684">
        <f t="shared" si="0"/>
        <v>1</v>
      </c>
      <c r="C34" s="2685" t="s">
        <v>1743</v>
      </c>
      <c r="D34" s="2686">
        <f t="shared" si="1"/>
        <v>55</v>
      </c>
      <c r="E34" s="2687">
        <f t="shared" si="2"/>
        <v>3.375</v>
      </c>
      <c r="F34" s="2688">
        <f t="shared" si="3"/>
        <v>11.125</v>
      </c>
      <c r="G34" s="2689">
        <f t="shared" si="4"/>
        <v>0</v>
      </c>
      <c r="H34" s="2690">
        <f t="shared" si="5"/>
        <v>2.75</v>
      </c>
      <c r="I34" s="2691" t="str">
        <f t="shared" si="6"/>
        <v>R</v>
      </c>
      <c r="J34" s="2686" t="str">
        <f t="shared" si="7"/>
        <v/>
      </c>
      <c r="K34" s="2690" t="str">
        <f t="shared" si="8"/>
        <v/>
      </c>
      <c r="L34" s="2692" t="str">
        <f t="shared" si="9"/>
        <v/>
      </c>
      <c r="M34" s="2693">
        <f t="shared" si="10"/>
        <v>7.5</v>
      </c>
      <c r="N34" s="2694">
        <f t="shared" si="10"/>
        <v>7.5</v>
      </c>
      <c r="O34" s="2689">
        <f t="shared" si="11"/>
        <v>0</v>
      </c>
      <c r="P34" s="2690">
        <f t="shared" si="12"/>
        <v>7.75</v>
      </c>
      <c r="Q34" s="2686">
        <f t="shared" si="13"/>
        <v>0</v>
      </c>
      <c r="R34" s="2687">
        <f t="shared" si="14"/>
        <v>1</v>
      </c>
      <c r="S34" s="2695">
        <f t="shared" si="15"/>
        <v>0</v>
      </c>
      <c r="T34" s="2690">
        <f t="shared" si="16"/>
        <v>7.25</v>
      </c>
      <c r="U34" s="2686">
        <f t="shared" si="17"/>
        <v>0</v>
      </c>
      <c r="V34" s="2690">
        <f t="shared" si="18"/>
        <v>1.5</v>
      </c>
      <c r="W34" s="2694">
        <f t="shared" si="19"/>
        <v>5</v>
      </c>
      <c r="X34" s="2696" t="str">
        <f t="shared" si="20"/>
        <v/>
      </c>
      <c r="Y34" s="2697" t="str">
        <f t="shared" si="21"/>
        <v/>
      </c>
      <c r="Z34" s="2698" t="s">
        <v>1927</v>
      </c>
      <c r="AA34" s="2758" t="str">
        <f t="shared" si="22"/>
        <v/>
      </c>
      <c r="AB34" s="2683" t="str">
        <f t="shared" si="23"/>
        <v>G64</v>
      </c>
      <c r="AC34" s="2691" t="str">
        <f t="shared" si="24"/>
        <v>B</v>
      </c>
      <c r="AD34" s="2686">
        <f t="shared" ca="1" si="25"/>
        <v>7</v>
      </c>
      <c r="AE34" s="2690">
        <f t="shared" ca="1" si="26"/>
        <v>9</v>
      </c>
      <c r="AF34" s="2691">
        <f t="shared" ca="1" si="27"/>
        <v>5</v>
      </c>
      <c r="AG34" s="2686">
        <f t="shared" ca="1" si="28"/>
        <v>8</v>
      </c>
      <c r="AH34" s="2690">
        <f t="shared" ca="1" si="29"/>
        <v>0</v>
      </c>
      <c r="AI34" s="2686">
        <f t="shared" ca="1" si="30"/>
        <v>7</v>
      </c>
      <c r="AJ34" s="2690">
        <f t="shared" ca="1" si="31"/>
        <v>3.625</v>
      </c>
      <c r="AK34" s="2732" t="str">
        <f t="shared" si="32"/>
        <v/>
      </c>
      <c r="AL34" s="2733" t="str">
        <f t="shared" si="33"/>
        <v/>
      </c>
      <c r="AM34" s="2734">
        <f t="shared" si="32"/>
        <v>5</v>
      </c>
      <c r="AN34" s="2691">
        <f t="shared" si="32"/>
        <v>13</v>
      </c>
      <c r="AO34" s="2694">
        <f t="shared" si="32"/>
        <v>4</v>
      </c>
      <c r="AP34" s="2693">
        <f t="shared" si="34"/>
        <v>1.75</v>
      </c>
      <c r="AQ34" s="2736" t="str">
        <f t="shared" si="34"/>
        <v/>
      </c>
      <c r="AR34" s="2689">
        <f t="shared" si="35"/>
        <v>1</v>
      </c>
      <c r="AS34" s="2690">
        <f t="shared" si="36"/>
        <v>0</v>
      </c>
      <c r="AT34" s="2737" t="str">
        <f t="shared" si="37"/>
        <v/>
      </c>
      <c r="AU34" s="2738" t="str">
        <f t="shared" si="38"/>
        <v>B</v>
      </c>
      <c r="AV34" s="2695" t="str">
        <f t="shared" si="39"/>
        <v/>
      </c>
      <c r="AW34" s="2690" t="str">
        <f t="shared" si="40"/>
        <v/>
      </c>
      <c r="AX34" s="2737" t="str">
        <f t="shared" si="41"/>
        <v/>
      </c>
      <c r="AY34" s="2738" t="str">
        <f t="shared" si="42"/>
        <v/>
      </c>
      <c r="AZ34" s="2695" t="str">
        <f t="shared" si="43"/>
        <v/>
      </c>
      <c r="BA34" s="2690" t="str">
        <f t="shared" si="44"/>
        <v/>
      </c>
      <c r="BB34" s="2737" t="str">
        <f t="shared" si="45"/>
        <v/>
      </c>
      <c r="BC34" s="2738" t="str">
        <f t="shared" si="46"/>
        <v/>
      </c>
      <c r="BD34" s="2695" t="str">
        <f t="shared" si="47"/>
        <v/>
      </c>
      <c r="BE34" s="2690" t="str">
        <f t="shared" si="48"/>
        <v/>
      </c>
      <c r="BF34" s="2737" t="str">
        <f t="shared" si="49"/>
        <v/>
      </c>
      <c r="BG34" s="2738" t="str">
        <f t="shared" si="50"/>
        <v/>
      </c>
      <c r="BH34" s="1417"/>
      <c r="BJ34" s="995" t="str">
        <f t="shared" si="93"/>
        <v>G64</v>
      </c>
      <c r="BK34" s="993" t="b">
        <f t="shared" si="51"/>
        <v>0</v>
      </c>
      <c r="BL34" s="1784" t="b">
        <v>0</v>
      </c>
      <c r="BM34" s="989">
        <f t="shared" si="52"/>
        <v>60</v>
      </c>
      <c r="BN34" s="989" t="str">
        <f t="shared" si="53"/>
        <v>G</v>
      </c>
      <c r="BO34" s="989">
        <f t="shared" si="54"/>
        <v>7</v>
      </c>
      <c r="BP34" s="989" t="str">
        <f t="shared" si="55"/>
        <v>13/6</v>
      </c>
      <c r="BQ34" s="989">
        <f t="shared" si="56"/>
        <v>2.4</v>
      </c>
      <c r="BR34" s="989" t="b">
        <f t="shared" si="57"/>
        <v>1</v>
      </c>
      <c r="BS34" s="1303">
        <f t="shared" si="58"/>
        <v>8.75</v>
      </c>
      <c r="BT34" s="990" t="str">
        <f t="shared" si="59"/>
        <v>Yes</v>
      </c>
      <c r="BU34" s="1303">
        <f t="shared" si="60"/>
        <v>6</v>
      </c>
      <c r="BV34" s="990" t="str">
        <f t="shared" si="61"/>
        <v>Yes</v>
      </c>
      <c r="BW34" s="991">
        <f t="shared" ca="1" si="62"/>
        <v>16</v>
      </c>
      <c r="BX34" s="991" t="str">
        <f t="shared" ca="1" si="63"/>
        <v>G64</v>
      </c>
      <c r="BY34" s="991" t="b">
        <f t="shared" ca="1" si="64"/>
        <v>0</v>
      </c>
      <c r="BZ34" s="991" t="b">
        <f t="shared" si="86"/>
        <v>0</v>
      </c>
      <c r="CB34" s="672" t="s">
        <v>1460</v>
      </c>
      <c r="CC34" s="1685">
        <v>1</v>
      </c>
      <c r="CD34" s="699" t="s">
        <v>1743</v>
      </c>
      <c r="CE34" s="700">
        <v>56</v>
      </c>
      <c r="CF34" s="701">
        <v>0</v>
      </c>
      <c r="CG34" s="672">
        <v>7</v>
      </c>
      <c r="CH34" s="713"/>
      <c r="CI34" s="714"/>
      <c r="CJ34" s="713"/>
      <c r="CK34" s="714"/>
      <c r="CL34" s="715"/>
      <c r="CM34" s="743"/>
      <c r="CN34" s="738"/>
      <c r="CO34" s="1552"/>
      <c r="CP34" s="910"/>
      <c r="CQ34" s="672">
        <v>11</v>
      </c>
      <c r="CR34" s="713"/>
      <c r="CS34" s="714"/>
      <c r="CT34" s="713"/>
      <c r="CU34" s="714"/>
      <c r="CV34" s="715"/>
      <c r="CW34" s="743"/>
      <c r="CX34" s="738"/>
      <c r="CY34" s="1552"/>
      <c r="CZ34" s="910"/>
      <c r="DA34" s="717"/>
      <c r="DB34" s="702" t="s">
        <v>1744</v>
      </c>
      <c r="DC34" s="703"/>
      <c r="DD34" s="725"/>
      <c r="DE34" s="726">
        <v>11.125</v>
      </c>
      <c r="DF34" s="141"/>
      <c r="DG34" s="141"/>
      <c r="DH34" s="672" t="s">
        <v>1460</v>
      </c>
      <c r="DI34" s="673" t="s">
        <v>35</v>
      </c>
      <c r="DJ34" s="692">
        <v>8</v>
      </c>
      <c r="DK34" s="1332">
        <v>0</v>
      </c>
      <c r="DL34" s="674">
        <v>5</v>
      </c>
      <c r="DM34" s="693">
        <v>8</v>
      </c>
      <c r="DN34" s="1335">
        <v>0</v>
      </c>
      <c r="DO34" s="675"/>
      <c r="DP34" s="676"/>
      <c r="DQ34" s="1420">
        <v>5</v>
      </c>
      <c r="DR34" s="677">
        <v>13</v>
      </c>
      <c r="DS34" s="1420">
        <v>4</v>
      </c>
      <c r="DT34" s="1422">
        <v>2</v>
      </c>
      <c r="DU34" s="1423"/>
      <c r="DV34" s="2661">
        <v>1</v>
      </c>
      <c r="DW34" s="2664">
        <v>0.25</v>
      </c>
      <c r="DX34" s="679"/>
      <c r="DY34" s="2665" t="s">
        <v>35</v>
      </c>
      <c r="DZ34" s="678"/>
      <c r="EA34" s="1337"/>
      <c r="EB34" s="679"/>
      <c r="EC34" s="674"/>
      <c r="ED34" s="678"/>
      <c r="EE34" s="1337"/>
      <c r="EF34" s="679"/>
      <c r="EG34" s="674"/>
      <c r="EH34" s="678"/>
      <c r="EI34" s="1337"/>
      <c r="EJ34" s="679"/>
      <c r="EK34" s="680"/>
      <c r="EL34" s="241"/>
      <c r="EM34" s="1632" t="str">
        <f t="shared" si="65"/>
        <v>G64</v>
      </c>
      <c r="EN34" s="1429" t="str">
        <f t="shared" si="66"/>
        <v/>
      </c>
      <c r="EO34" s="1430" t="str">
        <f t="shared" si="67"/>
        <v/>
      </c>
      <c r="EP34" s="1431" t="str">
        <f t="shared" si="68"/>
        <v/>
      </c>
      <c r="EQ34" s="1435" t="str">
        <f t="shared" si="69"/>
        <v/>
      </c>
      <c r="ER34" s="1441" t="str">
        <f t="shared" si="70"/>
        <v/>
      </c>
      <c r="ES34" s="1442" t="str">
        <f t="shared" si="71"/>
        <v/>
      </c>
      <c r="ET34" s="1443" t="str">
        <f t="shared" si="72"/>
        <v/>
      </c>
      <c r="EU34" s="1444" t="str">
        <f t="shared" si="87"/>
        <v/>
      </c>
      <c r="EX34" s="503" t="str">
        <f t="shared" ca="1" si="88"/>
        <v>G64B</v>
      </c>
      <c r="EY34" s="940" t="b">
        <f t="shared" ca="1" si="73"/>
        <v>1</v>
      </c>
      <c r="EZ34" s="940">
        <f t="shared" ca="1" si="89"/>
        <v>5</v>
      </c>
      <c r="FA34" s="958" t="b">
        <f t="shared" ca="1" si="94"/>
        <v>1</v>
      </c>
      <c r="FB34" s="134">
        <f t="shared" ca="1" si="90"/>
        <v>660.625</v>
      </c>
      <c r="FC34" s="134">
        <f t="shared" ca="1" si="74"/>
        <v>93</v>
      </c>
      <c r="FD34" s="134">
        <f t="shared" ca="1" si="75"/>
        <v>480</v>
      </c>
      <c r="FE34" s="134">
        <f t="shared" ca="1" si="76"/>
        <v>87.625</v>
      </c>
      <c r="FF34" s="134">
        <f t="shared" ca="1" si="91"/>
        <v>660.625</v>
      </c>
      <c r="FN34" s="754" t="b">
        <v>0</v>
      </c>
      <c r="FO34" s="754" t="b">
        <f t="shared" si="77"/>
        <v>1</v>
      </c>
      <c r="FP34" s="754" t="b">
        <v>0</v>
      </c>
      <c r="FQ34" s="754" t="b">
        <f t="shared" si="92"/>
        <v>1</v>
      </c>
      <c r="FW34" s="2"/>
      <c r="FX34" s="2"/>
      <c r="FZ34" s="2"/>
      <c r="GA34" s="581">
        <f t="shared" si="78"/>
        <v>56</v>
      </c>
      <c r="GB34" s="623">
        <f t="shared" si="79"/>
        <v>0</v>
      </c>
      <c r="GC34" s="625">
        <f t="shared" si="80"/>
        <v>-0.25</v>
      </c>
      <c r="GD34" s="626">
        <f t="shared" si="81"/>
        <v>-8.375</v>
      </c>
      <c r="GE34" s="624">
        <f t="shared" si="82"/>
        <v>0</v>
      </c>
      <c r="GF34" s="582" t="str">
        <f t="shared" si="83"/>
        <v>G64</v>
      </c>
      <c r="GG34" s="692">
        <v>0</v>
      </c>
      <c r="GH34" s="1136">
        <v>0</v>
      </c>
      <c r="GI34" s="692"/>
      <c r="GJ34" s="1136"/>
      <c r="GK34" s="1641">
        <f t="shared" si="84"/>
        <v>663.375</v>
      </c>
      <c r="GL34" s="1641">
        <f t="shared" si="85"/>
        <v>663.375</v>
      </c>
      <c r="GM34" s="1642">
        <f>IF(ABS(GK34-GL34)&gt;='Job Info.'!$L$22,ABS(GK34-GL34),0)</f>
        <v>0</v>
      </c>
      <c r="HA34" s="1242" t="s">
        <v>1460</v>
      </c>
      <c r="HB34" s="1243">
        <v>1</v>
      </c>
      <c r="HC34" s="1243" t="s">
        <v>1743</v>
      </c>
      <c r="HD34" s="1244">
        <v>56</v>
      </c>
      <c r="HE34" s="1245">
        <v>0</v>
      </c>
      <c r="HF34" s="1243">
        <v>7</v>
      </c>
      <c r="HG34" s="1243"/>
      <c r="HH34" s="1243"/>
      <c r="HI34" s="1243"/>
      <c r="HJ34" s="1243"/>
      <c r="HK34" s="1243"/>
      <c r="HL34" s="1243"/>
      <c r="HM34" s="1243"/>
      <c r="HN34" s="1243"/>
      <c r="HO34" s="1243"/>
      <c r="HP34" s="1243">
        <v>11</v>
      </c>
      <c r="HQ34" s="1243"/>
      <c r="HR34" s="1243"/>
      <c r="HS34" s="1243"/>
      <c r="HT34" s="1243"/>
      <c r="HU34" s="1243"/>
      <c r="HV34" s="1243"/>
      <c r="HW34" s="1243"/>
      <c r="HX34" s="1243"/>
      <c r="HY34" s="1247"/>
      <c r="HZ34" s="1247"/>
      <c r="IA34" s="1247" t="s">
        <v>1744</v>
      </c>
      <c r="IB34" s="1247"/>
      <c r="IC34" s="1247"/>
      <c r="ID34" s="1262">
        <v>11.125</v>
      </c>
      <c r="IE34" s="1242" t="s">
        <v>1460</v>
      </c>
      <c r="IF34" s="1243" t="s">
        <v>35</v>
      </c>
      <c r="IG34" s="1244">
        <v>8</v>
      </c>
      <c r="IH34" s="1245">
        <v>0</v>
      </c>
      <c r="II34" s="1243">
        <v>5</v>
      </c>
      <c r="IJ34" s="1244">
        <v>8</v>
      </c>
      <c r="IK34" s="1245">
        <v>0</v>
      </c>
      <c r="IL34" s="1243"/>
      <c r="IM34" s="1243"/>
      <c r="IN34" s="1243">
        <v>5</v>
      </c>
      <c r="IO34" s="1243">
        <v>13</v>
      </c>
      <c r="IP34" s="1243">
        <v>4</v>
      </c>
      <c r="IQ34" s="1243">
        <v>2</v>
      </c>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v>1</v>
      </c>
      <c r="JL34" s="1172">
        <f t="shared" ca="1" si="95"/>
        <v>1</v>
      </c>
    </row>
    <row r="35" spans="1:272" ht="12.6" customHeight="1" x14ac:dyDescent="0.25">
      <c r="A35" s="2683" t="str">
        <f t="shared" si="0"/>
        <v>G65</v>
      </c>
      <c r="B35" s="2684">
        <f t="shared" si="0"/>
        <v>1</v>
      </c>
      <c r="C35" s="2685" t="s">
        <v>1743</v>
      </c>
      <c r="D35" s="2686">
        <f t="shared" si="1"/>
        <v>55</v>
      </c>
      <c r="E35" s="2687">
        <f t="shared" si="2"/>
        <v>11.5</v>
      </c>
      <c r="F35" s="2688">
        <f t="shared" si="3"/>
        <v>11.125</v>
      </c>
      <c r="G35" s="2689">
        <f t="shared" si="4"/>
        <v>0</v>
      </c>
      <c r="H35" s="2690">
        <f t="shared" si="5"/>
        <v>2.75</v>
      </c>
      <c r="I35" s="2691" t="str">
        <f t="shared" si="6"/>
        <v>R</v>
      </c>
      <c r="J35" s="2686">
        <f t="shared" si="7"/>
        <v>0</v>
      </c>
      <c r="K35" s="2690">
        <f t="shared" si="8"/>
        <v>2.75</v>
      </c>
      <c r="L35" s="2692" t="str">
        <f t="shared" si="9"/>
        <v>R</v>
      </c>
      <c r="M35" s="2693">
        <f t="shared" si="10"/>
        <v>7.5</v>
      </c>
      <c r="N35" s="2694">
        <f t="shared" si="10"/>
        <v>7.5</v>
      </c>
      <c r="O35" s="2689">
        <f t="shared" si="11"/>
        <v>0</v>
      </c>
      <c r="P35" s="2690">
        <f t="shared" si="12"/>
        <v>7.75</v>
      </c>
      <c r="Q35" s="2686">
        <f t="shared" si="13"/>
        <v>0</v>
      </c>
      <c r="R35" s="2687">
        <f t="shared" si="14"/>
        <v>7.75</v>
      </c>
      <c r="S35" s="2695">
        <f t="shared" si="15"/>
        <v>0</v>
      </c>
      <c r="T35" s="2690">
        <f t="shared" si="16"/>
        <v>7.25</v>
      </c>
      <c r="U35" s="2686">
        <f t="shared" si="17"/>
        <v>0</v>
      </c>
      <c r="V35" s="2690">
        <f t="shared" si="18"/>
        <v>7.25</v>
      </c>
      <c r="W35" s="2694">
        <f t="shared" si="19"/>
        <v>5</v>
      </c>
      <c r="X35" s="2696" t="str">
        <f t="shared" si="20"/>
        <v/>
      </c>
      <c r="Y35" s="2697" t="str">
        <f t="shared" si="21"/>
        <v/>
      </c>
      <c r="Z35" s="2698" t="s">
        <v>1928</v>
      </c>
      <c r="AA35" s="2758" t="str">
        <f t="shared" si="22"/>
        <v/>
      </c>
      <c r="AB35" s="2683" t="str">
        <f t="shared" si="23"/>
        <v>G65</v>
      </c>
      <c r="AC35" s="2691" t="str">
        <f t="shared" si="24"/>
        <v>B</v>
      </c>
      <c r="AD35" s="2686">
        <f t="shared" ca="1" si="25"/>
        <v>7</v>
      </c>
      <c r="AE35" s="2690">
        <f t="shared" ca="1" si="26"/>
        <v>9</v>
      </c>
      <c r="AF35" s="2691">
        <f t="shared" ca="1" si="27"/>
        <v>5</v>
      </c>
      <c r="AG35" s="2686">
        <f t="shared" ca="1" si="28"/>
        <v>8</v>
      </c>
      <c r="AH35" s="2690">
        <f t="shared" ca="1" si="29"/>
        <v>0</v>
      </c>
      <c r="AI35" s="2686">
        <f t="shared" ca="1" si="30"/>
        <v>7</v>
      </c>
      <c r="AJ35" s="2690">
        <f t="shared" ca="1" si="31"/>
        <v>9</v>
      </c>
      <c r="AK35" s="2732" t="str">
        <f t="shared" si="32"/>
        <v/>
      </c>
      <c r="AL35" s="2733" t="str">
        <f t="shared" si="33"/>
        <v/>
      </c>
      <c r="AM35" s="2734">
        <f t="shared" si="32"/>
        <v>5</v>
      </c>
      <c r="AN35" s="2691">
        <f t="shared" si="32"/>
        <v>13</v>
      </c>
      <c r="AO35" s="2694">
        <f t="shared" si="32"/>
        <v>4</v>
      </c>
      <c r="AP35" s="2693">
        <f t="shared" si="34"/>
        <v>1.75</v>
      </c>
      <c r="AQ35" s="2736">
        <f t="shared" si="34"/>
        <v>1.75</v>
      </c>
      <c r="AR35" s="2689">
        <f t="shared" si="35"/>
        <v>1</v>
      </c>
      <c r="AS35" s="2690">
        <f t="shared" si="36"/>
        <v>0</v>
      </c>
      <c r="AT35" s="2737" t="str">
        <f t="shared" si="37"/>
        <v/>
      </c>
      <c r="AU35" s="2738" t="str">
        <f t="shared" si="38"/>
        <v>B</v>
      </c>
      <c r="AV35" s="2695">
        <f t="shared" si="39"/>
        <v>55</v>
      </c>
      <c r="AW35" s="2690">
        <f t="shared" si="40"/>
        <v>0</v>
      </c>
      <c r="AX35" s="2737" t="str">
        <f t="shared" si="41"/>
        <v/>
      </c>
      <c r="AY35" s="2738" t="str">
        <f t="shared" si="42"/>
        <v>B</v>
      </c>
      <c r="AZ35" s="2695" t="str">
        <f t="shared" si="43"/>
        <v/>
      </c>
      <c r="BA35" s="2690" t="str">
        <f t="shared" si="44"/>
        <v/>
      </c>
      <c r="BB35" s="2737" t="str">
        <f t="shared" si="45"/>
        <v/>
      </c>
      <c r="BC35" s="2738" t="str">
        <f t="shared" si="46"/>
        <v/>
      </c>
      <c r="BD35" s="2695" t="str">
        <f t="shared" si="47"/>
        <v/>
      </c>
      <c r="BE35" s="2690" t="str">
        <f t="shared" si="48"/>
        <v/>
      </c>
      <c r="BF35" s="2737" t="str">
        <f t="shared" si="49"/>
        <v/>
      </c>
      <c r="BG35" s="2738" t="str">
        <f t="shared" si="50"/>
        <v/>
      </c>
      <c r="BH35" s="1417"/>
      <c r="BJ35" s="995" t="str">
        <f t="shared" si="93"/>
        <v>G65</v>
      </c>
      <c r="BK35" s="993" t="b">
        <f t="shared" si="51"/>
        <v>0</v>
      </c>
      <c r="BL35" s="1784" t="b">
        <v>0</v>
      </c>
      <c r="BM35" s="989">
        <f t="shared" si="52"/>
        <v>60</v>
      </c>
      <c r="BN35" s="989" t="str">
        <f t="shared" si="53"/>
        <v>G</v>
      </c>
      <c r="BO35" s="989">
        <f t="shared" si="54"/>
        <v>7</v>
      </c>
      <c r="BP35" s="989" t="str">
        <f t="shared" si="55"/>
        <v>13/6</v>
      </c>
      <c r="BQ35" s="989">
        <f t="shared" si="56"/>
        <v>2.4</v>
      </c>
      <c r="BR35" s="989" t="b">
        <f t="shared" si="57"/>
        <v>1</v>
      </c>
      <c r="BS35" s="1303">
        <f t="shared" si="58"/>
        <v>8.75</v>
      </c>
      <c r="BT35" s="990" t="str">
        <f t="shared" si="59"/>
        <v>Yes</v>
      </c>
      <c r="BU35" s="1303">
        <f t="shared" si="60"/>
        <v>8.75</v>
      </c>
      <c r="BV35" s="990" t="str">
        <f t="shared" si="61"/>
        <v>Yes</v>
      </c>
      <c r="BW35" s="991">
        <f t="shared" ca="1" si="62"/>
        <v>20</v>
      </c>
      <c r="BX35" s="991" t="str">
        <f t="shared" ca="1" si="63"/>
        <v>G65</v>
      </c>
      <c r="BY35" s="991" t="b">
        <f t="shared" ca="1" si="64"/>
        <v>0</v>
      </c>
      <c r="BZ35" s="991" t="b">
        <f t="shared" si="86"/>
        <v>0</v>
      </c>
      <c r="CB35" s="672" t="s">
        <v>1461</v>
      </c>
      <c r="CC35" s="1685">
        <v>1</v>
      </c>
      <c r="CD35" s="699" t="s">
        <v>1743</v>
      </c>
      <c r="CE35" s="700">
        <v>56</v>
      </c>
      <c r="CF35" s="701">
        <v>0</v>
      </c>
      <c r="CG35" s="672">
        <v>7</v>
      </c>
      <c r="CH35" s="713"/>
      <c r="CI35" s="714"/>
      <c r="CJ35" s="713"/>
      <c r="CK35" s="714"/>
      <c r="CL35" s="715"/>
      <c r="CM35" s="743"/>
      <c r="CN35" s="738"/>
      <c r="CO35" s="1552"/>
      <c r="CP35" s="910"/>
      <c r="CQ35" s="672">
        <v>7</v>
      </c>
      <c r="CR35" s="713"/>
      <c r="CS35" s="714"/>
      <c r="CT35" s="713"/>
      <c r="CU35" s="714"/>
      <c r="CV35" s="715"/>
      <c r="CW35" s="743"/>
      <c r="CX35" s="738"/>
      <c r="CY35" s="1552"/>
      <c r="CZ35" s="910"/>
      <c r="DA35" s="717"/>
      <c r="DB35" s="702" t="s">
        <v>1746</v>
      </c>
      <c r="DC35" s="703" t="s">
        <v>34</v>
      </c>
      <c r="DD35" s="725"/>
      <c r="DE35" s="726">
        <v>11.125</v>
      </c>
      <c r="DF35" s="141"/>
      <c r="DG35" s="141"/>
      <c r="DH35" s="672" t="s">
        <v>1461</v>
      </c>
      <c r="DI35" s="673" t="s">
        <v>35</v>
      </c>
      <c r="DJ35" s="692">
        <v>8</v>
      </c>
      <c r="DK35" s="1332">
        <v>0</v>
      </c>
      <c r="DL35" s="674">
        <v>5</v>
      </c>
      <c r="DM35" s="693">
        <v>8</v>
      </c>
      <c r="DN35" s="1335">
        <v>0</v>
      </c>
      <c r="DO35" s="675"/>
      <c r="DP35" s="676"/>
      <c r="DQ35" s="1420">
        <v>5</v>
      </c>
      <c r="DR35" s="677">
        <v>13</v>
      </c>
      <c r="DS35" s="1420">
        <v>4</v>
      </c>
      <c r="DT35" s="1422">
        <v>2</v>
      </c>
      <c r="DU35" s="1423">
        <v>2</v>
      </c>
      <c r="DV35" s="2661">
        <v>1</v>
      </c>
      <c r="DW35" s="2664">
        <v>0.25</v>
      </c>
      <c r="DX35" s="679"/>
      <c r="DY35" s="2665" t="s">
        <v>35</v>
      </c>
      <c r="DZ35" s="2661">
        <v>55</v>
      </c>
      <c r="EA35" s="2664">
        <v>0.25</v>
      </c>
      <c r="EB35" s="679"/>
      <c r="EC35" s="2665" t="s">
        <v>35</v>
      </c>
      <c r="ED35" s="678"/>
      <c r="EE35" s="1337"/>
      <c r="EF35" s="679"/>
      <c r="EG35" s="674"/>
      <c r="EH35" s="678"/>
      <c r="EI35" s="1337"/>
      <c r="EJ35" s="679"/>
      <c r="EK35" s="680"/>
      <c r="EL35" s="241"/>
      <c r="EM35" s="1632" t="str">
        <f t="shared" si="65"/>
        <v>G65</v>
      </c>
      <c r="EN35" s="1429" t="str">
        <f t="shared" si="66"/>
        <v/>
      </c>
      <c r="EO35" s="1430" t="str">
        <f t="shared" si="67"/>
        <v/>
      </c>
      <c r="EP35" s="1431" t="str">
        <f t="shared" si="68"/>
        <v/>
      </c>
      <c r="EQ35" s="1435" t="str">
        <f t="shared" si="69"/>
        <v/>
      </c>
      <c r="ER35" s="1441" t="str">
        <f t="shared" si="70"/>
        <v/>
      </c>
      <c r="ES35" s="1442" t="str">
        <f t="shared" si="71"/>
        <v/>
      </c>
      <c r="ET35" s="1443" t="str">
        <f t="shared" si="72"/>
        <v/>
      </c>
      <c r="EU35" s="1444" t="str">
        <f t="shared" si="87"/>
        <v/>
      </c>
      <c r="EX35" s="503" t="str">
        <f t="shared" ca="1" si="88"/>
        <v>G65B</v>
      </c>
      <c r="EY35" s="940" t="b">
        <f t="shared" ca="1" si="73"/>
        <v>1</v>
      </c>
      <c r="EZ35" s="940">
        <f t="shared" ca="1" si="89"/>
        <v>5</v>
      </c>
      <c r="FA35" s="958" t="b">
        <f t="shared" ca="1" si="94"/>
        <v>1</v>
      </c>
      <c r="FB35" s="134">
        <f t="shared" ca="1" si="90"/>
        <v>666</v>
      </c>
      <c r="FC35" s="134">
        <f t="shared" ca="1" si="74"/>
        <v>93</v>
      </c>
      <c r="FD35" s="134">
        <f t="shared" ca="1" si="75"/>
        <v>480</v>
      </c>
      <c r="FE35" s="134">
        <f t="shared" ca="1" si="76"/>
        <v>93</v>
      </c>
      <c r="FF35" s="134">
        <f t="shared" ca="1" si="91"/>
        <v>666</v>
      </c>
      <c r="FN35" s="754" t="b">
        <v>0</v>
      </c>
      <c r="FO35" s="754" t="b">
        <f t="shared" si="77"/>
        <v>1</v>
      </c>
      <c r="FP35" s="754" t="b">
        <v>0</v>
      </c>
      <c r="FQ35" s="754" t="b">
        <f t="shared" si="92"/>
        <v>1</v>
      </c>
      <c r="FW35" s="2"/>
      <c r="FX35" s="2"/>
      <c r="FZ35" s="2"/>
      <c r="GA35" s="581">
        <f t="shared" si="78"/>
        <v>56</v>
      </c>
      <c r="GB35" s="623">
        <f t="shared" si="79"/>
        <v>0</v>
      </c>
      <c r="GC35" s="625">
        <f t="shared" si="80"/>
        <v>-0.25</v>
      </c>
      <c r="GD35" s="626">
        <f t="shared" si="81"/>
        <v>-0.25</v>
      </c>
      <c r="GE35" s="624">
        <f t="shared" si="82"/>
        <v>0</v>
      </c>
      <c r="GF35" s="582" t="str">
        <f t="shared" si="83"/>
        <v>G65</v>
      </c>
      <c r="GG35" s="692">
        <v>0</v>
      </c>
      <c r="GH35" s="1136">
        <v>0</v>
      </c>
      <c r="GI35" s="692"/>
      <c r="GJ35" s="1136"/>
      <c r="GK35" s="1641">
        <f t="shared" si="84"/>
        <v>671.5</v>
      </c>
      <c r="GL35" s="1641">
        <f t="shared" si="85"/>
        <v>671.5</v>
      </c>
      <c r="GM35" s="1642">
        <f>IF(ABS(GK35-GL35)&gt;='Job Info.'!$L$22,ABS(GK35-GL35),0)</f>
        <v>0</v>
      </c>
      <c r="HA35" s="1242" t="s">
        <v>1461</v>
      </c>
      <c r="HB35" s="1243">
        <v>1</v>
      </c>
      <c r="HC35" s="1243" t="s">
        <v>1743</v>
      </c>
      <c r="HD35" s="1244">
        <v>56</v>
      </c>
      <c r="HE35" s="1245">
        <v>0</v>
      </c>
      <c r="HF35" s="1243">
        <v>7</v>
      </c>
      <c r="HG35" s="1243"/>
      <c r="HH35" s="1243"/>
      <c r="HI35" s="1243"/>
      <c r="HJ35" s="1243"/>
      <c r="HK35" s="1243"/>
      <c r="HL35" s="1243"/>
      <c r="HM35" s="1243"/>
      <c r="HN35" s="1243"/>
      <c r="HO35" s="1243"/>
      <c r="HP35" s="1243">
        <v>7</v>
      </c>
      <c r="HQ35" s="1243"/>
      <c r="HR35" s="1243"/>
      <c r="HS35" s="1243"/>
      <c r="HT35" s="1243"/>
      <c r="HU35" s="1243"/>
      <c r="HV35" s="1243"/>
      <c r="HW35" s="1243"/>
      <c r="HX35" s="1243"/>
      <c r="HY35" s="1247"/>
      <c r="HZ35" s="1247"/>
      <c r="IA35" s="1247" t="s">
        <v>1746</v>
      </c>
      <c r="IB35" s="1247" t="s">
        <v>34</v>
      </c>
      <c r="IC35" s="1247"/>
      <c r="ID35" s="1262">
        <v>11.125</v>
      </c>
      <c r="IE35" s="1242" t="s">
        <v>1461</v>
      </c>
      <c r="IF35" s="1243" t="s">
        <v>35</v>
      </c>
      <c r="IG35" s="1244">
        <v>8</v>
      </c>
      <c r="IH35" s="1245">
        <v>0</v>
      </c>
      <c r="II35" s="1243">
        <v>5</v>
      </c>
      <c r="IJ35" s="1244">
        <v>8</v>
      </c>
      <c r="IK35" s="1245">
        <v>0</v>
      </c>
      <c r="IL35" s="1243"/>
      <c r="IM35" s="1243"/>
      <c r="IN35" s="1243">
        <v>5</v>
      </c>
      <c r="IO35" s="1243">
        <v>13</v>
      </c>
      <c r="IP35" s="1243">
        <v>4</v>
      </c>
      <c r="IQ35" s="1243">
        <v>2</v>
      </c>
      <c r="IR35" s="1243">
        <v>2</v>
      </c>
      <c r="IS35" s="1244"/>
      <c r="IT35" s="1245"/>
      <c r="IU35" s="1243"/>
      <c r="IV35" s="1243"/>
      <c r="IW35" s="1244"/>
      <c r="IX35" s="1245"/>
      <c r="IY35" s="1243"/>
      <c r="IZ35" s="1243"/>
      <c r="JA35" s="1244"/>
      <c r="JB35" s="1245"/>
      <c r="JC35" s="1243"/>
      <c r="JD35" s="1243"/>
      <c r="JE35" s="1244"/>
      <c r="JF35" s="1245"/>
      <c r="JG35" s="1243"/>
      <c r="JH35" s="1243"/>
      <c r="JI35" s="1243"/>
      <c r="JJ35" s="1246"/>
      <c r="JK35" s="1243">
        <v>1</v>
      </c>
      <c r="JL35" s="1172">
        <f t="shared" ca="1" si="95"/>
        <v>1</v>
      </c>
    </row>
    <row r="36" spans="1:272" ht="12.6" customHeight="1" x14ac:dyDescent="0.25">
      <c r="A36" s="2683" t="str">
        <f t="shared" si="0"/>
        <v>G66</v>
      </c>
      <c r="B36" s="2684">
        <f t="shared" si="0"/>
        <v>1</v>
      </c>
      <c r="C36" s="2685" t="s">
        <v>1743</v>
      </c>
      <c r="D36" s="2686">
        <f t="shared" si="1"/>
        <v>55</v>
      </c>
      <c r="E36" s="2687">
        <f t="shared" si="2"/>
        <v>11.5</v>
      </c>
      <c r="F36" s="2688">
        <f t="shared" si="3"/>
        <v>11.125</v>
      </c>
      <c r="G36" s="2689">
        <f t="shared" si="4"/>
        <v>0</v>
      </c>
      <c r="H36" s="2690">
        <f t="shared" si="5"/>
        <v>2.75</v>
      </c>
      <c r="I36" s="2691" t="str">
        <f t="shared" si="6"/>
        <v>R</v>
      </c>
      <c r="J36" s="2686">
        <f t="shared" si="7"/>
        <v>0</v>
      </c>
      <c r="K36" s="2690">
        <f t="shared" si="8"/>
        <v>2.75</v>
      </c>
      <c r="L36" s="2692" t="str">
        <f t="shared" si="9"/>
        <v>R</v>
      </c>
      <c r="M36" s="2693">
        <f t="shared" si="10"/>
        <v>7.5</v>
      </c>
      <c r="N36" s="2694">
        <f t="shared" si="10"/>
        <v>7.5</v>
      </c>
      <c r="O36" s="2689">
        <f t="shared" si="11"/>
        <v>0</v>
      </c>
      <c r="P36" s="2690">
        <f t="shared" si="12"/>
        <v>7.75</v>
      </c>
      <c r="Q36" s="2686">
        <f t="shared" si="13"/>
        <v>0</v>
      </c>
      <c r="R36" s="2687">
        <f t="shared" si="14"/>
        <v>7.75</v>
      </c>
      <c r="S36" s="2695">
        <f t="shared" si="15"/>
        <v>0</v>
      </c>
      <c r="T36" s="2690">
        <f t="shared" si="16"/>
        <v>7.25</v>
      </c>
      <c r="U36" s="2686">
        <f t="shared" si="17"/>
        <v>0</v>
      </c>
      <c r="V36" s="2690">
        <f t="shared" si="18"/>
        <v>7.25</v>
      </c>
      <c r="W36" s="2694">
        <f t="shared" si="19"/>
        <v>5</v>
      </c>
      <c r="X36" s="2696" t="str">
        <f t="shared" si="20"/>
        <v/>
      </c>
      <c r="Y36" s="2697" t="str">
        <f t="shared" si="21"/>
        <v/>
      </c>
      <c r="Z36" s="2698" t="s">
        <v>1929</v>
      </c>
      <c r="AA36" s="2758" t="str">
        <f t="shared" si="22"/>
        <v/>
      </c>
      <c r="AB36" s="2683" t="str">
        <f t="shared" si="23"/>
        <v>G66</v>
      </c>
      <c r="AC36" s="2691" t="str">
        <f t="shared" si="24"/>
        <v>B</v>
      </c>
      <c r="AD36" s="2686">
        <f t="shared" ca="1" si="25"/>
        <v>7</v>
      </c>
      <c r="AE36" s="2690">
        <f t="shared" ca="1" si="26"/>
        <v>9</v>
      </c>
      <c r="AF36" s="2691">
        <f t="shared" ca="1" si="27"/>
        <v>5</v>
      </c>
      <c r="AG36" s="2686">
        <f t="shared" ca="1" si="28"/>
        <v>8</v>
      </c>
      <c r="AH36" s="2690">
        <f t="shared" ca="1" si="29"/>
        <v>0</v>
      </c>
      <c r="AI36" s="2686">
        <f t="shared" ca="1" si="30"/>
        <v>7</v>
      </c>
      <c r="AJ36" s="2690">
        <f t="shared" ca="1" si="31"/>
        <v>9</v>
      </c>
      <c r="AK36" s="2732" t="str">
        <f t="shared" si="32"/>
        <v/>
      </c>
      <c r="AL36" s="2733" t="str">
        <f t="shared" si="33"/>
        <v/>
      </c>
      <c r="AM36" s="2734">
        <f t="shared" si="32"/>
        <v>5</v>
      </c>
      <c r="AN36" s="2691">
        <f t="shared" si="32"/>
        <v>13</v>
      </c>
      <c r="AO36" s="2694">
        <f t="shared" si="32"/>
        <v>4</v>
      </c>
      <c r="AP36" s="2693">
        <f t="shared" si="34"/>
        <v>1.75</v>
      </c>
      <c r="AQ36" s="2736">
        <f t="shared" si="34"/>
        <v>1.75</v>
      </c>
      <c r="AR36" s="2689">
        <f t="shared" si="35"/>
        <v>1</v>
      </c>
      <c r="AS36" s="2690">
        <f t="shared" si="36"/>
        <v>0</v>
      </c>
      <c r="AT36" s="2737" t="str">
        <f t="shared" si="37"/>
        <v/>
      </c>
      <c r="AU36" s="2738" t="str">
        <f t="shared" si="38"/>
        <v>B</v>
      </c>
      <c r="AV36" s="2695">
        <f t="shared" si="39"/>
        <v>55</v>
      </c>
      <c r="AW36" s="2690">
        <f t="shared" si="40"/>
        <v>0</v>
      </c>
      <c r="AX36" s="2737" t="str">
        <f t="shared" si="41"/>
        <v/>
      </c>
      <c r="AY36" s="2738" t="str">
        <f t="shared" si="42"/>
        <v>B</v>
      </c>
      <c r="AZ36" s="2695" t="str">
        <f t="shared" si="43"/>
        <v/>
      </c>
      <c r="BA36" s="2690" t="str">
        <f t="shared" si="44"/>
        <v/>
      </c>
      <c r="BB36" s="2737" t="str">
        <f t="shared" si="45"/>
        <v/>
      </c>
      <c r="BC36" s="2738" t="str">
        <f t="shared" si="46"/>
        <v/>
      </c>
      <c r="BD36" s="2695" t="str">
        <f t="shared" si="47"/>
        <v/>
      </c>
      <c r="BE36" s="2690" t="str">
        <f t="shared" si="48"/>
        <v/>
      </c>
      <c r="BF36" s="2737" t="str">
        <f t="shared" si="49"/>
        <v/>
      </c>
      <c r="BG36" s="2738" t="str">
        <f t="shared" si="50"/>
        <v/>
      </c>
      <c r="BH36" s="1417"/>
      <c r="BJ36" s="995" t="str">
        <f t="shared" si="93"/>
        <v>G66</v>
      </c>
      <c r="BK36" s="993" t="b">
        <f t="shared" si="51"/>
        <v>0</v>
      </c>
      <c r="BL36" s="1784" t="b">
        <v>0</v>
      </c>
      <c r="BM36" s="989">
        <f t="shared" si="52"/>
        <v>60</v>
      </c>
      <c r="BN36" s="989" t="str">
        <f t="shared" si="53"/>
        <v>G</v>
      </c>
      <c r="BO36" s="989">
        <f t="shared" si="54"/>
        <v>7</v>
      </c>
      <c r="BP36" s="989" t="str">
        <f t="shared" si="55"/>
        <v>13/6</v>
      </c>
      <c r="BQ36" s="989">
        <f t="shared" si="56"/>
        <v>2.4</v>
      </c>
      <c r="BR36" s="989" t="b">
        <f t="shared" si="57"/>
        <v>1</v>
      </c>
      <c r="BS36" s="1303">
        <f t="shared" si="58"/>
        <v>8.75</v>
      </c>
      <c r="BT36" s="990" t="str">
        <f t="shared" si="59"/>
        <v>Yes</v>
      </c>
      <c r="BU36" s="1303">
        <f t="shared" si="60"/>
        <v>8.75</v>
      </c>
      <c r="BV36" s="990" t="str">
        <f t="shared" si="61"/>
        <v>Yes</v>
      </c>
      <c r="BW36" s="991">
        <f t="shared" ca="1" si="62"/>
        <v>20</v>
      </c>
      <c r="BX36" s="991" t="str">
        <f t="shared" ca="1" si="63"/>
        <v>G66</v>
      </c>
      <c r="BY36" s="991" t="b">
        <f t="shared" ca="1" si="64"/>
        <v>0</v>
      </c>
      <c r="BZ36" s="991" t="b">
        <f t="shared" si="86"/>
        <v>0</v>
      </c>
      <c r="CB36" s="672" t="s">
        <v>1462</v>
      </c>
      <c r="CC36" s="1685">
        <v>1</v>
      </c>
      <c r="CD36" s="699" t="s">
        <v>1743</v>
      </c>
      <c r="CE36" s="700">
        <v>56</v>
      </c>
      <c r="CF36" s="701">
        <v>0</v>
      </c>
      <c r="CG36" s="672">
        <v>7</v>
      </c>
      <c r="CH36" s="713"/>
      <c r="CI36" s="714"/>
      <c r="CJ36" s="713"/>
      <c r="CK36" s="714"/>
      <c r="CL36" s="715"/>
      <c r="CM36" s="743"/>
      <c r="CN36" s="738"/>
      <c r="CO36" s="1552"/>
      <c r="CP36" s="910"/>
      <c r="CQ36" s="672">
        <v>7</v>
      </c>
      <c r="CR36" s="713"/>
      <c r="CS36" s="714"/>
      <c r="CT36" s="713"/>
      <c r="CU36" s="714"/>
      <c r="CV36" s="715"/>
      <c r="CW36" s="743"/>
      <c r="CX36" s="738"/>
      <c r="CY36" s="1552"/>
      <c r="CZ36" s="910"/>
      <c r="DA36" s="717"/>
      <c r="DB36" s="702" t="s">
        <v>1747</v>
      </c>
      <c r="DC36" s="703" t="s">
        <v>34</v>
      </c>
      <c r="DD36" s="725"/>
      <c r="DE36" s="726">
        <v>11.125</v>
      </c>
      <c r="DF36" s="141"/>
      <c r="DG36" s="141"/>
      <c r="DH36" s="672" t="s">
        <v>1462</v>
      </c>
      <c r="DI36" s="673" t="s">
        <v>35</v>
      </c>
      <c r="DJ36" s="692">
        <v>8</v>
      </c>
      <c r="DK36" s="1332">
        <v>0</v>
      </c>
      <c r="DL36" s="674">
        <v>5</v>
      </c>
      <c r="DM36" s="693">
        <v>8</v>
      </c>
      <c r="DN36" s="1335">
        <v>0</v>
      </c>
      <c r="DO36" s="675"/>
      <c r="DP36" s="676"/>
      <c r="DQ36" s="1420">
        <v>5</v>
      </c>
      <c r="DR36" s="677">
        <v>13</v>
      </c>
      <c r="DS36" s="1420">
        <v>4</v>
      </c>
      <c r="DT36" s="1422">
        <v>2</v>
      </c>
      <c r="DU36" s="1423">
        <v>2</v>
      </c>
      <c r="DV36" s="2661">
        <v>1</v>
      </c>
      <c r="DW36" s="2664">
        <v>0.25</v>
      </c>
      <c r="DX36" s="679"/>
      <c r="DY36" s="2665" t="s">
        <v>35</v>
      </c>
      <c r="DZ36" s="2661">
        <v>55</v>
      </c>
      <c r="EA36" s="2664">
        <v>0.25</v>
      </c>
      <c r="EB36" s="679"/>
      <c r="EC36" s="2665" t="s">
        <v>35</v>
      </c>
      <c r="ED36" s="678"/>
      <c r="EE36" s="1337"/>
      <c r="EF36" s="679"/>
      <c r="EG36" s="674"/>
      <c r="EH36" s="678"/>
      <c r="EI36" s="1337"/>
      <c r="EJ36" s="679"/>
      <c r="EK36" s="680"/>
      <c r="EL36" s="241"/>
      <c r="EM36" s="1632" t="str">
        <f t="shared" si="65"/>
        <v>G66</v>
      </c>
      <c r="EN36" s="1429" t="str">
        <f t="shared" si="66"/>
        <v/>
      </c>
      <c r="EO36" s="1430" t="str">
        <f t="shared" si="67"/>
        <v/>
      </c>
      <c r="EP36" s="1431" t="str">
        <f t="shared" si="68"/>
        <v/>
      </c>
      <c r="EQ36" s="1435" t="str">
        <f t="shared" si="69"/>
        <v/>
      </c>
      <c r="ER36" s="1441" t="str">
        <f t="shared" si="70"/>
        <v/>
      </c>
      <c r="ES36" s="1442" t="str">
        <f t="shared" si="71"/>
        <v/>
      </c>
      <c r="ET36" s="1443" t="str">
        <f t="shared" si="72"/>
        <v/>
      </c>
      <c r="EU36" s="1444" t="str">
        <f t="shared" si="87"/>
        <v/>
      </c>
      <c r="EX36" s="503" t="str">
        <f t="shared" ca="1" si="88"/>
        <v>G66B</v>
      </c>
      <c r="EY36" s="940" t="b">
        <f t="shared" ca="1" si="73"/>
        <v>1</v>
      </c>
      <c r="EZ36" s="940">
        <f t="shared" ca="1" si="89"/>
        <v>5</v>
      </c>
      <c r="FA36" s="958" t="b">
        <f t="shared" ca="1" si="94"/>
        <v>1</v>
      </c>
      <c r="FB36" s="134">
        <f t="shared" ca="1" si="90"/>
        <v>666</v>
      </c>
      <c r="FC36" s="134">
        <f t="shared" ca="1" si="74"/>
        <v>93</v>
      </c>
      <c r="FD36" s="134">
        <f t="shared" ca="1" si="75"/>
        <v>480</v>
      </c>
      <c r="FE36" s="134">
        <f t="shared" ca="1" si="76"/>
        <v>93</v>
      </c>
      <c r="FF36" s="134">
        <f t="shared" ca="1" si="91"/>
        <v>666</v>
      </c>
      <c r="FN36" s="754" t="b">
        <v>0</v>
      </c>
      <c r="FO36" s="754" t="b">
        <f t="shared" si="77"/>
        <v>1</v>
      </c>
      <c r="FP36" s="754" t="b">
        <v>0</v>
      </c>
      <c r="FQ36" s="754" t="b">
        <f t="shared" si="92"/>
        <v>1</v>
      </c>
      <c r="FW36" s="2"/>
      <c r="FX36" s="2"/>
      <c r="FZ36" s="2"/>
      <c r="GA36" s="581">
        <f t="shared" si="78"/>
        <v>56</v>
      </c>
      <c r="GB36" s="623">
        <f t="shared" si="79"/>
        <v>0</v>
      </c>
      <c r="GC36" s="625">
        <f t="shared" si="80"/>
        <v>-0.25</v>
      </c>
      <c r="GD36" s="626">
        <f t="shared" si="81"/>
        <v>-0.25</v>
      </c>
      <c r="GE36" s="624">
        <f t="shared" si="82"/>
        <v>0</v>
      </c>
      <c r="GF36" s="582" t="str">
        <f t="shared" si="83"/>
        <v>G66</v>
      </c>
      <c r="GG36" s="692">
        <v>0</v>
      </c>
      <c r="GH36" s="1136">
        <v>0</v>
      </c>
      <c r="GI36" s="692"/>
      <c r="GJ36" s="1136"/>
      <c r="GK36" s="1641">
        <f t="shared" si="84"/>
        <v>671.5</v>
      </c>
      <c r="GL36" s="1641">
        <f t="shared" si="85"/>
        <v>671.5</v>
      </c>
      <c r="GM36" s="1642">
        <f>IF(ABS(GK36-GL36)&gt;='Job Info.'!$L$22,ABS(GK36-GL36),0)</f>
        <v>0</v>
      </c>
      <c r="HA36" s="1242" t="s">
        <v>1462</v>
      </c>
      <c r="HB36" s="1243">
        <v>1</v>
      </c>
      <c r="HC36" s="1243" t="s">
        <v>1743</v>
      </c>
      <c r="HD36" s="1244">
        <v>56</v>
      </c>
      <c r="HE36" s="1245">
        <v>0</v>
      </c>
      <c r="HF36" s="1243">
        <v>7</v>
      </c>
      <c r="HG36" s="1243"/>
      <c r="HH36" s="1243"/>
      <c r="HI36" s="1243"/>
      <c r="HJ36" s="1243"/>
      <c r="HK36" s="1243"/>
      <c r="HL36" s="1243"/>
      <c r="HM36" s="1243"/>
      <c r="HN36" s="1243"/>
      <c r="HO36" s="1243"/>
      <c r="HP36" s="1243">
        <v>7</v>
      </c>
      <c r="HQ36" s="1243"/>
      <c r="HR36" s="1243"/>
      <c r="HS36" s="1243"/>
      <c r="HT36" s="1243"/>
      <c r="HU36" s="1243"/>
      <c r="HV36" s="1243"/>
      <c r="HW36" s="1243"/>
      <c r="HX36" s="1243"/>
      <c r="HY36" s="1247"/>
      <c r="HZ36" s="1247"/>
      <c r="IA36" s="1247" t="s">
        <v>1747</v>
      </c>
      <c r="IB36" s="1247" t="s">
        <v>34</v>
      </c>
      <c r="IC36" s="1247"/>
      <c r="ID36" s="1262">
        <v>11.125</v>
      </c>
      <c r="IE36" s="1242" t="s">
        <v>1462</v>
      </c>
      <c r="IF36" s="1243" t="s">
        <v>35</v>
      </c>
      <c r="IG36" s="1244">
        <v>8</v>
      </c>
      <c r="IH36" s="1245">
        <v>0</v>
      </c>
      <c r="II36" s="1243">
        <v>5</v>
      </c>
      <c r="IJ36" s="1244">
        <v>8</v>
      </c>
      <c r="IK36" s="1245">
        <v>0</v>
      </c>
      <c r="IL36" s="1243"/>
      <c r="IM36" s="1243"/>
      <c r="IN36" s="1243">
        <v>5</v>
      </c>
      <c r="IO36" s="1243">
        <v>13</v>
      </c>
      <c r="IP36" s="1243">
        <v>4</v>
      </c>
      <c r="IQ36" s="1243">
        <v>2</v>
      </c>
      <c r="IR36" s="1243">
        <v>2</v>
      </c>
      <c r="IS36" s="1244"/>
      <c r="IT36" s="1245"/>
      <c r="IU36" s="1243"/>
      <c r="IV36" s="1243"/>
      <c r="IW36" s="1244"/>
      <c r="IX36" s="1245"/>
      <c r="IY36" s="1243"/>
      <c r="IZ36" s="1243"/>
      <c r="JA36" s="1244"/>
      <c r="JB36" s="1245"/>
      <c r="JC36" s="1243"/>
      <c r="JD36" s="1243"/>
      <c r="JE36" s="1244"/>
      <c r="JF36" s="1245"/>
      <c r="JG36" s="1243"/>
      <c r="JH36" s="1243"/>
      <c r="JI36" s="1243"/>
      <c r="JJ36" s="1246"/>
      <c r="JK36" s="1243">
        <v>1</v>
      </c>
      <c r="JL36" s="1172">
        <f t="shared" ca="1" si="95"/>
        <v>1</v>
      </c>
    </row>
    <row r="37" spans="1:272" ht="12.6" customHeight="1" x14ac:dyDescent="0.25">
      <c r="A37" s="2683" t="str">
        <f t="shared" si="0"/>
        <v>G67</v>
      </c>
      <c r="B37" s="2684">
        <f t="shared" si="0"/>
        <v>1</v>
      </c>
      <c r="C37" s="2685" t="s">
        <v>1741</v>
      </c>
      <c r="D37" s="2686">
        <f t="shared" si="1"/>
        <v>59</v>
      </c>
      <c r="E37" s="2687">
        <f t="shared" si="2"/>
        <v>11.5</v>
      </c>
      <c r="F37" s="2688">
        <f t="shared" si="3"/>
        <v>11.125</v>
      </c>
      <c r="G37" s="2689">
        <f t="shared" si="4"/>
        <v>0</v>
      </c>
      <c r="H37" s="2690">
        <f t="shared" si="5"/>
        <v>2.75</v>
      </c>
      <c r="I37" s="2691" t="str">
        <f t="shared" si="6"/>
        <v>R</v>
      </c>
      <c r="J37" s="2686">
        <f t="shared" si="7"/>
        <v>0</v>
      </c>
      <c r="K37" s="2690">
        <f t="shared" si="8"/>
        <v>2.75</v>
      </c>
      <c r="L37" s="2692" t="str">
        <f t="shared" si="9"/>
        <v>R</v>
      </c>
      <c r="M37" s="2693">
        <f t="shared" si="10"/>
        <v>7.5</v>
      </c>
      <c r="N37" s="2694">
        <f t="shared" si="10"/>
        <v>7.5</v>
      </c>
      <c r="O37" s="2689">
        <f t="shared" si="11"/>
        <v>0</v>
      </c>
      <c r="P37" s="2690">
        <f t="shared" si="12"/>
        <v>7.75</v>
      </c>
      <c r="Q37" s="2686">
        <f t="shared" si="13"/>
        <v>0</v>
      </c>
      <c r="R37" s="2687">
        <f t="shared" si="14"/>
        <v>7.75</v>
      </c>
      <c r="S37" s="2695">
        <f t="shared" si="15"/>
        <v>0</v>
      </c>
      <c r="T37" s="2690">
        <f t="shared" si="16"/>
        <v>7.25</v>
      </c>
      <c r="U37" s="2686">
        <f t="shared" si="17"/>
        <v>0</v>
      </c>
      <c r="V37" s="2690">
        <f t="shared" si="18"/>
        <v>7.25</v>
      </c>
      <c r="W37" s="2694">
        <f t="shared" si="19"/>
        <v>5</v>
      </c>
      <c r="X37" s="2696" t="str">
        <f t="shared" si="20"/>
        <v/>
      </c>
      <c r="Y37" s="2697" t="str">
        <f t="shared" si="21"/>
        <v/>
      </c>
      <c r="Z37" s="2698" t="s">
        <v>1930</v>
      </c>
      <c r="AA37" s="2758" t="str">
        <f t="shared" si="22"/>
        <v/>
      </c>
      <c r="AB37" s="2683" t="str">
        <f t="shared" si="23"/>
        <v>G67</v>
      </c>
      <c r="AC37" s="2691" t="str">
        <f t="shared" si="24"/>
        <v>B</v>
      </c>
      <c r="AD37" s="2686">
        <f t="shared" ca="1" si="25"/>
        <v>7</v>
      </c>
      <c r="AE37" s="2690">
        <f t="shared" ca="1" si="26"/>
        <v>9</v>
      </c>
      <c r="AF37" s="2691">
        <f t="shared" ca="1" si="27"/>
        <v>6</v>
      </c>
      <c r="AG37" s="2686">
        <f t="shared" ca="1" si="28"/>
        <v>8</v>
      </c>
      <c r="AH37" s="2690">
        <f t="shared" ca="1" si="29"/>
        <v>0</v>
      </c>
      <c r="AI37" s="2686">
        <f t="shared" ca="1" si="30"/>
        <v>3</v>
      </c>
      <c r="AJ37" s="2690">
        <f t="shared" ca="1" si="31"/>
        <v>9</v>
      </c>
      <c r="AK37" s="2732" t="str">
        <f t="shared" si="32"/>
        <v/>
      </c>
      <c r="AL37" s="2733" t="str">
        <f t="shared" si="33"/>
        <v/>
      </c>
      <c r="AM37" s="2734">
        <f t="shared" si="32"/>
        <v>5</v>
      </c>
      <c r="AN37" s="2691">
        <f t="shared" si="32"/>
        <v>13</v>
      </c>
      <c r="AO37" s="2694">
        <f t="shared" si="32"/>
        <v>4</v>
      </c>
      <c r="AP37" s="2693">
        <f t="shared" si="34"/>
        <v>1.75</v>
      </c>
      <c r="AQ37" s="2736" t="str">
        <f t="shared" si="34"/>
        <v/>
      </c>
      <c r="AR37" s="2689" t="str">
        <f t="shared" si="35"/>
        <v>P</v>
      </c>
      <c r="AS37" s="2690" t="str">
        <f t="shared" si="36"/>
        <v>#7</v>
      </c>
      <c r="AT37" s="2737" t="str">
        <f t="shared" si="37"/>
        <v/>
      </c>
      <c r="AU37" s="2738" t="str">
        <f t="shared" si="38"/>
        <v>B</v>
      </c>
      <c r="AV37" s="2695">
        <f t="shared" si="39"/>
        <v>1</v>
      </c>
      <c r="AW37" s="2690">
        <f t="shared" si="40"/>
        <v>0</v>
      </c>
      <c r="AX37" s="2737" t="str">
        <f t="shared" si="41"/>
        <v/>
      </c>
      <c r="AY37" s="2738" t="str">
        <f t="shared" si="42"/>
        <v>B</v>
      </c>
      <c r="AZ37" s="2695" t="str">
        <f t="shared" si="43"/>
        <v/>
      </c>
      <c r="BA37" s="2690" t="str">
        <f t="shared" si="44"/>
        <v/>
      </c>
      <c r="BB37" s="2737" t="str">
        <f t="shared" si="45"/>
        <v/>
      </c>
      <c r="BC37" s="2738" t="str">
        <f t="shared" si="46"/>
        <v/>
      </c>
      <c r="BD37" s="2695" t="str">
        <f t="shared" si="47"/>
        <v/>
      </c>
      <c r="BE37" s="2690" t="str">
        <f t="shared" si="48"/>
        <v/>
      </c>
      <c r="BF37" s="2737" t="str">
        <f t="shared" si="49"/>
        <v/>
      </c>
      <c r="BG37" s="2738" t="str">
        <f t="shared" si="50"/>
        <v/>
      </c>
      <c r="BH37" s="1417"/>
      <c r="BJ37" s="995" t="str">
        <f t="shared" si="93"/>
        <v>G67</v>
      </c>
      <c r="BK37" s="993" t="b">
        <f t="shared" si="51"/>
        <v>0</v>
      </c>
      <c r="BL37" s="1784" t="b">
        <v>0</v>
      </c>
      <c r="BM37" s="989">
        <f t="shared" si="52"/>
        <v>60</v>
      </c>
      <c r="BN37" s="989" t="str">
        <f t="shared" si="53"/>
        <v>G</v>
      </c>
      <c r="BO37" s="989">
        <f t="shared" si="54"/>
        <v>8</v>
      </c>
      <c r="BP37" s="989" t="str">
        <f t="shared" si="55"/>
        <v>13/6</v>
      </c>
      <c r="BQ37" s="989">
        <f t="shared" si="56"/>
        <v>2.4</v>
      </c>
      <c r="BR37" s="989" t="b">
        <f t="shared" si="57"/>
        <v>1</v>
      </c>
      <c r="BS37" s="1303">
        <f t="shared" si="58"/>
        <v>8.75</v>
      </c>
      <c r="BT37" s="990" t="str">
        <f t="shared" si="59"/>
        <v>Yes</v>
      </c>
      <c r="BU37" s="1303">
        <f t="shared" si="60"/>
        <v>8.75</v>
      </c>
      <c r="BV37" s="990" t="str">
        <f t="shared" si="61"/>
        <v>Yes</v>
      </c>
      <c r="BW37" s="991">
        <f t="shared" ca="1" si="62"/>
        <v>19</v>
      </c>
      <c r="BX37" s="991" t="str">
        <f t="shared" ca="1" si="63"/>
        <v>G67</v>
      </c>
      <c r="BY37" s="991" t="b">
        <f t="shared" ca="1" si="64"/>
        <v>0</v>
      </c>
      <c r="BZ37" s="991" t="b">
        <f t="shared" si="86"/>
        <v>0</v>
      </c>
      <c r="CB37" s="672" t="s">
        <v>1463</v>
      </c>
      <c r="CC37" s="1685">
        <v>1</v>
      </c>
      <c r="CD37" s="699" t="s">
        <v>1741</v>
      </c>
      <c r="CE37" s="700">
        <v>60</v>
      </c>
      <c r="CF37" s="701">
        <v>0</v>
      </c>
      <c r="CG37" s="672">
        <v>7</v>
      </c>
      <c r="CH37" s="713"/>
      <c r="CI37" s="714"/>
      <c r="CJ37" s="713"/>
      <c r="CK37" s="714"/>
      <c r="CL37" s="715"/>
      <c r="CM37" s="743"/>
      <c r="CN37" s="738"/>
      <c r="CO37" s="1552"/>
      <c r="CP37" s="910"/>
      <c r="CQ37" s="672">
        <v>7</v>
      </c>
      <c r="CR37" s="713"/>
      <c r="CS37" s="714"/>
      <c r="CT37" s="713"/>
      <c r="CU37" s="714"/>
      <c r="CV37" s="715"/>
      <c r="CW37" s="743"/>
      <c r="CX37" s="738"/>
      <c r="CY37" s="1552"/>
      <c r="CZ37" s="910"/>
      <c r="DA37" s="717"/>
      <c r="DB37" s="702">
        <v>11</v>
      </c>
      <c r="DC37" s="703"/>
      <c r="DD37" s="725"/>
      <c r="DE37" s="726">
        <v>11.125</v>
      </c>
      <c r="DF37" s="141"/>
      <c r="DG37" s="141"/>
      <c r="DH37" s="672" t="s">
        <v>1463</v>
      </c>
      <c r="DI37" s="673" t="s">
        <v>35</v>
      </c>
      <c r="DJ37" s="692">
        <v>8</v>
      </c>
      <c r="DK37" s="1332">
        <v>0</v>
      </c>
      <c r="DL37" s="674">
        <v>6</v>
      </c>
      <c r="DM37" s="693">
        <v>8</v>
      </c>
      <c r="DN37" s="1335">
        <v>0</v>
      </c>
      <c r="DO37" s="675"/>
      <c r="DP37" s="676"/>
      <c r="DQ37" s="1420">
        <v>5</v>
      </c>
      <c r="DR37" s="677">
        <v>13</v>
      </c>
      <c r="DS37" s="1420">
        <v>4</v>
      </c>
      <c r="DT37" s="1422">
        <v>2</v>
      </c>
      <c r="DU37" s="1423"/>
      <c r="DV37" s="678" t="s">
        <v>1018</v>
      </c>
      <c r="DW37" s="1337" t="s">
        <v>1739</v>
      </c>
      <c r="DX37" s="679"/>
      <c r="DY37" s="674" t="s">
        <v>35</v>
      </c>
      <c r="DZ37" s="2661">
        <v>1</v>
      </c>
      <c r="EA37" s="2664">
        <v>0.25</v>
      </c>
      <c r="EB37" s="679"/>
      <c r="EC37" s="2665" t="s">
        <v>35</v>
      </c>
      <c r="ED37" s="678"/>
      <c r="EE37" s="1337"/>
      <c r="EF37" s="679"/>
      <c r="EG37" s="674"/>
      <c r="EH37" s="678"/>
      <c r="EI37" s="1337"/>
      <c r="EJ37" s="679"/>
      <c r="EK37" s="680"/>
      <c r="EL37" s="241"/>
      <c r="EM37" s="1632" t="str">
        <f t="shared" si="65"/>
        <v>G67</v>
      </c>
      <c r="EN37" s="1429" t="str">
        <f t="shared" si="66"/>
        <v/>
      </c>
      <c r="EO37" s="1430" t="str">
        <f t="shared" si="67"/>
        <v/>
      </c>
      <c r="EP37" s="1431" t="str">
        <f t="shared" si="68"/>
        <v/>
      </c>
      <c r="EQ37" s="1435" t="str">
        <f t="shared" si="69"/>
        <v/>
      </c>
      <c r="ER37" s="1441" t="str">
        <f t="shared" si="70"/>
        <v/>
      </c>
      <c r="ES37" s="1442" t="str">
        <f t="shared" si="71"/>
        <v/>
      </c>
      <c r="ET37" s="1443" t="str">
        <f t="shared" si="72"/>
        <v/>
      </c>
      <c r="EU37" s="1444" t="str">
        <f t="shared" si="87"/>
        <v/>
      </c>
      <c r="EX37" s="503" t="str">
        <f t="shared" ca="1" si="88"/>
        <v>G67B</v>
      </c>
      <c r="EY37" s="940" t="b">
        <f t="shared" ca="1" si="73"/>
        <v>1</v>
      </c>
      <c r="EZ37" s="940">
        <f t="shared" ca="1" si="89"/>
        <v>5</v>
      </c>
      <c r="FA37" s="958" t="b">
        <f t="shared" ca="1" si="94"/>
        <v>1</v>
      </c>
      <c r="FB37" s="134">
        <f t="shared" ca="1" si="90"/>
        <v>714</v>
      </c>
      <c r="FC37" s="134">
        <f t="shared" ca="1" si="74"/>
        <v>93</v>
      </c>
      <c r="FD37" s="134">
        <f t="shared" ca="1" si="75"/>
        <v>576</v>
      </c>
      <c r="FE37" s="134">
        <f t="shared" ca="1" si="76"/>
        <v>45</v>
      </c>
      <c r="FF37" s="134">
        <f t="shared" ca="1" si="91"/>
        <v>714</v>
      </c>
      <c r="FN37" s="754" t="b">
        <v>0</v>
      </c>
      <c r="FO37" s="754" t="b">
        <f t="shared" si="77"/>
        <v>1</v>
      </c>
      <c r="FP37" s="754" t="b">
        <v>0</v>
      </c>
      <c r="FQ37" s="754" t="b">
        <f t="shared" si="92"/>
        <v>1</v>
      </c>
      <c r="FW37" s="2"/>
      <c r="FX37" s="2"/>
      <c r="FZ37" s="2"/>
      <c r="GA37" s="581">
        <f t="shared" si="78"/>
        <v>60</v>
      </c>
      <c r="GB37" s="623">
        <f t="shared" si="79"/>
        <v>0</v>
      </c>
      <c r="GC37" s="625">
        <f t="shared" si="80"/>
        <v>-0.25</v>
      </c>
      <c r="GD37" s="626">
        <f t="shared" si="81"/>
        <v>-0.25</v>
      </c>
      <c r="GE37" s="624">
        <f t="shared" si="82"/>
        <v>0</v>
      </c>
      <c r="GF37" s="582" t="str">
        <f t="shared" si="83"/>
        <v>G67</v>
      </c>
      <c r="GG37" s="692">
        <v>0</v>
      </c>
      <c r="GH37" s="1136">
        <v>0</v>
      </c>
      <c r="GI37" s="692"/>
      <c r="GJ37" s="1136"/>
      <c r="GK37" s="1641">
        <f t="shared" si="84"/>
        <v>719.5</v>
      </c>
      <c r="GL37" s="1641">
        <f t="shared" si="85"/>
        <v>719.5</v>
      </c>
      <c r="GM37" s="1642">
        <f>IF(ABS(GK37-GL37)&gt;='Job Info.'!$L$22,ABS(GK37-GL37),0)</f>
        <v>0</v>
      </c>
      <c r="HA37" s="1242" t="s">
        <v>1463</v>
      </c>
      <c r="HB37" s="1243">
        <v>1</v>
      </c>
      <c r="HC37" s="1243" t="s">
        <v>1741</v>
      </c>
      <c r="HD37" s="1244">
        <v>60</v>
      </c>
      <c r="HE37" s="1245">
        <v>0</v>
      </c>
      <c r="HF37" s="1243">
        <v>7</v>
      </c>
      <c r="HG37" s="1243"/>
      <c r="HH37" s="1243"/>
      <c r="HI37" s="1243"/>
      <c r="HJ37" s="1243"/>
      <c r="HK37" s="1243"/>
      <c r="HL37" s="1243"/>
      <c r="HM37" s="1243"/>
      <c r="HN37" s="1243"/>
      <c r="HO37" s="1243"/>
      <c r="HP37" s="1243">
        <v>7</v>
      </c>
      <c r="HQ37" s="1243"/>
      <c r="HR37" s="1243"/>
      <c r="HS37" s="1243"/>
      <c r="HT37" s="1243"/>
      <c r="HU37" s="1243"/>
      <c r="HV37" s="1243"/>
      <c r="HW37" s="1243"/>
      <c r="HX37" s="1243"/>
      <c r="HY37" s="1247"/>
      <c r="HZ37" s="1247"/>
      <c r="IA37" s="1247">
        <v>11</v>
      </c>
      <c r="IB37" s="1247"/>
      <c r="IC37" s="1247"/>
      <c r="ID37" s="1262">
        <v>11.125</v>
      </c>
      <c r="IE37" s="1242" t="s">
        <v>1463</v>
      </c>
      <c r="IF37" s="1243" t="s">
        <v>35</v>
      </c>
      <c r="IG37" s="1244">
        <v>8</v>
      </c>
      <c r="IH37" s="1245">
        <v>0</v>
      </c>
      <c r="II37" s="1243">
        <v>6</v>
      </c>
      <c r="IJ37" s="1244">
        <v>8</v>
      </c>
      <c r="IK37" s="1245">
        <v>0</v>
      </c>
      <c r="IL37" s="1243"/>
      <c r="IM37" s="1243"/>
      <c r="IN37" s="1243">
        <v>5</v>
      </c>
      <c r="IO37" s="1243">
        <v>13</v>
      </c>
      <c r="IP37" s="1243">
        <v>4</v>
      </c>
      <c r="IQ37" s="1243">
        <v>2</v>
      </c>
      <c r="IR37" s="1243"/>
      <c r="IS37" s="1244" t="s">
        <v>1018</v>
      </c>
      <c r="IT37" s="1245" t="s">
        <v>1739</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5"/>
        <v>1</v>
      </c>
    </row>
    <row r="38" spans="1:272" ht="12.6" customHeight="1" x14ac:dyDescent="0.25">
      <c r="A38" s="2683" t="str">
        <f t="shared" si="0"/>
        <v>G68</v>
      </c>
      <c r="B38" s="2684">
        <f t="shared" si="0"/>
        <v>2</v>
      </c>
      <c r="C38" s="2685" t="s">
        <v>1748</v>
      </c>
      <c r="D38" s="2686">
        <f t="shared" si="1"/>
        <v>59</v>
      </c>
      <c r="E38" s="2687">
        <f t="shared" si="2"/>
        <v>1</v>
      </c>
      <c r="F38" s="2688">
        <f t="shared" si="3"/>
        <v>11.125</v>
      </c>
      <c r="G38" s="2689">
        <f t="shared" si="4"/>
        <v>0</v>
      </c>
      <c r="H38" s="2690">
        <f t="shared" si="5"/>
        <v>2.75</v>
      </c>
      <c r="I38" s="2691" t="str">
        <f t="shared" si="6"/>
        <v>R</v>
      </c>
      <c r="J38" s="2686" t="str">
        <f t="shared" si="7"/>
        <v/>
      </c>
      <c r="K38" s="2690" t="str">
        <f t="shared" si="8"/>
        <v/>
      </c>
      <c r="L38" s="2692" t="str">
        <f t="shared" si="9"/>
        <v/>
      </c>
      <c r="M38" s="2693">
        <f t="shared" si="10"/>
        <v>7.5</v>
      </c>
      <c r="N38" s="2694">
        <f t="shared" si="10"/>
        <v>7.5</v>
      </c>
      <c r="O38" s="2689">
        <f t="shared" si="11"/>
        <v>0</v>
      </c>
      <c r="P38" s="2690">
        <f t="shared" si="12"/>
        <v>7.75</v>
      </c>
      <c r="Q38" s="2686">
        <f t="shared" si="13"/>
        <v>0</v>
      </c>
      <c r="R38" s="2687">
        <f t="shared" si="14"/>
        <v>1</v>
      </c>
      <c r="S38" s="2695">
        <f t="shared" si="15"/>
        <v>0</v>
      </c>
      <c r="T38" s="2690">
        <f t="shared" si="16"/>
        <v>7.25</v>
      </c>
      <c r="U38" s="2686">
        <f t="shared" si="17"/>
        <v>0</v>
      </c>
      <c r="V38" s="2690">
        <f t="shared" si="18"/>
        <v>3.5</v>
      </c>
      <c r="W38" s="2694">
        <f t="shared" si="19"/>
        <v>5</v>
      </c>
      <c r="X38" s="2696" t="str">
        <f t="shared" si="20"/>
        <v/>
      </c>
      <c r="Y38" s="2697" t="str">
        <f t="shared" si="21"/>
        <v/>
      </c>
      <c r="Z38" s="2698" t="s">
        <v>1931</v>
      </c>
      <c r="AA38" s="2758" t="str">
        <f t="shared" si="22"/>
        <v/>
      </c>
      <c r="AB38" s="2683" t="str">
        <f t="shared" si="23"/>
        <v>G68</v>
      </c>
      <c r="AC38" s="2691" t="str">
        <f t="shared" si="24"/>
        <v>B</v>
      </c>
      <c r="AD38" s="2686">
        <f t="shared" ca="1" si="25"/>
        <v>3</v>
      </c>
      <c r="AE38" s="2690">
        <f t="shared" ca="1" si="26"/>
        <v>9</v>
      </c>
      <c r="AF38" s="2691">
        <f t="shared" ca="1" si="27"/>
        <v>6</v>
      </c>
      <c r="AG38" s="2686">
        <f t="shared" ca="1" si="28"/>
        <v>8</v>
      </c>
      <c r="AH38" s="2690">
        <f t="shared" ca="1" si="29"/>
        <v>0</v>
      </c>
      <c r="AI38" s="2686">
        <f t="shared" ca="1" si="30"/>
        <v>7</v>
      </c>
      <c r="AJ38" s="2690">
        <f t="shared" ca="1" si="31"/>
        <v>1.25</v>
      </c>
      <c r="AK38" s="2732" t="str">
        <f t="shared" si="32"/>
        <v/>
      </c>
      <c r="AL38" s="2733" t="str">
        <f t="shared" si="33"/>
        <v/>
      </c>
      <c r="AM38" s="2734">
        <f t="shared" si="32"/>
        <v>5</v>
      </c>
      <c r="AN38" s="2691">
        <f t="shared" si="32"/>
        <v>13</v>
      </c>
      <c r="AO38" s="2694">
        <f t="shared" si="32"/>
        <v>4</v>
      </c>
      <c r="AP38" s="2693" t="str">
        <f t="shared" si="34"/>
        <v/>
      </c>
      <c r="AQ38" s="2736" t="str">
        <f t="shared" si="34"/>
        <v/>
      </c>
      <c r="AR38" s="2689" t="str">
        <f t="shared" si="35"/>
        <v>P</v>
      </c>
      <c r="AS38" s="2690" t="str">
        <f t="shared" si="36"/>
        <v>#1</v>
      </c>
      <c r="AT38" s="2737" t="str">
        <f t="shared" si="37"/>
        <v/>
      </c>
      <c r="AU38" s="2738" t="str">
        <f t="shared" si="38"/>
        <v>B</v>
      </c>
      <c r="AV38" s="2695" t="str">
        <f t="shared" si="39"/>
        <v/>
      </c>
      <c r="AW38" s="2690" t="str">
        <f t="shared" si="40"/>
        <v/>
      </c>
      <c r="AX38" s="2737" t="str">
        <f t="shared" si="41"/>
        <v/>
      </c>
      <c r="AY38" s="2738" t="str">
        <f t="shared" si="42"/>
        <v/>
      </c>
      <c r="AZ38" s="2695" t="str">
        <f t="shared" si="43"/>
        <v/>
      </c>
      <c r="BA38" s="2690" t="str">
        <f t="shared" si="44"/>
        <v/>
      </c>
      <c r="BB38" s="2737" t="str">
        <f t="shared" si="45"/>
        <v/>
      </c>
      <c r="BC38" s="2738" t="str">
        <f t="shared" si="46"/>
        <v/>
      </c>
      <c r="BD38" s="2695" t="str">
        <f t="shared" si="47"/>
        <v/>
      </c>
      <c r="BE38" s="2690" t="str">
        <f t="shared" si="48"/>
        <v/>
      </c>
      <c r="BF38" s="2737" t="str">
        <f t="shared" si="49"/>
        <v/>
      </c>
      <c r="BG38" s="2738" t="str">
        <f t="shared" si="50"/>
        <v/>
      </c>
      <c r="BH38" s="1417"/>
      <c r="BJ38" s="995" t="str">
        <f t="shared" si="93"/>
        <v>G68</v>
      </c>
      <c r="BK38" s="993" t="b">
        <f t="shared" si="51"/>
        <v>0</v>
      </c>
      <c r="BL38" s="1784" t="b">
        <v>0</v>
      </c>
      <c r="BM38" s="989">
        <f t="shared" si="52"/>
        <v>72</v>
      </c>
      <c r="BN38" s="989" t="str">
        <f t="shared" si="53"/>
        <v>G</v>
      </c>
      <c r="BO38" s="989">
        <f t="shared" si="54"/>
        <v>8</v>
      </c>
      <c r="BP38" s="989" t="str">
        <f t="shared" si="55"/>
        <v>13/6</v>
      </c>
      <c r="BQ38" s="989">
        <f t="shared" si="56"/>
        <v>2.4</v>
      </c>
      <c r="BR38" s="989" t="b">
        <f t="shared" si="57"/>
        <v>1</v>
      </c>
      <c r="BS38" s="1303">
        <f t="shared" si="58"/>
        <v>8.75</v>
      </c>
      <c r="BT38" s="990" t="str">
        <f t="shared" si="59"/>
        <v>Yes</v>
      </c>
      <c r="BU38" s="1303">
        <f t="shared" si="60"/>
        <v>6</v>
      </c>
      <c r="BV38" s="990" t="str">
        <f t="shared" si="61"/>
        <v>Yes</v>
      </c>
      <c r="BW38" s="991">
        <f t="shared" ca="1" si="62"/>
        <v>15</v>
      </c>
      <c r="BX38" s="991" t="str">
        <f t="shared" ca="1" si="63"/>
        <v>G68</v>
      </c>
      <c r="BY38" s="991" t="b">
        <f t="shared" ca="1" si="64"/>
        <v>0</v>
      </c>
      <c r="BZ38" s="991" t="b">
        <f t="shared" si="86"/>
        <v>0</v>
      </c>
      <c r="CB38" s="672" t="s">
        <v>1464</v>
      </c>
      <c r="CC38" s="1685">
        <v>2</v>
      </c>
      <c r="CD38" s="699" t="s">
        <v>1748</v>
      </c>
      <c r="CE38" s="700">
        <v>59</v>
      </c>
      <c r="CF38" s="701">
        <v>2.25</v>
      </c>
      <c r="CG38" s="672">
        <v>7</v>
      </c>
      <c r="CH38" s="713"/>
      <c r="CI38" s="714"/>
      <c r="CJ38" s="713"/>
      <c r="CK38" s="714"/>
      <c r="CL38" s="715"/>
      <c r="CM38" s="743"/>
      <c r="CN38" s="738"/>
      <c r="CO38" s="1552"/>
      <c r="CP38" s="910"/>
      <c r="CQ38" s="672">
        <v>2</v>
      </c>
      <c r="CR38" s="713"/>
      <c r="CS38" s="714"/>
      <c r="CT38" s="713"/>
      <c r="CU38" s="714"/>
      <c r="CV38" s="715"/>
      <c r="CW38" s="743"/>
      <c r="CX38" s="738"/>
      <c r="CY38" s="1552"/>
      <c r="CZ38" s="910"/>
      <c r="DA38" s="717"/>
      <c r="DB38" s="702" t="s">
        <v>1742</v>
      </c>
      <c r="DC38" s="703" t="s">
        <v>1679</v>
      </c>
      <c r="DD38" s="725"/>
      <c r="DE38" s="726">
        <v>11.125</v>
      </c>
      <c r="DF38" s="141"/>
      <c r="DG38" s="141"/>
      <c r="DH38" s="672" t="s">
        <v>1464</v>
      </c>
      <c r="DI38" s="673" t="s">
        <v>35</v>
      </c>
      <c r="DJ38" s="692">
        <v>4</v>
      </c>
      <c r="DK38" s="1332">
        <v>0</v>
      </c>
      <c r="DL38" s="674">
        <v>6</v>
      </c>
      <c r="DM38" s="693">
        <v>8</v>
      </c>
      <c r="DN38" s="1335">
        <v>0</v>
      </c>
      <c r="DO38" s="675"/>
      <c r="DP38" s="676"/>
      <c r="DQ38" s="1420">
        <v>5</v>
      </c>
      <c r="DR38" s="677">
        <v>13</v>
      </c>
      <c r="DS38" s="1420">
        <v>4</v>
      </c>
      <c r="DT38" s="1422"/>
      <c r="DU38" s="1423"/>
      <c r="DV38" s="678" t="s">
        <v>1018</v>
      </c>
      <c r="DW38" s="1337" t="s">
        <v>1705</v>
      </c>
      <c r="DX38" s="679"/>
      <c r="DY38" s="674" t="s">
        <v>35</v>
      </c>
      <c r="DZ38" s="678"/>
      <c r="EA38" s="1337"/>
      <c r="EB38" s="679"/>
      <c r="EC38" s="674"/>
      <c r="ED38" s="678"/>
      <c r="EE38" s="1337"/>
      <c r="EF38" s="679"/>
      <c r="EG38" s="674"/>
      <c r="EH38" s="678"/>
      <c r="EI38" s="1337"/>
      <c r="EJ38" s="679"/>
      <c r="EK38" s="680"/>
      <c r="EL38" s="241"/>
      <c r="EM38" s="1632" t="str">
        <f t="shared" si="65"/>
        <v>G68</v>
      </c>
      <c r="EN38" s="1429" t="str">
        <f t="shared" si="66"/>
        <v/>
      </c>
      <c r="EO38" s="1430" t="str">
        <f t="shared" si="67"/>
        <v/>
      </c>
      <c r="EP38" s="1431" t="str">
        <f t="shared" si="68"/>
        <v/>
      </c>
      <c r="EQ38" s="1435" t="str">
        <f t="shared" si="69"/>
        <v/>
      </c>
      <c r="ER38" s="1441" t="str">
        <f t="shared" si="70"/>
        <v/>
      </c>
      <c r="ES38" s="1442" t="str">
        <f t="shared" si="71"/>
        <v/>
      </c>
      <c r="ET38" s="1443" t="str">
        <f t="shared" si="72"/>
        <v/>
      </c>
      <c r="EU38" s="1444" t="str">
        <f t="shared" si="87"/>
        <v/>
      </c>
      <c r="EX38" s="503" t="str">
        <f t="shared" ca="1" si="88"/>
        <v>G68B</v>
      </c>
      <c r="EY38" s="940" t="b">
        <f t="shared" ca="1" si="73"/>
        <v>1</v>
      </c>
      <c r="EZ38" s="940">
        <f t="shared" ca="1" si="89"/>
        <v>5</v>
      </c>
      <c r="FA38" s="958" t="b">
        <f t="shared" ca="1" si="94"/>
        <v>1</v>
      </c>
      <c r="FB38" s="134">
        <f t="shared" ca="1" si="90"/>
        <v>706.25</v>
      </c>
      <c r="FC38" s="134">
        <f t="shared" ca="1" si="74"/>
        <v>45</v>
      </c>
      <c r="FD38" s="134">
        <f t="shared" ca="1" si="75"/>
        <v>576</v>
      </c>
      <c r="FE38" s="134">
        <f t="shared" ca="1" si="76"/>
        <v>85.25</v>
      </c>
      <c r="FF38" s="134">
        <f t="shared" ca="1" si="91"/>
        <v>706.25</v>
      </c>
      <c r="FN38" s="754" t="b">
        <v>0</v>
      </c>
      <c r="FO38" s="754" t="b">
        <f t="shared" si="77"/>
        <v>1</v>
      </c>
      <c r="FP38" s="754" t="b">
        <v>0</v>
      </c>
      <c r="FQ38" s="754" t="b">
        <f t="shared" si="92"/>
        <v>1</v>
      </c>
      <c r="FW38" s="2"/>
      <c r="FX38" s="2"/>
      <c r="FZ38" s="2"/>
      <c r="GA38" s="581">
        <f t="shared" si="78"/>
        <v>59</v>
      </c>
      <c r="GB38" s="623">
        <f t="shared" si="79"/>
        <v>2.25</v>
      </c>
      <c r="GC38" s="625">
        <f t="shared" si="80"/>
        <v>-0.25</v>
      </c>
      <c r="GD38" s="626">
        <f t="shared" si="81"/>
        <v>-1</v>
      </c>
      <c r="GE38" s="624">
        <f t="shared" si="82"/>
        <v>0</v>
      </c>
      <c r="GF38" s="582" t="str">
        <f t="shared" si="83"/>
        <v>G68</v>
      </c>
      <c r="GG38" s="692">
        <v>0</v>
      </c>
      <c r="GH38" s="1136">
        <v>0</v>
      </c>
      <c r="GI38" s="692"/>
      <c r="GJ38" s="1136"/>
      <c r="GK38" s="1641">
        <f t="shared" si="84"/>
        <v>709</v>
      </c>
      <c r="GL38" s="1641">
        <f t="shared" si="85"/>
        <v>709</v>
      </c>
      <c r="GM38" s="1642">
        <f>IF(ABS(GK38-GL38)&gt;='Job Info.'!$L$22,ABS(GK38-GL38),0)</f>
        <v>0</v>
      </c>
      <c r="HA38" s="1242" t="s">
        <v>1464</v>
      </c>
      <c r="HB38" s="1243">
        <v>2</v>
      </c>
      <c r="HC38" s="1243" t="s">
        <v>1748</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1742</v>
      </c>
      <c r="IB38" s="1247" t="s">
        <v>1679</v>
      </c>
      <c r="IC38" s="1247"/>
      <c r="ID38" s="1262">
        <v>11.125</v>
      </c>
      <c r="IE38" s="1242" t="s">
        <v>1464</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5"/>
        <v>1</v>
      </c>
    </row>
    <row r="39" spans="1:272" ht="12.6" customHeight="1" x14ac:dyDescent="0.25">
      <c r="A39" s="2700" t="str">
        <f t="shared" si="0"/>
        <v>G69</v>
      </c>
      <c r="B39" s="2684">
        <f t="shared" si="0"/>
        <v>1</v>
      </c>
      <c r="C39" s="2685" t="s">
        <v>1748</v>
      </c>
      <c r="D39" s="2686">
        <f t="shared" si="1"/>
        <v>59</v>
      </c>
      <c r="E39" s="2687">
        <f t="shared" si="2"/>
        <v>0.25</v>
      </c>
      <c r="F39" s="2688">
        <f t="shared" si="3"/>
        <v>11.125</v>
      </c>
      <c r="G39" s="2689">
        <f t="shared" si="4"/>
        <v>0</v>
      </c>
      <c r="H39" s="2690">
        <f t="shared" si="5"/>
        <v>2.75</v>
      </c>
      <c r="I39" s="2691" t="str">
        <f t="shared" si="6"/>
        <v>R</v>
      </c>
      <c r="J39" s="2686" t="str">
        <f t="shared" si="7"/>
        <v/>
      </c>
      <c r="K39" s="2690" t="str">
        <f t="shared" si="8"/>
        <v/>
      </c>
      <c r="L39" s="2692" t="str">
        <f t="shared" si="9"/>
        <v/>
      </c>
      <c r="M39" s="2693">
        <f t="shared" si="10"/>
        <v>7.5</v>
      </c>
      <c r="N39" s="2694">
        <f t="shared" si="10"/>
        <v>7.5</v>
      </c>
      <c r="O39" s="2689">
        <f t="shared" si="11"/>
        <v>0</v>
      </c>
      <c r="P39" s="2690">
        <f t="shared" si="12"/>
        <v>7.75</v>
      </c>
      <c r="Q39" s="2686">
        <f t="shared" si="13"/>
        <v>0</v>
      </c>
      <c r="R39" s="2687">
        <f t="shared" si="14"/>
        <v>1.5</v>
      </c>
      <c r="S39" s="2695">
        <f t="shared" si="15"/>
        <v>0</v>
      </c>
      <c r="T39" s="2690">
        <f t="shared" si="16"/>
        <v>7.25</v>
      </c>
      <c r="U39" s="2686">
        <f t="shared" si="17"/>
        <v>0</v>
      </c>
      <c r="V39" s="2690">
        <f t="shared" si="18"/>
        <v>3</v>
      </c>
      <c r="W39" s="2694">
        <f t="shared" si="19"/>
        <v>5</v>
      </c>
      <c r="X39" s="2696" t="str">
        <f t="shared" si="20"/>
        <v/>
      </c>
      <c r="Y39" s="2697" t="str">
        <f t="shared" si="21"/>
        <v/>
      </c>
      <c r="Z39" s="2698" t="s">
        <v>1932</v>
      </c>
      <c r="AA39" s="2758" t="str">
        <f t="shared" si="22"/>
        <v/>
      </c>
      <c r="AB39" s="2683" t="str">
        <f t="shared" si="23"/>
        <v>G69</v>
      </c>
      <c r="AC39" s="2691" t="str">
        <f t="shared" si="24"/>
        <v>B</v>
      </c>
      <c r="AD39" s="2686">
        <f t="shared" ca="1" si="25"/>
        <v>3</v>
      </c>
      <c r="AE39" s="2690">
        <f t="shared" ca="1" si="26"/>
        <v>9</v>
      </c>
      <c r="AF39" s="2691">
        <f t="shared" ca="1" si="27"/>
        <v>6</v>
      </c>
      <c r="AG39" s="2686">
        <f t="shared" ca="1" si="28"/>
        <v>8</v>
      </c>
      <c r="AH39" s="2690">
        <f t="shared" ca="1" si="29"/>
        <v>0</v>
      </c>
      <c r="AI39" s="2686">
        <f t="shared" ca="1" si="30"/>
        <v>7</v>
      </c>
      <c r="AJ39" s="2690">
        <f t="shared" ca="1" si="31"/>
        <v>0.5</v>
      </c>
      <c r="AK39" s="2732" t="str">
        <f t="shared" si="32"/>
        <v/>
      </c>
      <c r="AL39" s="2733" t="str">
        <f t="shared" si="33"/>
        <v/>
      </c>
      <c r="AM39" s="2734">
        <f t="shared" si="32"/>
        <v>5</v>
      </c>
      <c r="AN39" s="2691">
        <f t="shared" si="32"/>
        <v>13</v>
      </c>
      <c r="AO39" s="2694">
        <f t="shared" si="32"/>
        <v>4</v>
      </c>
      <c r="AP39" s="2693" t="str">
        <f t="shared" si="34"/>
        <v/>
      </c>
      <c r="AQ39" s="2736" t="str">
        <f t="shared" si="34"/>
        <v/>
      </c>
      <c r="AR39" s="2689" t="str">
        <f t="shared" si="35"/>
        <v>P</v>
      </c>
      <c r="AS39" s="2690" t="str">
        <f t="shared" si="36"/>
        <v>#1</v>
      </c>
      <c r="AT39" s="2737" t="str">
        <f t="shared" si="37"/>
        <v/>
      </c>
      <c r="AU39" s="2738" t="str">
        <f t="shared" si="38"/>
        <v>B</v>
      </c>
      <c r="AV39" s="2695" t="str">
        <f t="shared" si="39"/>
        <v/>
      </c>
      <c r="AW39" s="2690" t="str">
        <f t="shared" si="40"/>
        <v/>
      </c>
      <c r="AX39" s="2737" t="str">
        <f t="shared" si="41"/>
        <v/>
      </c>
      <c r="AY39" s="2738" t="str">
        <f t="shared" si="42"/>
        <v/>
      </c>
      <c r="AZ39" s="2695" t="str">
        <f t="shared" si="43"/>
        <v/>
      </c>
      <c r="BA39" s="2690" t="str">
        <f t="shared" si="44"/>
        <v/>
      </c>
      <c r="BB39" s="2737" t="str">
        <f t="shared" si="45"/>
        <v/>
      </c>
      <c r="BC39" s="2738" t="str">
        <f t="shared" si="46"/>
        <v/>
      </c>
      <c r="BD39" s="2695" t="str">
        <f t="shared" si="47"/>
        <v/>
      </c>
      <c r="BE39" s="2690" t="str">
        <f t="shared" si="48"/>
        <v/>
      </c>
      <c r="BF39" s="2737" t="str">
        <f t="shared" si="49"/>
        <v/>
      </c>
      <c r="BG39" s="2738" t="str">
        <f t="shared" si="50"/>
        <v/>
      </c>
      <c r="BH39" s="1417"/>
      <c r="BJ39" s="995" t="str">
        <f t="shared" si="93"/>
        <v>G69</v>
      </c>
      <c r="BK39" s="993" t="b">
        <f t="shared" si="51"/>
        <v>0</v>
      </c>
      <c r="BL39" s="1784" t="b">
        <v>0</v>
      </c>
      <c r="BM39" s="989">
        <f t="shared" si="52"/>
        <v>72</v>
      </c>
      <c r="BN39" s="989" t="str">
        <f t="shared" si="53"/>
        <v>G</v>
      </c>
      <c r="BO39" s="989">
        <f t="shared" si="54"/>
        <v>8</v>
      </c>
      <c r="BP39" s="989" t="str">
        <f t="shared" si="55"/>
        <v>13/6</v>
      </c>
      <c r="BQ39" s="989">
        <f t="shared" si="56"/>
        <v>2.4</v>
      </c>
      <c r="BR39" s="989" t="b">
        <f t="shared" si="57"/>
        <v>1</v>
      </c>
      <c r="BS39" s="1303">
        <f t="shared" si="58"/>
        <v>8.75</v>
      </c>
      <c r="BT39" s="990" t="str">
        <f t="shared" si="59"/>
        <v>Yes</v>
      </c>
      <c r="BU39" s="1303">
        <f t="shared" si="60"/>
        <v>6</v>
      </c>
      <c r="BV39" s="990" t="str">
        <f t="shared" si="61"/>
        <v>Yes</v>
      </c>
      <c r="BW39" s="991">
        <f t="shared" ca="1" si="62"/>
        <v>15</v>
      </c>
      <c r="BX39" s="991" t="str">
        <f t="shared" ca="1" si="63"/>
        <v>G69</v>
      </c>
      <c r="BY39" s="991" t="b">
        <f t="shared" ca="1" si="64"/>
        <v>0</v>
      </c>
      <c r="BZ39" s="991" t="b">
        <f t="shared" si="86"/>
        <v>0</v>
      </c>
      <c r="CB39" s="672" t="s">
        <v>1465</v>
      </c>
      <c r="CC39" s="1685">
        <v>1</v>
      </c>
      <c r="CD39" s="699" t="s">
        <v>1748</v>
      </c>
      <c r="CE39" s="700">
        <v>59</v>
      </c>
      <c r="CF39" s="701">
        <v>7</v>
      </c>
      <c r="CG39" s="672">
        <v>7</v>
      </c>
      <c r="CH39" s="713"/>
      <c r="CI39" s="714"/>
      <c r="CJ39" s="713"/>
      <c r="CK39" s="714"/>
      <c r="CL39" s="715"/>
      <c r="CM39" s="743"/>
      <c r="CN39" s="738"/>
      <c r="CO39" s="1552"/>
      <c r="CP39" s="910"/>
      <c r="CQ39" s="672">
        <v>18</v>
      </c>
      <c r="CR39" s="713"/>
      <c r="CS39" s="714"/>
      <c r="CT39" s="713"/>
      <c r="CU39" s="714"/>
      <c r="CV39" s="715"/>
      <c r="CW39" s="743"/>
      <c r="CX39" s="738"/>
      <c r="CY39" s="1552"/>
      <c r="CZ39" s="910"/>
      <c r="DA39" s="2760"/>
      <c r="DB39" s="702">
        <v>11</v>
      </c>
      <c r="DC39" s="703" t="s">
        <v>158</v>
      </c>
      <c r="DD39" s="725"/>
      <c r="DE39" s="726">
        <v>11.125</v>
      </c>
      <c r="DF39" s="141"/>
      <c r="DG39" s="141"/>
      <c r="DH39" s="672" t="s">
        <v>1465</v>
      </c>
      <c r="DI39" s="673" t="s">
        <v>35</v>
      </c>
      <c r="DJ39" s="692">
        <v>4</v>
      </c>
      <c r="DK39" s="1332">
        <v>0</v>
      </c>
      <c r="DL39" s="674">
        <v>6</v>
      </c>
      <c r="DM39" s="693">
        <v>8</v>
      </c>
      <c r="DN39" s="1335">
        <v>0</v>
      </c>
      <c r="DO39" s="675"/>
      <c r="DP39" s="676"/>
      <c r="DQ39" s="1420">
        <v>5</v>
      </c>
      <c r="DR39" s="677">
        <v>13</v>
      </c>
      <c r="DS39" s="1420">
        <v>4</v>
      </c>
      <c r="DT39" s="1422"/>
      <c r="DU39" s="1423"/>
      <c r="DV39" s="678" t="s">
        <v>1018</v>
      </c>
      <c r="DW39" s="1337" t="s">
        <v>1705</v>
      </c>
      <c r="DX39" s="679"/>
      <c r="DY39" s="674" t="s">
        <v>35</v>
      </c>
      <c r="DZ39" s="678"/>
      <c r="EA39" s="1337"/>
      <c r="EB39" s="679"/>
      <c r="EC39" s="674"/>
      <c r="ED39" s="678"/>
      <c r="EE39" s="1337"/>
      <c r="EF39" s="679"/>
      <c r="EG39" s="674"/>
      <c r="EH39" s="678"/>
      <c r="EI39" s="1337"/>
      <c r="EJ39" s="679"/>
      <c r="EK39" s="680"/>
      <c r="EL39" s="241"/>
      <c r="EM39" s="1632" t="str">
        <f t="shared" si="65"/>
        <v>G69</v>
      </c>
      <c r="EN39" s="1429" t="str">
        <f t="shared" si="66"/>
        <v/>
      </c>
      <c r="EO39" s="1430" t="str">
        <f t="shared" si="67"/>
        <v/>
      </c>
      <c r="EP39" s="1431" t="str">
        <f t="shared" si="68"/>
        <v/>
      </c>
      <c r="EQ39" s="1435" t="str">
        <f t="shared" si="69"/>
        <v/>
      </c>
      <c r="ER39" s="1441" t="str">
        <f t="shared" si="70"/>
        <v/>
      </c>
      <c r="ES39" s="1442" t="str">
        <f t="shared" si="71"/>
        <v/>
      </c>
      <c r="ET39" s="1443" t="str">
        <f t="shared" si="72"/>
        <v/>
      </c>
      <c r="EU39" s="1444" t="str">
        <f t="shared" si="87"/>
        <v/>
      </c>
      <c r="EX39" s="503" t="str">
        <f t="shared" ca="1" si="88"/>
        <v>G69B</v>
      </c>
      <c r="EY39" s="940" t="b">
        <f t="shared" ca="1" si="73"/>
        <v>1</v>
      </c>
      <c r="EZ39" s="940">
        <f t="shared" ca="1" si="89"/>
        <v>5</v>
      </c>
      <c r="FA39" s="958" t="b">
        <f t="shared" ca="1" si="94"/>
        <v>1</v>
      </c>
      <c r="FB39" s="134">
        <f t="shared" ca="1" si="90"/>
        <v>705.5</v>
      </c>
      <c r="FC39" s="134">
        <f t="shared" ca="1" si="74"/>
        <v>45</v>
      </c>
      <c r="FD39" s="134">
        <f t="shared" ca="1" si="75"/>
        <v>576</v>
      </c>
      <c r="FE39" s="134">
        <f t="shared" ca="1" si="76"/>
        <v>84.5</v>
      </c>
      <c r="FF39" s="134">
        <f t="shared" ca="1" si="91"/>
        <v>705.5</v>
      </c>
      <c r="FN39" s="754" t="b">
        <v>0</v>
      </c>
      <c r="FO39" s="754" t="b">
        <f t="shared" si="77"/>
        <v>1</v>
      </c>
      <c r="FP39" s="754" t="b">
        <v>0</v>
      </c>
      <c r="FQ39" s="754" t="b">
        <f t="shared" si="92"/>
        <v>1</v>
      </c>
      <c r="FW39" s="2"/>
      <c r="FX39" s="2"/>
      <c r="FZ39" s="2"/>
      <c r="GA39" s="581">
        <f t="shared" si="78"/>
        <v>59</v>
      </c>
      <c r="GB39" s="623">
        <f t="shared" si="79"/>
        <v>7</v>
      </c>
      <c r="GC39" s="625">
        <f t="shared" si="80"/>
        <v>-0.25</v>
      </c>
      <c r="GD39" s="626">
        <f t="shared" si="81"/>
        <v>-6.5</v>
      </c>
      <c r="GE39" s="624">
        <f t="shared" si="82"/>
        <v>0</v>
      </c>
      <c r="GF39" s="582" t="str">
        <f t="shared" si="83"/>
        <v>G69</v>
      </c>
      <c r="GG39" s="692">
        <v>0</v>
      </c>
      <c r="GH39" s="1136">
        <v>0</v>
      </c>
      <c r="GI39" s="692"/>
      <c r="GJ39" s="1136"/>
      <c r="GK39" s="1641">
        <f t="shared" si="84"/>
        <v>708.25</v>
      </c>
      <c r="GL39" s="1641">
        <f t="shared" si="85"/>
        <v>708.25</v>
      </c>
      <c r="GM39" s="1642">
        <f>IF(ABS(GK39-GL39)&gt;='Job Info.'!$L$22,ABS(GK39-GL39),0)</f>
        <v>0</v>
      </c>
      <c r="HA39" s="1242" t="s">
        <v>1465</v>
      </c>
      <c r="HB39" s="1243">
        <v>1</v>
      </c>
      <c r="HC39" s="1243" t="s">
        <v>1748</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v>0.25174825174825199</v>
      </c>
      <c r="IA39" s="1247">
        <v>11</v>
      </c>
      <c r="IB39" s="1247" t="s">
        <v>158</v>
      </c>
      <c r="IC39" s="1247"/>
      <c r="ID39" s="1262">
        <v>11.125</v>
      </c>
      <c r="IE39" s="1242" t="s">
        <v>1465</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5"/>
        <v>1</v>
      </c>
    </row>
    <row r="40" spans="1:272" ht="12.6" customHeight="1" x14ac:dyDescent="0.25">
      <c r="A40" s="2683" t="str">
        <f t="shared" si="0"/>
        <v>G70</v>
      </c>
      <c r="B40" s="2684">
        <f t="shared" si="0"/>
        <v>1</v>
      </c>
      <c r="C40" s="2685" t="s">
        <v>1749</v>
      </c>
      <c r="D40" s="2686">
        <f t="shared" si="1"/>
        <v>55</v>
      </c>
      <c r="E40" s="2687">
        <f t="shared" si="2"/>
        <v>10.25</v>
      </c>
      <c r="F40" s="2688">
        <f t="shared" si="3"/>
        <v>11.125</v>
      </c>
      <c r="G40" s="2689">
        <f t="shared" si="4"/>
        <v>0</v>
      </c>
      <c r="H40" s="2690">
        <f t="shared" si="5"/>
        <v>2.75</v>
      </c>
      <c r="I40" s="2691" t="str">
        <f t="shared" si="6"/>
        <v>R</v>
      </c>
      <c r="J40" s="2686" t="str">
        <f t="shared" si="7"/>
        <v/>
      </c>
      <c r="K40" s="2690" t="str">
        <f t="shared" si="8"/>
        <v/>
      </c>
      <c r="L40" s="2692" t="str">
        <f t="shared" si="9"/>
        <v/>
      </c>
      <c r="M40" s="2693">
        <f t="shared" si="10"/>
        <v>7.5</v>
      </c>
      <c r="N40" s="2694">
        <f t="shared" si="10"/>
        <v>7.5</v>
      </c>
      <c r="O40" s="2689">
        <f t="shared" si="11"/>
        <v>0</v>
      </c>
      <c r="P40" s="2690">
        <f t="shared" si="12"/>
        <v>7.75</v>
      </c>
      <c r="Q40" s="2686">
        <f t="shared" si="13"/>
        <v>0</v>
      </c>
      <c r="R40" s="2687">
        <f t="shared" si="14"/>
        <v>1.5</v>
      </c>
      <c r="S40" s="2695">
        <f t="shared" si="15"/>
        <v>0</v>
      </c>
      <c r="T40" s="2690">
        <f t="shared" si="16"/>
        <v>7.25</v>
      </c>
      <c r="U40" s="2686">
        <f t="shared" si="17"/>
        <v>0</v>
      </c>
      <c r="V40" s="2690">
        <f t="shared" si="18"/>
        <v>3</v>
      </c>
      <c r="W40" s="2694">
        <f t="shared" si="19"/>
        <v>5</v>
      </c>
      <c r="X40" s="2696" t="str">
        <f t="shared" si="20"/>
        <v/>
      </c>
      <c r="Y40" s="2697" t="str">
        <f t="shared" si="21"/>
        <v/>
      </c>
      <c r="Z40" s="2698" t="s">
        <v>1933</v>
      </c>
      <c r="AA40" s="2758" t="str">
        <f t="shared" si="22"/>
        <v/>
      </c>
      <c r="AB40" s="2683" t="str">
        <f t="shared" si="23"/>
        <v>G70</v>
      </c>
      <c r="AC40" s="2691" t="str">
        <f t="shared" si="24"/>
        <v>B</v>
      </c>
      <c r="AD40" s="2686">
        <f t="shared" ca="1" si="25"/>
        <v>7</v>
      </c>
      <c r="AE40" s="2690">
        <f t="shared" ca="1" si="26"/>
        <v>9</v>
      </c>
      <c r="AF40" s="2691">
        <f t="shared" ca="1" si="27"/>
        <v>5</v>
      </c>
      <c r="AG40" s="2686">
        <f t="shared" ca="1" si="28"/>
        <v>8</v>
      </c>
      <c r="AH40" s="2690">
        <f t="shared" ca="1" si="29"/>
        <v>0</v>
      </c>
      <c r="AI40" s="2686">
        <f t="shared" ca="1" si="30"/>
        <v>7</v>
      </c>
      <c r="AJ40" s="2690">
        <f t="shared" ca="1" si="31"/>
        <v>10.5</v>
      </c>
      <c r="AK40" s="2732" t="str">
        <f t="shared" si="32"/>
        <v/>
      </c>
      <c r="AL40" s="2733" t="str">
        <f t="shared" si="33"/>
        <v/>
      </c>
      <c r="AM40" s="2734">
        <f t="shared" si="32"/>
        <v>5</v>
      </c>
      <c r="AN40" s="2691">
        <f t="shared" si="32"/>
        <v>13</v>
      </c>
      <c r="AO40" s="2694">
        <f t="shared" si="32"/>
        <v>4</v>
      </c>
      <c r="AP40" s="2693">
        <f t="shared" si="34"/>
        <v>1.75</v>
      </c>
      <c r="AQ40" s="2736" t="str">
        <f t="shared" si="34"/>
        <v/>
      </c>
      <c r="AR40" s="2689">
        <f t="shared" si="35"/>
        <v>1</v>
      </c>
      <c r="AS40" s="2690">
        <f t="shared" si="36"/>
        <v>0</v>
      </c>
      <c r="AT40" s="2737" t="str">
        <f t="shared" si="37"/>
        <v/>
      </c>
      <c r="AU40" s="2738" t="str">
        <f t="shared" si="38"/>
        <v>B</v>
      </c>
      <c r="AV40" s="2695" t="str">
        <f t="shared" si="39"/>
        <v/>
      </c>
      <c r="AW40" s="2690" t="str">
        <f t="shared" si="40"/>
        <v/>
      </c>
      <c r="AX40" s="2737" t="str">
        <f t="shared" si="41"/>
        <v/>
      </c>
      <c r="AY40" s="2738" t="str">
        <f t="shared" si="42"/>
        <v/>
      </c>
      <c r="AZ40" s="2695" t="str">
        <f t="shared" si="43"/>
        <v/>
      </c>
      <c r="BA40" s="2690" t="str">
        <f t="shared" si="44"/>
        <v/>
      </c>
      <c r="BB40" s="2737" t="str">
        <f t="shared" si="45"/>
        <v/>
      </c>
      <c r="BC40" s="2738" t="str">
        <f t="shared" si="46"/>
        <v/>
      </c>
      <c r="BD40" s="2695" t="str">
        <f t="shared" si="47"/>
        <v/>
      </c>
      <c r="BE40" s="2690" t="str">
        <f t="shared" si="48"/>
        <v/>
      </c>
      <c r="BF40" s="2737" t="str">
        <f t="shared" si="49"/>
        <v/>
      </c>
      <c r="BG40" s="2738" t="str">
        <f t="shared" si="50"/>
        <v/>
      </c>
      <c r="BH40" s="1417"/>
      <c r="BJ40" s="995" t="str">
        <f t="shared" si="93"/>
        <v>G70</v>
      </c>
      <c r="BK40" s="993" t="b">
        <f t="shared" si="51"/>
        <v>0</v>
      </c>
      <c r="BL40" s="1784" t="b">
        <v>0</v>
      </c>
      <c r="BM40" s="989">
        <f t="shared" si="52"/>
        <v>72</v>
      </c>
      <c r="BN40" s="989" t="str">
        <f t="shared" si="53"/>
        <v>G</v>
      </c>
      <c r="BO40" s="989">
        <f t="shared" si="54"/>
        <v>7</v>
      </c>
      <c r="BP40" s="989" t="str">
        <f t="shared" si="55"/>
        <v>13/6</v>
      </c>
      <c r="BQ40" s="989">
        <f t="shared" si="56"/>
        <v>2.4</v>
      </c>
      <c r="BR40" s="989" t="b">
        <f t="shared" si="57"/>
        <v>1</v>
      </c>
      <c r="BS40" s="1303">
        <f t="shared" si="58"/>
        <v>8.75</v>
      </c>
      <c r="BT40" s="990" t="str">
        <f t="shared" si="59"/>
        <v>Yes</v>
      </c>
      <c r="BU40" s="1303">
        <f t="shared" si="60"/>
        <v>6</v>
      </c>
      <c r="BV40" s="990" t="str">
        <f t="shared" si="61"/>
        <v>Yes</v>
      </c>
      <c r="BW40" s="991">
        <f t="shared" ca="1" si="62"/>
        <v>16</v>
      </c>
      <c r="BX40" s="991" t="str">
        <f t="shared" ca="1" si="63"/>
        <v>G70</v>
      </c>
      <c r="BY40" s="991" t="b">
        <f t="shared" ca="1" si="64"/>
        <v>0</v>
      </c>
      <c r="BZ40" s="991" t="b">
        <f t="shared" si="86"/>
        <v>0</v>
      </c>
      <c r="CB40" s="672" t="s">
        <v>1466</v>
      </c>
      <c r="CC40" s="1685">
        <v>1</v>
      </c>
      <c r="CD40" s="699" t="s">
        <v>1749</v>
      </c>
      <c r="CE40" s="700">
        <v>56</v>
      </c>
      <c r="CF40" s="701">
        <v>5</v>
      </c>
      <c r="CG40" s="672">
        <v>7</v>
      </c>
      <c r="CH40" s="713"/>
      <c r="CI40" s="714"/>
      <c r="CJ40" s="713"/>
      <c r="CK40" s="714"/>
      <c r="CL40" s="715"/>
      <c r="CM40" s="743"/>
      <c r="CN40" s="738"/>
      <c r="CO40" s="1552"/>
      <c r="CP40" s="910"/>
      <c r="CQ40" s="672">
        <v>18</v>
      </c>
      <c r="CR40" s="713"/>
      <c r="CS40" s="714"/>
      <c r="CT40" s="713"/>
      <c r="CU40" s="714"/>
      <c r="CV40" s="715"/>
      <c r="CW40" s="743"/>
      <c r="CX40" s="738"/>
      <c r="CY40" s="1552"/>
      <c r="CZ40" s="910"/>
      <c r="DA40" s="717"/>
      <c r="DB40" s="702" t="s">
        <v>1744</v>
      </c>
      <c r="DC40" s="703" t="s">
        <v>158</v>
      </c>
      <c r="DD40" s="725"/>
      <c r="DE40" s="726">
        <v>11.125</v>
      </c>
      <c r="DF40" s="141"/>
      <c r="DG40" s="141"/>
      <c r="DH40" s="672" t="s">
        <v>1466</v>
      </c>
      <c r="DI40" s="673" t="s">
        <v>35</v>
      </c>
      <c r="DJ40" s="692">
        <v>8</v>
      </c>
      <c r="DK40" s="1332">
        <v>0</v>
      </c>
      <c r="DL40" s="674">
        <v>5</v>
      </c>
      <c r="DM40" s="693">
        <v>8</v>
      </c>
      <c r="DN40" s="1335">
        <v>0</v>
      </c>
      <c r="DO40" s="675"/>
      <c r="DP40" s="676"/>
      <c r="DQ40" s="1420">
        <v>5</v>
      </c>
      <c r="DR40" s="677">
        <v>13</v>
      </c>
      <c r="DS40" s="1420">
        <v>4</v>
      </c>
      <c r="DT40" s="1422">
        <v>2</v>
      </c>
      <c r="DU40" s="1423"/>
      <c r="DV40" s="2661">
        <v>1</v>
      </c>
      <c r="DW40" s="2664">
        <v>0.25</v>
      </c>
      <c r="DX40" s="679"/>
      <c r="DY40" s="2665" t="s">
        <v>35</v>
      </c>
      <c r="DZ40" s="678"/>
      <c r="EA40" s="1337"/>
      <c r="EB40" s="679"/>
      <c r="EC40" s="674"/>
      <c r="ED40" s="678"/>
      <c r="EE40" s="1337"/>
      <c r="EF40" s="679"/>
      <c r="EG40" s="674"/>
      <c r="EH40" s="678"/>
      <c r="EI40" s="1337"/>
      <c r="EJ40" s="679"/>
      <c r="EK40" s="680"/>
      <c r="EL40" s="241"/>
      <c r="EM40" s="1632" t="str">
        <f t="shared" si="65"/>
        <v>G70</v>
      </c>
      <c r="EN40" s="1429" t="str">
        <f t="shared" si="66"/>
        <v/>
      </c>
      <c r="EO40" s="1430" t="str">
        <f t="shared" si="67"/>
        <v/>
      </c>
      <c r="EP40" s="1431" t="str">
        <f t="shared" si="68"/>
        <v/>
      </c>
      <c r="EQ40" s="1435" t="str">
        <f t="shared" si="69"/>
        <v/>
      </c>
      <c r="ER40" s="1441" t="str">
        <f t="shared" si="70"/>
        <v/>
      </c>
      <c r="ES40" s="1442" t="str">
        <f t="shared" si="71"/>
        <v/>
      </c>
      <c r="ET40" s="1443" t="str">
        <f t="shared" si="72"/>
        <v/>
      </c>
      <c r="EU40" s="1444" t="str">
        <f t="shared" si="87"/>
        <v/>
      </c>
      <c r="EX40" s="503" t="str">
        <f t="shared" ca="1" si="88"/>
        <v>G70B</v>
      </c>
      <c r="EY40" s="940" t="b">
        <f t="shared" ca="1" si="73"/>
        <v>1</v>
      </c>
      <c r="EZ40" s="940">
        <f t="shared" ca="1" si="89"/>
        <v>5</v>
      </c>
      <c r="FA40" s="958" t="b">
        <f t="shared" ca="1" si="94"/>
        <v>1</v>
      </c>
      <c r="FB40" s="134">
        <f t="shared" ca="1" si="90"/>
        <v>667.5</v>
      </c>
      <c r="FC40" s="134">
        <f t="shared" ca="1" si="74"/>
        <v>93</v>
      </c>
      <c r="FD40" s="134">
        <f t="shared" ca="1" si="75"/>
        <v>480</v>
      </c>
      <c r="FE40" s="134">
        <f t="shared" ca="1" si="76"/>
        <v>94.5</v>
      </c>
      <c r="FF40" s="134">
        <f t="shared" ca="1" si="91"/>
        <v>667.5</v>
      </c>
      <c r="FN40" s="754" t="b">
        <v>0</v>
      </c>
      <c r="FO40" s="754" t="b">
        <f t="shared" si="77"/>
        <v>1</v>
      </c>
      <c r="FP40" s="754" t="b">
        <v>0</v>
      </c>
      <c r="FQ40" s="754" t="b">
        <f t="shared" si="92"/>
        <v>1</v>
      </c>
      <c r="FW40" s="2"/>
      <c r="FX40" s="2"/>
      <c r="FZ40" s="2"/>
      <c r="GA40" s="581">
        <f t="shared" si="78"/>
        <v>56</v>
      </c>
      <c r="GB40" s="623">
        <f t="shared" si="79"/>
        <v>5</v>
      </c>
      <c r="GC40" s="625">
        <f t="shared" si="80"/>
        <v>-0.25</v>
      </c>
      <c r="GD40" s="626">
        <f t="shared" si="81"/>
        <v>-6.5</v>
      </c>
      <c r="GE40" s="624">
        <f t="shared" si="82"/>
        <v>0</v>
      </c>
      <c r="GF40" s="582" t="str">
        <f t="shared" si="83"/>
        <v>G70</v>
      </c>
      <c r="GG40" s="692">
        <v>0</v>
      </c>
      <c r="GH40" s="1136">
        <v>0</v>
      </c>
      <c r="GI40" s="692"/>
      <c r="GJ40" s="1136"/>
      <c r="GK40" s="1641">
        <f t="shared" si="84"/>
        <v>670.25</v>
      </c>
      <c r="GL40" s="1641">
        <f t="shared" si="85"/>
        <v>670.25</v>
      </c>
      <c r="GM40" s="1642">
        <f>IF(ABS(GK40-GL40)&gt;='Job Info.'!$L$22,ABS(GK40-GL40),0)</f>
        <v>0</v>
      </c>
      <c r="HA40" s="1242" t="s">
        <v>1466</v>
      </c>
      <c r="HB40" s="1243">
        <v>1</v>
      </c>
      <c r="HC40" s="1243" t="s">
        <v>1749</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1744</v>
      </c>
      <c r="IB40" s="1247" t="s">
        <v>158</v>
      </c>
      <c r="IC40" s="1247"/>
      <c r="ID40" s="1262">
        <v>11.125</v>
      </c>
      <c r="IE40" s="1242" t="s">
        <v>1466</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5"/>
        <v>1</v>
      </c>
    </row>
    <row r="41" spans="1:272" ht="12.6" customHeight="1" x14ac:dyDescent="0.25">
      <c r="A41" s="2683" t="str">
        <f t="shared" si="0"/>
        <v/>
      </c>
      <c r="B41" s="2684" t="str">
        <f t="shared" si="0"/>
        <v/>
      </c>
      <c r="C41" s="2685"/>
      <c r="D41" s="2686" t="str">
        <f t="shared" si="1"/>
        <v/>
      </c>
      <c r="E41" s="2687" t="str">
        <f t="shared" si="2"/>
        <v/>
      </c>
      <c r="F41" s="2688" t="str">
        <f t="shared" si="3"/>
        <v/>
      </c>
      <c r="G41" s="2689" t="str">
        <f t="shared" si="4"/>
        <v/>
      </c>
      <c r="H41" s="2690" t="str">
        <f t="shared" si="5"/>
        <v/>
      </c>
      <c r="I41" s="2691" t="str">
        <f t="shared" si="6"/>
        <v/>
      </c>
      <c r="J41" s="2686" t="str">
        <f t="shared" si="7"/>
        <v/>
      </c>
      <c r="K41" s="2690" t="str">
        <f t="shared" si="8"/>
        <v/>
      </c>
      <c r="L41" s="2692" t="str">
        <f t="shared" si="9"/>
        <v/>
      </c>
      <c r="M41" s="2693" t="str">
        <f t="shared" si="10"/>
        <v/>
      </c>
      <c r="N41" s="2694" t="str">
        <f t="shared" si="10"/>
        <v/>
      </c>
      <c r="O41" s="2689" t="str">
        <f t="shared" si="11"/>
        <v/>
      </c>
      <c r="P41" s="2690" t="str">
        <f t="shared" si="12"/>
        <v/>
      </c>
      <c r="Q41" s="2686" t="str">
        <f t="shared" si="13"/>
        <v/>
      </c>
      <c r="R41" s="2687" t="str">
        <f t="shared" si="14"/>
        <v/>
      </c>
      <c r="S41" s="2695" t="str">
        <f t="shared" si="15"/>
        <v/>
      </c>
      <c r="T41" s="2690" t="str">
        <f t="shared" si="16"/>
        <v/>
      </c>
      <c r="U41" s="2686" t="str">
        <f t="shared" si="17"/>
        <v/>
      </c>
      <c r="V41" s="2690" t="str">
        <f t="shared" si="18"/>
        <v/>
      </c>
      <c r="W41" s="2694">
        <f t="shared" si="19"/>
        <v>0</v>
      </c>
      <c r="X41" s="2696" t="str">
        <f t="shared" si="20"/>
        <v/>
      </c>
      <c r="Y41" s="2697" t="str">
        <f t="shared" si="21"/>
        <v/>
      </c>
      <c r="Z41" s="2698" t="s">
        <v>116</v>
      </c>
      <c r="AA41" s="2758" t="str">
        <f t="shared" si="22"/>
        <v/>
      </c>
      <c r="AB41" s="2683" t="str">
        <f t="shared" si="23"/>
        <v/>
      </c>
      <c r="AC41" s="2691" t="str">
        <f t="shared" si="24"/>
        <v/>
      </c>
      <c r="AD41" s="2686" t="str">
        <f t="shared" ca="1" si="25"/>
        <v/>
      </c>
      <c r="AE41" s="2690" t="str">
        <f t="shared" ca="1" si="26"/>
        <v/>
      </c>
      <c r="AF41" s="2691" t="str">
        <f t="shared" ca="1" si="27"/>
        <v/>
      </c>
      <c r="AG41" s="2686" t="str">
        <f t="shared" ca="1" si="28"/>
        <v/>
      </c>
      <c r="AH41" s="2690" t="str">
        <f t="shared" ca="1" si="29"/>
        <v/>
      </c>
      <c r="AI41" s="2686" t="str">
        <f t="shared" ca="1" si="30"/>
        <v/>
      </c>
      <c r="AJ41" s="2690" t="str">
        <f t="shared" ca="1" si="31"/>
        <v/>
      </c>
      <c r="AK41" s="2732" t="str">
        <f t="shared" si="32"/>
        <v/>
      </c>
      <c r="AL41" s="2733" t="str">
        <f t="shared" si="33"/>
        <v/>
      </c>
      <c r="AM41" s="2734" t="str">
        <f t="shared" si="32"/>
        <v/>
      </c>
      <c r="AN41" s="2691" t="str">
        <f t="shared" si="32"/>
        <v/>
      </c>
      <c r="AO41" s="2694" t="str">
        <f t="shared" si="32"/>
        <v/>
      </c>
      <c r="AP41" s="2693" t="str">
        <f t="shared" si="34"/>
        <v/>
      </c>
      <c r="AQ41" s="2736" t="str">
        <f t="shared" si="34"/>
        <v/>
      </c>
      <c r="AR41" s="2689" t="str">
        <f t="shared" si="35"/>
        <v/>
      </c>
      <c r="AS41" s="2690" t="str">
        <f t="shared" si="36"/>
        <v/>
      </c>
      <c r="AT41" s="2737" t="str">
        <f t="shared" si="37"/>
        <v/>
      </c>
      <c r="AU41" s="2738" t="str">
        <f t="shared" si="38"/>
        <v/>
      </c>
      <c r="AV41" s="2695" t="str">
        <f t="shared" si="39"/>
        <v/>
      </c>
      <c r="AW41" s="2690" t="str">
        <f t="shared" si="40"/>
        <v/>
      </c>
      <c r="AX41" s="2737" t="str">
        <f t="shared" si="41"/>
        <v/>
      </c>
      <c r="AY41" s="2738" t="str">
        <f t="shared" si="42"/>
        <v/>
      </c>
      <c r="AZ41" s="2695" t="str">
        <f t="shared" si="43"/>
        <v/>
      </c>
      <c r="BA41" s="2690" t="str">
        <f t="shared" si="44"/>
        <v/>
      </c>
      <c r="BB41" s="2737" t="str">
        <f t="shared" si="45"/>
        <v/>
      </c>
      <c r="BC41" s="2738" t="str">
        <f t="shared" si="46"/>
        <v/>
      </c>
      <c r="BD41" s="2695" t="str">
        <f t="shared" si="47"/>
        <v/>
      </c>
      <c r="BE41" s="2690" t="str">
        <f t="shared" si="48"/>
        <v/>
      </c>
      <c r="BF41" s="2737" t="str">
        <f t="shared" si="49"/>
        <v/>
      </c>
      <c r="BG41" s="2738" t="str">
        <f t="shared" si="50"/>
        <v/>
      </c>
      <c r="BH41" s="1417"/>
      <c r="BJ41" s="995" t="str">
        <f t="shared" si="93"/>
        <v/>
      </c>
      <c r="BK41" s="993" t="b">
        <f t="shared" si="51"/>
        <v>0</v>
      </c>
      <c r="BL41" s="1784" t="b">
        <v>0</v>
      </c>
      <c r="BM41" s="989">
        <f t="shared" si="52"/>
        <v>0</v>
      </c>
      <c r="BN41" s="989">
        <f t="shared" si="53"/>
        <v>0</v>
      </c>
      <c r="BO41" s="989">
        <f t="shared" si="54"/>
        <v>0</v>
      </c>
      <c r="BP41" s="989">
        <f t="shared" si="55"/>
        <v>0</v>
      </c>
      <c r="BQ41" s="989">
        <f t="shared" si="56"/>
        <v>0</v>
      </c>
      <c r="BR41" s="989" t="b">
        <f t="shared" si="57"/>
        <v>1</v>
      </c>
      <c r="BS41" s="1303">
        <f t="shared" si="58"/>
        <v>6</v>
      </c>
      <c r="BT41" s="990" t="str">
        <f t="shared" si="59"/>
        <v>No</v>
      </c>
      <c r="BU41" s="1303">
        <f t="shared" si="60"/>
        <v>6</v>
      </c>
      <c r="BV41" s="990" t="str">
        <f t="shared" si="61"/>
        <v>No</v>
      </c>
      <c r="BW41" s="991">
        <f t="shared" ca="1" si="62"/>
        <v>0</v>
      </c>
      <c r="BX41" s="991" t="str">
        <f t="shared" ca="1" si="63"/>
        <v/>
      </c>
      <c r="BY41" s="991" t="b">
        <f t="shared" ca="1" si="64"/>
        <v>0</v>
      </c>
      <c r="BZ41" s="991" t="b">
        <f t="shared" si="86"/>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5"/>
        <v/>
      </c>
      <c r="EN41" s="1429" t="str">
        <f t="shared" si="66"/>
        <v/>
      </c>
      <c r="EO41" s="1430" t="str">
        <f t="shared" si="67"/>
        <v/>
      </c>
      <c r="EP41" s="1431" t="str">
        <f t="shared" si="68"/>
        <v/>
      </c>
      <c r="EQ41" s="1435" t="str">
        <f t="shared" si="69"/>
        <v/>
      </c>
      <c r="ER41" s="1441" t="str">
        <f t="shared" si="70"/>
        <v/>
      </c>
      <c r="ES41" s="1442" t="str">
        <f t="shared" si="71"/>
        <v/>
      </c>
      <c r="ET41" s="1443" t="str">
        <f t="shared" si="72"/>
        <v/>
      </c>
      <c r="EU41" s="1444" t="str">
        <f t="shared" si="87"/>
        <v/>
      </c>
      <c r="EX41" s="503" t="str">
        <f t="shared" ca="1" si="88"/>
        <v/>
      </c>
      <c r="EY41" s="940" t="str">
        <f t="shared" si="73"/>
        <v/>
      </c>
      <c r="EZ41" s="940" t="str">
        <f t="shared" si="89"/>
        <v/>
      </c>
      <c r="FA41" s="958" t="str">
        <f t="shared" ca="1" si="94"/>
        <v/>
      </c>
      <c r="FB41" s="134" t="str">
        <f t="shared" ca="1" si="90"/>
        <v/>
      </c>
      <c r="FC41" s="134">
        <f t="shared" ca="1" si="74"/>
        <v>0</v>
      </c>
      <c r="FD41" s="134">
        <f t="shared" ca="1" si="75"/>
        <v>0</v>
      </c>
      <c r="FE41" s="134">
        <f t="shared" ca="1" si="76"/>
        <v>0</v>
      </c>
      <c r="FF41" s="134">
        <f t="shared" ca="1" si="91"/>
        <v>0</v>
      </c>
      <c r="FN41" s="754" t="b">
        <v>0</v>
      </c>
      <c r="FO41" s="754" t="b">
        <f t="shared" si="77"/>
        <v>1</v>
      </c>
      <c r="FP41" s="754" t="b">
        <v>0</v>
      </c>
      <c r="FQ41" s="754" t="b">
        <f t="shared" si="92"/>
        <v>1</v>
      </c>
      <c r="FW41" s="2"/>
      <c r="FX41" s="2"/>
      <c r="FZ41" s="2"/>
      <c r="GA41" s="581" t="str">
        <f t="shared" si="78"/>
        <v/>
      </c>
      <c r="GB41" s="623" t="str">
        <f t="shared" si="79"/>
        <v/>
      </c>
      <c r="GC41" s="625" t="str">
        <f t="shared" si="80"/>
        <v/>
      </c>
      <c r="GD41" s="626" t="str">
        <f t="shared" si="81"/>
        <v/>
      </c>
      <c r="GE41" s="624" t="str">
        <f t="shared" si="82"/>
        <v/>
      </c>
      <c r="GF41" s="582" t="str">
        <f t="shared" si="83"/>
        <v/>
      </c>
      <c r="GG41" s="692"/>
      <c r="GH41" s="1136"/>
      <c r="GI41" s="692"/>
      <c r="GJ41" s="1136"/>
      <c r="GK41" s="1641">
        <f t="shared" si="84"/>
        <v>0</v>
      </c>
      <c r="GL41" s="1641" t="e">
        <f t="shared" si="8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5"/>
        <v>0</v>
      </c>
    </row>
    <row r="42" spans="1:272" ht="12.6" customHeight="1" x14ac:dyDescent="0.25">
      <c r="A42" s="2683" t="str">
        <f t="shared" si="0"/>
        <v/>
      </c>
      <c r="B42" s="2684" t="str">
        <f t="shared" si="0"/>
        <v/>
      </c>
      <c r="C42" s="2685"/>
      <c r="D42" s="2686" t="str">
        <f t="shared" si="1"/>
        <v/>
      </c>
      <c r="E42" s="2687" t="str">
        <f t="shared" si="2"/>
        <v/>
      </c>
      <c r="F42" s="2688" t="str">
        <f t="shared" si="3"/>
        <v/>
      </c>
      <c r="G42" s="2689" t="str">
        <f t="shared" si="4"/>
        <v/>
      </c>
      <c r="H42" s="2690" t="str">
        <f t="shared" si="5"/>
        <v/>
      </c>
      <c r="I42" s="2691" t="str">
        <f t="shared" si="6"/>
        <v/>
      </c>
      <c r="J42" s="2686" t="str">
        <f t="shared" si="7"/>
        <v/>
      </c>
      <c r="K42" s="2690" t="str">
        <f t="shared" si="8"/>
        <v/>
      </c>
      <c r="L42" s="2692" t="str">
        <f t="shared" si="9"/>
        <v/>
      </c>
      <c r="M42" s="2693" t="str">
        <f t="shared" si="10"/>
        <v/>
      </c>
      <c r="N42" s="2694" t="str">
        <f t="shared" si="10"/>
        <v/>
      </c>
      <c r="O42" s="2689" t="str">
        <f t="shared" si="11"/>
        <v/>
      </c>
      <c r="P42" s="2690" t="str">
        <f t="shared" si="12"/>
        <v/>
      </c>
      <c r="Q42" s="2686" t="str">
        <f t="shared" si="13"/>
        <v/>
      </c>
      <c r="R42" s="2687" t="str">
        <f t="shared" si="14"/>
        <v/>
      </c>
      <c r="S42" s="2695" t="str">
        <f t="shared" si="15"/>
        <v/>
      </c>
      <c r="T42" s="2690" t="str">
        <f t="shared" si="16"/>
        <v/>
      </c>
      <c r="U42" s="2686" t="str">
        <f t="shared" si="17"/>
        <v/>
      </c>
      <c r="V42" s="2690" t="str">
        <f t="shared" si="18"/>
        <v/>
      </c>
      <c r="W42" s="2694">
        <f t="shared" si="19"/>
        <v>0</v>
      </c>
      <c r="X42" s="2696" t="str">
        <f t="shared" si="20"/>
        <v/>
      </c>
      <c r="Y42" s="2697" t="str">
        <f t="shared" si="21"/>
        <v/>
      </c>
      <c r="Z42" s="2698" t="s">
        <v>116</v>
      </c>
      <c r="AA42" s="2758" t="str">
        <f t="shared" si="22"/>
        <v/>
      </c>
      <c r="AB42" s="2683" t="str">
        <f t="shared" si="23"/>
        <v/>
      </c>
      <c r="AC42" s="2691" t="str">
        <f t="shared" si="24"/>
        <v/>
      </c>
      <c r="AD42" s="2686" t="str">
        <f t="shared" ca="1" si="25"/>
        <v/>
      </c>
      <c r="AE42" s="2690" t="str">
        <f t="shared" ca="1" si="26"/>
        <v/>
      </c>
      <c r="AF42" s="2691" t="str">
        <f t="shared" ca="1" si="27"/>
        <v/>
      </c>
      <c r="AG42" s="2686" t="str">
        <f t="shared" ca="1" si="28"/>
        <v/>
      </c>
      <c r="AH42" s="2690" t="str">
        <f t="shared" ca="1" si="29"/>
        <v/>
      </c>
      <c r="AI42" s="2686" t="str">
        <f t="shared" ca="1" si="30"/>
        <v/>
      </c>
      <c r="AJ42" s="2690" t="str">
        <f t="shared" ca="1" si="31"/>
        <v/>
      </c>
      <c r="AK42" s="2732" t="str">
        <f t="shared" si="32"/>
        <v/>
      </c>
      <c r="AL42" s="2733" t="str">
        <f t="shared" si="33"/>
        <v/>
      </c>
      <c r="AM42" s="2734" t="str">
        <f t="shared" si="32"/>
        <v/>
      </c>
      <c r="AN42" s="2691" t="str">
        <f t="shared" si="32"/>
        <v/>
      </c>
      <c r="AO42" s="2694" t="str">
        <f t="shared" si="32"/>
        <v/>
      </c>
      <c r="AP42" s="2693" t="str">
        <f t="shared" si="34"/>
        <v/>
      </c>
      <c r="AQ42" s="2736" t="str">
        <f t="shared" si="34"/>
        <v/>
      </c>
      <c r="AR42" s="2689" t="str">
        <f t="shared" si="35"/>
        <v/>
      </c>
      <c r="AS42" s="2690" t="str">
        <f t="shared" si="36"/>
        <v/>
      </c>
      <c r="AT42" s="2737" t="str">
        <f t="shared" si="37"/>
        <v/>
      </c>
      <c r="AU42" s="2738" t="str">
        <f t="shared" si="38"/>
        <v/>
      </c>
      <c r="AV42" s="2695" t="str">
        <f t="shared" si="39"/>
        <v/>
      </c>
      <c r="AW42" s="2690" t="str">
        <f t="shared" si="40"/>
        <v/>
      </c>
      <c r="AX42" s="2737" t="str">
        <f t="shared" si="41"/>
        <v/>
      </c>
      <c r="AY42" s="2738" t="str">
        <f t="shared" si="42"/>
        <v/>
      </c>
      <c r="AZ42" s="2695" t="str">
        <f t="shared" si="43"/>
        <v/>
      </c>
      <c r="BA42" s="2690" t="str">
        <f t="shared" si="44"/>
        <v/>
      </c>
      <c r="BB42" s="2737" t="str">
        <f t="shared" si="45"/>
        <v/>
      </c>
      <c r="BC42" s="2738" t="str">
        <f t="shared" si="46"/>
        <v/>
      </c>
      <c r="BD42" s="2695" t="str">
        <f t="shared" si="47"/>
        <v/>
      </c>
      <c r="BE42" s="2690" t="str">
        <f t="shared" si="48"/>
        <v/>
      </c>
      <c r="BF42" s="2737" t="str">
        <f t="shared" si="49"/>
        <v/>
      </c>
      <c r="BG42" s="2738" t="str">
        <f t="shared" si="50"/>
        <v/>
      </c>
      <c r="BH42" s="1417"/>
      <c r="BJ42" s="995" t="str">
        <f t="shared" si="93"/>
        <v/>
      </c>
      <c r="BK42" s="993" t="b">
        <f t="shared" si="51"/>
        <v>0</v>
      </c>
      <c r="BL42" s="1784" t="b">
        <v>0</v>
      </c>
      <c r="BM42" s="989">
        <f t="shared" si="52"/>
        <v>0</v>
      </c>
      <c r="BN42" s="989">
        <f t="shared" si="53"/>
        <v>0</v>
      </c>
      <c r="BO42" s="989">
        <f t="shared" si="54"/>
        <v>0</v>
      </c>
      <c r="BP42" s="989">
        <f t="shared" si="55"/>
        <v>0</v>
      </c>
      <c r="BQ42" s="989">
        <f t="shared" si="56"/>
        <v>0</v>
      </c>
      <c r="BR42" s="989" t="b">
        <f t="shared" si="57"/>
        <v>1</v>
      </c>
      <c r="BS42" s="1303">
        <f t="shared" si="58"/>
        <v>6</v>
      </c>
      <c r="BT42" s="990" t="str">
        <f t="shared" si="59"/>
        <v>No</v>
      </c>
      <c r="BU42" s="1303">
        <f t="shared" si="60"/>
        <v>6</v>
      </c>
      <c r="BV42" s="990" t="str">
        <f t="shared" si="61"/>
        <v>No</v>
      </c>
      <c r="BW42" s="991">
        <f t="shared" ca="1" si="62"/>
        <v>0</v>
      </c>
      <c r="BX42" s="991" t="str">
        <f t="shared" ca="1" si="63"/>
        <v/>
      </c>
      <c r="BY42" s="991" t="b">
        <f t="shared" ca="1" si="64"/>
        <v>0</v>
      </c>
      <c r="BZ42" s="991" t="b">
        <f t="shared" si="86"/>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5"/>
        <v/>
      </c>
      <c r="EN42" s="1429" t="str">
        <f t="shared" si="66"/>
        <v/>
      </c>
      <c r="EO42" s="1430" t="str">
        <f t="shared" si="67"/>
        <v/>
      </c>
      <c r="EP42" s="1431" t="str">
        <f t="shared" si="68"/>
        <v/>
      </c>
      <c r="EQ42" s="1435" t="str">
        <f t="shared" si="69"/>
        <v/>
      </c>
      <c r="ER42" s="1441" t="str">
        <f t="shared" si="70"/>
        <v/>
      </c>
      <c r="ES42" s="1442" t="str">
        <f t="shared" si="71"/>
        <v/>
      </c>
      <c r="ET42" s="1443" t="str">
        <f t="shared" si="72"/>
        <v/>
      </c>
      <c r="EU42" s="1444" t="str">
        <f t="shared" si="87"/>
        <v/>
      </c>
      <c r="EX42" s="503" t="str">
        <f t="shared" ca="1" si="88"/>
        <v/>
      </c>
      <c r="EY42" s="940" t="str">
        <f t="shared" si="73"/>
        <v/>
      </c>
      <c r="EZ42" s="940" t="str">
        <f t="shared" si="89"/>
        <v/>
      </c>
      <c r="FA42" s="958" t="str">
        <f t="shared" ca="1" si="94"/>
        <v/>
      </c>
      <c r="FB42" s="134" t="str">
        <f t="shared" ca="1" si="90"/>
        <v/>
      </c>
      <c r="FC42" s="134">
        <f t="shared" ca="1" si="74"/>
        <v>0</v>
      </c>
      <c r="FD42" s="134">
        <f t="shared" ca="1" si="75"/>
        <v>0</v>
      </c>
      <c r="FE42" s="134">
        <f t="shared" ca="1" si="76"/>
        <v>0</v>
      </c>
      <c r="FF42" s="134">
        <f t="shared" ca="1" si="91"/>
        <v>0</v>
      </c>
      <c r="FN42" s="754" t="b">
        <v>0</v>
      </c>
      <c r="FO42" s="754" t="b">
        <f t="shared" si="77"/>
        <v>1</v>
      </c>
      <c r="FP42" s="754" t="b">
        <v>0</v>
      </c>
      <c r="FQ42" s="754" t="b">
        <f t="shared" si="92"/>
        <v>1</v>
      </c>
      <c r="GA42" s="581" t="str">
        <f t="shared" si="78"/>
        <v/>
      </c>
      <c r="GB42" s="623" t="str">
        <f t="shared" si="79"/>
        <v/>
      </c>
      <c r="GC42" s="625" t="str">
        <f t="shared" si="80"/>
        <v/>
      </c>
      <c r="GD42" s="626" t="str">
        <f t="shared" si="81"/>
        <v/>
      </c>
      <c r="GE42" s="624" t="str">
        <f t="shared" si="82"/>
        <v/>
      </c>
      <c r="GF42" s="582" t="str">
        <f t="shared" si="83"/>
        <v/>
      </c>
      <c r="GG42" s="692"/>
      <c r="GH42" s="1136"/>
      <c r="GI42" s="692"/>
      <c r="GJ42" s="1136"/>
      <c r="GK42" s="1641">
        <f t="shared" si="84"/>
        <v>0</v>
      </c>
      <c r="GL42" s="1641" t="e">
        <f t="shared" si="8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5"/>
        <v>0</v>
      </c>
    </row>
    <row r="43" spans="1:272" ht="12.6" customHeight="1" x14ac:dyDescent="0.25">
      <c r="A43" s="2683" t="str">
        <f t="shared" si="0"/>
        <v/>
      </c>
      <c r="B43" s="2684" t="str">
        <f t="shared" si="0"/>
        <v/>
      </c>
      <c r="C43" s="2685"/>
      <c r="D43" s="2686" t="str">
        <f t="shared" si="1"/>
        <v/>
      </c>
      <c r="E43" s="2687" t="str">
        <f t="shared" si="2"/>
        <v/>
      </c>
      <c r="F43" s="2688" t="str">
        <f t="shared" si="3"/>
        <v/>
      </c>
      <c r="G43" s="2689" t="str">
        <f t="shared" si="4"/>
        <v/>
      </c>
      <c r="H43" s="2690" t="str">
        <f t="shared" si="5"/>
        <v/>
      </c>
      <c r="I43" s="2691" t="str">
        <f t="shared" si="6"/>
        <v/>
      </c>
      <c r="J43" s="2686" t="str">
        <f t="shared" si="7"/>
        <v/>
      </c>
      <c r="K43" s="2690" t="str">
        <f t="shared" si="8"/>
        <v/>
      </c>
      <c r="L43" s="2692" t="str">
        <f t="shared" si="9"/>
        <v/>
      </c>
      <c r="M43" s="2693" t="str">
        <f t="shared" si="10"/>
        <v/>
      </c>
      <c r="N43" s="2694" t="str">
        <f t="shared" si="10"/>
        <v/>
      </c>
      <c r="O43" s="2689" t="str">
        <f t="shared" si="11"/>
        <v/>
      </c>
      <c r="P43" s="2690" t="str">
        <f t="shared" si="12"/>
        <v/>
      </c>
      <c r="Q43" s="2686" t="str">
        <f t="shared" si="13"/>
        <v/>
      </c>
      <c r="R43" s="2687" t="str">
        <f t="shared" si="14"/>
        <v/>
      </c>
      <c r="S43" s="2695" t="str">
        <f t="shared" si="15"/>
        <v/>
      </c>
      <c r="T43" s="2690" t="str">
        <f t="shared" si="16"/>
        <v/>
      </c>
      <c r="U43" s="2686" t="str">
        <f t="shared" si="17"/>
        <v/>
      </c>
      <c r="V43" s="2690" t="str">
        <f t="shared" si="18"/>
        <v/>
      </c>
      <c r="W43" s="2694">
        <f t="shared" si="19"/>
        <v>0</v>
      </c>
      <c r="X43" s="2696" t="str">
        <f t="shared" si="20"/>
        <v/>
      </c>
      <c r="Y43" s="2697" t="str">
        <f t="shared" si="21"/>
        <v/>
      </c>
      <c r="Z43" s="2698" t="s">
        <v>116</v>
      </c>
      <c r="AA43" s="2758" t="str">
        <f t="shared" si="22"/>
        <v/>
      </c>
      <c r="AB43" s="2683" t="str">
        <f t="shared" si="23"/>
        <v/>
      </c>
      <c r="AC43" s="2691" t="str">
        <f t="shared" si="24"/>
        <v/>
      </c>
      <c r="AD43" s="2686" t="str">
        <f t="shared" ca="1" si="25"/>
        <v/>
      </c>
      <c r="AE43" s="2690" t="str">
        <f t="shared" ca="1" si="26"/>
        <v/>
      </c>
      <c r="AF43" s="2691" t="str">
        <f t="shared" ca="1" si="27"/>
        <v/>
      </c>
      <c r="AG43" s="2686" t="str">
        <f t="shared" ca="1" si="28"/>
        <v/>
      </c>
      <c r="AH43" s="2690" t="str">
        <f t="shared" ca="1" si="29"/>
        <v/>
      </c>
      <c r="AI43" s="2686" t="str">
        <f t="shared" ca="1" si="30"/>
        <v/>
      </c>
      <c r="AJ43" s="2690" t="str">
        <f t="shared" ca="1" si="31"/>
        <v/>
      </c>
      <c r="AK43" s="2732" t="str">
        <f t="shared" si="32"/>
        <v/>
      </c>
      <c r="AL43" s="2733" t="str">
        <f t="shared" si="33"/>
        <v/>
      </c>
      <c r="AM43" s="2734" t="str">
        <f t="shared" si="32"/>
        <v/>
      </c>
      <c r="AN43" s="2691" t="str">
        <f t="shared" si="32"/>
        <v/>
      </c>
      <c r="AO43" s="2694" t="str">
        <f t="shared" si="32"/>
        <v/>
      </c>
      <c r="AP43" s="2693" t="str">
        <f t="shared" si="34"/>
        <v/>
      </c>
      <c r="AQ43" s="2736" t="str">
        <f t="shared" si="34"/>
        <v/>
      </c>
      <c r="AR43" s="2689" t="str">
        <f t="shared" si="35"/>
        <v/>
      </c>
      <c r="AS43" s="2690" t="str">
        <f t="shared" si="36"/>
        <v/>
      </c>
      <c r="AT43" s="2737" t="str">
        <f t="shared" si="37"/>
        <v/>
      </c>
      <c r="AU43" s="2738" t="str">
        <f t="shared" si="38"/>
        <v/>
      </c>
      <c r="AV43" s="2695" t="str">
        <f t="shared" si="39"/>
        <v/>
      </c>
      <c r="AW43" s="2690" t="str">
        <f t="shared" si="40"/>
        <v/>
      </c>
      <c r="AX43" s="2737" t="str">
        <f t="shared" si="41"/>
        <v/>
      </c>
      <c r="AY43" s="2738" t="str">
        <f t="shared" si="42"/>
        <v/>
      </c>
      <c r="AZ43" s="2695" t="str">
        <f t="shared" si="43"/>
        <v/>
      </c>
      <c r="BA43" s="2690" t="str">
        <f t="shared" si="44"/>
        <v/>
      </c>
      <c r="BB43" s="2737" t="str">
        <f t="shared" si="45"/>
        <v/>
      </c>
      <c r="BC43" s="2738" t="str">
        <f t="shared" si="46"/>
        <v/>
      </c>
      <c r="BD43" s="2695" t="str">
        <f t="shared" si="47"/>
        <v/>
      </c>
      <c r="BE43" s="2690" t="str">
        <f t="shared" si="48"/>
        <v/>
      </c>
      <c r="BF43" s="2737" t="str">
        <f t="shared" si="49"/>
        <v/>
      </c>
      <c r="BG43" s="2738" t="str">
        <f t="shared" si="50"/>
        <v/>
      </c>
      <c r="BH43" s="1417"/>
      <c r="BJ43" s="995" t="str">
        <f t="shared" si="93"/>
        <v/>
      </c>
      <c r="BK43" s="993" t="b">
        <f t="shared" si="51"/>
        <v>0</v>
      </c>
      <c r="BL43" s="1784" t="b">
        <v>0</v>
      </c>
      <c r="BM43" s="989">
        <f t="shared" si="52"/>
        <v>0</v>
      </c>
      <c r="BN43" s="989">
        <f t="shared" si="53"/>
        <v>0</v>
      </c>
      <c r="BO43" s="989">
        <f t="shared" si="54"/>
        <v>0</v>
      </c>
      <c r="BP43" s="989">
        <f t="shared" si="55"/>
        <v>0</v>
      </c>
      <c r="BQ43" s="989">
        <f t="shared" si="56"/>
        <v>0</v>
      </c>
      <c r="BR43" s="989" t="b">
        <f t="shared" si="57"/>
        <v>1</v>
      </c>
      <c r="BS43" s="1303">
        <f t="shared" si="58"/>
        <v>6</v>
      </c>
      <c r="BT43" s="990" t="str">
        <f t="shared" si="59"/>
        <v>No</v>
      </c>
      <c r="BU43" s="1303">
        <f t="shared" si="60"/>
        <v>6</v>
      </c>
      <c r="BV43" s="990" t="str">
        <f t="shared" si="61"/>
        <v>No</v>
      </c>
      <c r="BW43" s="991">
        <f t="shared" ca="1" si="62"/>
        <v>0</v>
      </c>
      <c r="BX43" s="991" t="str">
        <f t="shared" ca="1" si="63"/>
        <v/>
      </c>
      <c r="BY43" s="991" t="b">
        <f t="shared" ca="1" si="64"/>
        <v>0</v>
      </c>
      <c r="BZ43" s="991" t="b">
        <f t="shared" si="86"/>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5"/>
        <v/>
      </c>
      <c r="EN43" s="1429" t="str">
        <f t="shared" si="66"/>
        <v/>
      </c>
      <c r="EO43" s="1430" t="str">
        <f t="shared" si="67"/>
        <v/>
      </c>
      <c r="EP43" s="1431" t="str">
        <f t="shared" si="68"/>
        <v/>
      </c>
      <c r="EQ43" s="1435" t="str">
        <f t="shared" si="69"/>
        <v/>
      </c>
      <c r="ER43" s="1441" t="str">
        <f t="shared" si="70"/>
        <v/>
      </c>
      <c r="ES43" s="1442" t="str">
        <f t="shared" si="71"/>
        <v/>
      </c>
      <c r="ET43" s="1443" t="str">
        <f t="shared" si="72"/>
        <v/>
      </c>
      <c r="EU43" s="1444" t="str">
        <f t="shared" si="87"/>
        <v/>
      </c>
      <c r="EX43" s="503" t="str">
        <f t="shared" ca="1" si="88"/>
        <v/>
      </c>
      <c r="EY43" s="940" t="str">
        <f t="shared" si="73"/>
        <v/>
      </c>
      <c r="EZ43" s="940" t="str">
        <f t="shared" si="89"/>
        <v/>
      </c>
      <c r="FA43" s="958" t="str">
        <f t="shared" ca="1" si="94"/>
        <v/>
      </c>
      <c r="FB43" s="134" t="str">
        <f t="shared" ca="1" si="90"/>
        <v/>
      </c>
      <c r="FC43" s="134">
        <f t="shared" ca="1" si="74"/>
        <v>0</v>
      </c>
      <c r="FD43" s="134">
        <f t="shared" ca="1" si="75"/>
        <v>0</v>
      </c>
      <c r="FE43" s="134">
        <f t="shared" ca="1" si="76"/>
        <v>0</v>
      </c>
      <c r="FF43" s="134">
        <f t="shared" ca="1" si="91"/>
        <v>0</v>
      </c>
      <c r="FN43" s="754" t="b">
        <v>0</v>
      </c>
      <c r="FO43" s="754" t="b">
        <f t="shared" si="77"/>
        <v>1</v>
      </c>
      <c r="FP43" s="754" t="b">
        <v>0</v>
      </c>
      <c r="FQ43" s="754" t="b">
        <f t="shared" si="92"/>
        <v>1</v>
      </c>
      <c r="GA43" s="581" t="str">
        <f t="shared" si="78"/>
        <v/>
      </c>
      <c r="GB43" s="623" t="str">
        <f t="shared" si="79"/>
        <v/>
      </c>
      <c r="GC43" s="625" t="str">
        <f t="shared" si="80"/>
        <v/>
      </c>
      <c r="GD43" s="626" t="str">
        <f t="shared" si="81"/>
        <v/>
      </c>
      <c r="GE43" s="624" t="str">
        <f t="shared" si="82"/>
        <v/>
      </c>
      <c r="GF43" s="582" t="str">
        <f t="shared" si="83"/>
        <v/>
      </c>
      <c r="GG43" s="692"/>
      <c r="GH43" s="1136"/>
      <c r="GI43" s="692"/>
      <c r="GJ43" s="1136"/>
      <c r="GK43" s="1641">
        <f t="shared" si="84"/>
        <v>0</v>
      </c>
      <c r="GL43" s="1641" t="e">
        <f t="shared" si="8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5"/>
        <v>0</v>
      </c>
    </row>
    <row r="44" spans="1:272" ht="12.6" customHeight="1" x14ac:dyDescent="0.25">
      <c r="A44" s="2683" t="str">
        <f t="shared" si="0"/>
        <v/>
      </c>
      <c r="B44" s="2684" t="str">
        <f t="shared" si="0"/>
        <v/>
      </c>
      <c r="C44" s="2685"/>
      <c r="D44" s="2686" t="str">
        <f t="shared" si="1"/>
        <v/>
      </c>
      <c r="E44" s="2687" t="str">
        <f t="shared" si="2"/>
        <v/>
      </c>
      <c r="F44" s="2688" t="str">
        <f t="shared" si="3"/>
        <v/>
      </c>
      <c r="G44" s="2689" t="str">
        <f t="shared" si="4"/>
        <v/>
      </c>
      <c r="H44" s="2690" t="str">
        <f t="shared" si="5"/>
        <v/>
      </c>
      <c r="I44" s="2691" t="str">
        <f t="shared" si="6"/>
        <v/>
      </c>
      <c r="J44" s="2686" t="str">
        <f t="shared" si="7"/>
        <v/>
      </c>
      <c r="K44" s="2690" t="str">
        <f t="shared" si="8"/>
        <v/>
      </c>
      <c r="L44" s="2692" t="str">
        <f t="shared" si="9"/>
        <v/>
      </c>
      <c r="M44" s="2693" t="str">
        <f t="shared" si="10"/>
        <v/>
      </c>
      <c r="N44" s="2694" t="str">
        <f t="shared" si="10"/>
        <v/>
      </c>
      <c r="O44" s="2689" t="str">
        <f t="shared" si="11"/>
        <v/>
      </c>
      <c r="P44" s="2690" t="str">
        <f t="shared" si="12"/>
        <v/>
      </c>
      <c r="Q44" s="2686" t="str">
        <f t="shared" si="13"/>
        <v/>
      </c>
      <c r="R44" s="2687" t="str">
        <f t="shared" si="14"/>
        <v/>
      </c>
      <c r="S44" s="2695" t="str">
        <f t="shared" si="15"/>
        <v/>
      </c>
      <c r="T44" s="2690" t="str">
        <f t="shared" si="16"/>
        <v/>
      </c>
      <c r="U44" s="2686" t="str">
        <f t="shared" si="17"/>
        <v/>
      </c>
      <c r="V44" s="2690" t="str">
        <f t="shared" si="18"/>
        <v/>
      </c>
      <c r="W44" s="2694">
        <f t="shared" si="19"/>
        <v>0</v>
      </c>
      <c r="X44" s="2696" t="str">
        <f t="shared" si="20"/>
        <v/>
      </c>
      <c r="Y44" s="2697" t="str">
        <f t="shared" si="21"/>
        <v/>
      </c>
      <c r="Z44" s="2698" t="s">
        <v>116</v>
      </c>
      <c r="AA44" s="2758" t="str">
        <f t="shared" si="22"/>
        <v/>
      </c>
      <c r="AB44" s="2683" t="str">
        <f t="shared" si="23"/>
        <v/>
      </c>
      <c r="AC44" s="2691" t="str">
        <f t="shared" si="24"/>
        <v/>
      </c>
      <c r="AD44" s="2686" t="str">
        <f t="shared" ca="1" si="25"/>
        <v/>
      </c>
      <c r="AE44" s="2690" t="str">
        <f t="shared" ca="1" si="26"/>
        <v/>
      </c>
      <c r="AF44" s="2691" t="str">
        <f t="shared" ca="1" si="27"/>
        <v/>
      </c>
      <c r="AG44" s="2686" t="str">
        <f t="shared" ca="1" si="28"/>
        <v/>
      </c>
      <c r="AH44" s="2690" t="str">
        <f t="shared" ca="1" si="29"/>
        <v/>
      </c>
      <c r="AI44" s="2686" t="str">
        <f t="shared" ca="1" si="30"/>
        <v/>
      </c>
      <c r="AJ44" s="2690" t="str">
        <f t="shared" ca="1" si="31"/>
        <v/>
      </c>
      <c r="AK44" s="2732" t="str">
        <f t="shared" si="32"/>
        <v/>
      </c>
      <c r="AL44" s="2733" t="str">
        <f t="shared" si="33"/>
        <v/>
      </c>
      <c r="AM44" s="2734" t="str">
        <f t="shared" si="32"/>
        <v/>
      </c>
      <c r="AN44" s="2691" t="str">
        <f t="shared" si="32"/>
        <v/>
      </c>
      <c r="AO44" s="2694" t="str">
        <f t="shared" si="32"/>
        <v/>
      </c>
      <c r="AP44" s="2693" t="str">
        <f t="shared" si="34"/>
        <v/>
      </c>
      <c r="AQ44" s="2736" t="str">
        <f t="shared" si="34"/>
        <v/>
      </c>
      <c r="AR44" s="2689" t="str">
        <f t="shared" si="35"/>
        <v/>
      </c>
      <c r="AS44" s="2690" t="str">
        <f t="shared" si="36"/>
        <v/>
      </c>
      <c r="AT44" s="2737" t="str">
        <f t="shared" si="37"/>
        <v/>
      </c>
      <c r="AU44" s="2738" t="str">
        <f t="shared" si="38"/>
        <v/>
      </c>
      <c r="AV44" s="2695" t="str">
        <f t="shared" si="39"/>
        <v/>
      </c>
      <c r="AW44" s="2690" t="str">
        <f t="shared" si="40"/>
        <v/>
      </c>
      <c r="AX44" s="2737" t="str">
        <f t="shared" si="41"/>
        <v/>
      </c>
      <c r="AY44" s="2738" t="str">
        <f t="shared" si="42"/>
        <v/>
      </c>
      <c r="AZ44" s="2695" t="str">
        <f t="shared" si="43"/>
        <v/>
      </c>
      <c r="BA44" s="2690" t="str">
        <f t="shared" si="44"/>
        <v/>
      </c>
      <c r="BB44" s="2737" t="str">
        <f t="shared" si="45"/>
        <v/>
      </c>
      <c r="BC44" s="2738" t="str">
        <f t="shared" si="46"/>
        <v/>
      </c>
      <c r="BD44" s="2695" t="str">
        <f t="shared" si="47"/>
        <v/>
      </c>
      <c r="BE44" s="2690" t="str">
        <f t="shared" si="48"/>
        <v/>
      </c>
      <c r="BF44" s="2737" t="str">
        <f t="shared" si="49"/>
        <v/>
      </c>
      <c r="BG44" s="2738" t="str">
        <f t="shared" si="50"/>
        <v/>
      </c>
      <c r="BH44" s="1417"/>
      <c r="BJ44" s="995" t="str">
        <f t="shared" si="93"/>
        <v/>
      </c>
      <c r="BK44" s="993" t="b">
        <f t="shared" si="51"/>
        <v>0</v>
      </c>
      <c r="BL44" s="1784" t="b">
        <v>0</v>
      </c>
      <c r="BM44" s="989">
        <f t="shared" si="52"/>
        <v>0</v>
      </c>
      <c r="BN44" s="989">
        <f t="shared" si="53"/>
        <v>0</v>
      </c>
      <c r="BO44" s="989">
        <f t="shared" si="54"/>
        <v>0</v>
      </c>
      <c r="BP44" s="989">
        <f t="shared" si="55"/>
        <v>0</v>
      </c>
      <c r="BQ44" s="989">
        <f t="shared" si="56"/>
        <v>0</v>
      </c>
      <c r="BR44" s="989" t="b">
        <f t="shared" si="57"/>
        <v>1</v>
      </c>
      <c r="BS44" s="1303">
        <f t="shared" si="58"/>
        <v>6</v>
      </c>
      <c r="BT44" s="990" t="str">
        <f t="shared" si="59"/>
        <v>No</v>
      </c>
      <c r="BU44" s="1303">
        <f t="shared" si="60"/>
        <v>6</v>
      </c>
      <c r="BV44" s="990" t="str">
        <f t="shared" si="61"/>
        <v>No</v>
      </c>
      <c r="BW44" s="991">
        <f t="shared" ca="1" si="62"/>
        <v>0</v>
      </c>
      <c r="BX44" s="991" t="str">
        <f t="shared" ca="1" si="63"/>
        <v/>
      </c>
      <c r="BY44" s="991" t="b">
        <f t="shared" ca="1" si="64"/>
        <v>0</v>
      </c>
      <c r="BZ44" s="991" t="b">
        <f t="shared" si="86"/>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5"/>
        <v/>
      </c>
      <c r="EN44" s="1429" t="str">
        <f t="shared" si="66"/>
        <v/>
      </c>
      <c r="EO44" s="1430" t="str">
        <f t="shared" si="67"/>
        <v/>
      </c>
      <c r="EP44" s="1431" t="str">
        <f t="shared" si="68"/>
        <v/>
      </c>
      <c r="EQ44" s="1435" t="str">
        <f t="shared" si="69"/>
        <v/>
      </c>
      <c r="ER44" s="1441" t="str">
        <f t="shared" si="70"/>
        <v/>
      </c>
      <c r="ES44" s="1442" t="str">
        <f t="shared" si="71"/>
        <v/>
      </c>
      <c r="ET44" s="1443" t="str">
        <f t="shared" si="72"/>
        <v/>
      </c>
      <c r="EU44" s="1444" t="str">
        <f t="shared" si="87"/>
        <v/>
      </c>
      <c r="EX44" s="503" t="str">
        <f t="shared" ca="1" si="88"/>
        <v/>
      </c>
      <c r="EY44" s="940" t="str">
        <f t="shared" si="73"/>
        <v/>
      </c>
      <c r="EZ44" s="940" t="str">
        <f t="shared" si="89"/>
        <v/>
      </c>
      <c r="FA44" s="958" t="str">
        <f t="shared" ca="1" si="94"/>
        <v/>
      </c>
      <c r="FB44" s="134" t="str">
        <f t="shared" ca="1" si="90"/>
        <v/>
      </c>
      <c r="FC44" s="134">
        <f t="shared" ca="1" si="74"/>
        <v>0</v>
      </c>
      <c r="FD44" s="134">
        <f t="shared" ca="1" si="75"/>
        <v>0</v>
      </c>
      <c r="FE44" s="134">
        <f t="shared" ca="1" si="76"/>
        <v>0</v>
      </c>
      <c r="FF44" s="134">
        <f t="shared" ca="1" si="91"/>
        <v>0</v>
      </c>
      <c r="FN44" s="754" t="b">
        <v>0</v>
      </c>
      <c r="FO44" s="754" t="b">
        <f t="shared" si="77"/>
        <v>1</v>
      </c>
      <c r="FP44" s="754" t="b">
        <v>0</v>
      </c>
      <c r="FQ44" s="754" t="b">
        <f t="shared" si="92"/>
        <v>1</v>
      </c>
      <c r="GA44" s="581" t="str">
        <f t="shared" si="78"/>
        <v/>
      </c>
      <c r="GB44" s="623" t="str">
        <f t="shared" si="79"/>
        <v/>
      </c>
      <c r="GC44" s="625" t="str">
        <f t="shared" si="80"/>
        <v/>
      </c>
      <c r="GD44" s="626" t="str">
        <f t="shared" si="81"/>
        <v/>
      </c>
      <c r="GE44" s="624" t="str">
        <f t="shared" si="82"/>
        <v/>
      </c>
      <c r="GF44" s="582" t="str">
        <f t="shared" si="83"/>
        <v/>
      </c>
      <c r="GG44" s="692"/>
      <c r="GH44" s="1136"/>
      <c r="GI44" s="692"/>
      <c r="GJ44" s="1136"/>
      <c r="GK44" s="1641">
        <f t="shared" si="84"/>
        <v>0</v>
      </c>
      <c r="GL44" s="1641" t="e">
        <f t="shared" si="85"/>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5"/>
        <v>0</v>
      </c>
    </row>
    <row r="45" spans="1:272" ht="12.6" customHeight="1" thickBot="1" x14ac:dyDescent="0.35">
      <c r="A45" s="2701" t="str">
        <f t="shared" si="0"/>
        <v/>
      </c>
      <c r="B45" s="2702" t="str">
        <f t="shared" si="0"/>
        <v/>
      </c>
      <c r="C45" s="2703"/>
      <c r="D45" s="2704" t="str">
        <f t="shared" si="1"/>
        <v/>
      </c>
      <c r="E45" s="2705" t="str">
        <f t="shared" si="2"/>
        <v/>
      </c>
      <c r="F45" s="2706" t="str">
        <f t="shared" si="3"/>
        <v/>
      </c>
      <c r="G45" s="2707" t="str">
        <f t="shared" si="4"/>
        <v/>
      </c>
      <c r="H45" s="2708" t="str">
        <f t="shared" si="5"/>
        <v/>
      </c>
      <c r="I45" s="2709" t="str">
        <f t="shared" si="6"/>
        <v/>
      </c>
      <c r="J45" s="2704" t="str">
        <f t="shared" si="7"/>
        <v/>
      </c>
      <c r="K45" s="2708" t="str">
        <f t="shared" si="8"/>
        <v/>
      </c>
      <c r="L45" s="2710" t="str">
        <f t="shared" si="9"/>
        <v/>
      </c>
      <c r="M45" s="2711" t="str">
        <f t="shared" si="10"/>
        <v/>
      </c>
      <c r="N45" s="2712" t="str">
        <f t="shared" si="10"/>
        <v/>
      </c>
      <c r="O45" s="2707" t="str">
        <f t="shared" si="11"/>
        <v/>
      </c>
      <c r="P45" s="2708" t="str">
        <f t="shared" si="12"/>
        <v/>
      </c>
      <c r="Q45" s="2704" t="str">
        <f t="shared" si="13"/>
        <v/>
      </c>
      <c r="R45" s="2705" t="str">
        <f t="shared" si="14"/>
        <v/>
      </c>
      <c r="S45" s="2713" t="str">
        <f t="shared" si="15"/>
        <v/>
      </c>
      <c r="T45" s="2708" t="str">
        <f t="shared" si="16"/>
        <v/>
      </c>
      <c r="U45" s="2704" t="str">
        <f t="shared" si="17"/>
        <v/>
      </c>
      <c r="V45" s="2708" t="str">
        <f t="shared" si="18"/>
        <v/>
      </c>
      <c r="W45" s="2712">
        <f t="shared" si="19"/>
        <v>0</v>
      </c>
      <c r="X45" s="2714" t="str">
        <f t="shared" si="20"/>
        <v/>
      </c>
      <c r="Y45" s="2715" t="str">
        <f t="shared" si="21"/>
        <v/>
      </c>
      <c r="Z45" s="2716" t="s">
        <v>116</v>
      </c>
      <c r="AA45" s="2759" t="str">
        <f t="shared" si="22"/>
        <v/>
      </c>
      <c r="AB45" s="2701" t="str">
        <f t="shared" si="23"/>
        <v/>
      </c>
      <c r="AC45" s="2709" t="str">
        <f t="shared" si="24"/>
        <v/>
      </c>
      <c r="AD45" s="2704" t="str">
        <f t="shared" ca="1" si="25"/>
        <v/>
      </c>
      <c r="AE45" s="2708" t="str">
        <f t="shared" ca="1" si="26"/>
        <v/>
      </c>
      <c r="AF45" s="2709" t="str">
        <f t="shared" ca="1" si="27"/>
        <v/>
      </c>
      <c r="AG45" s="2704" t="str">
        <f t="shared" ca="1" si="28"/>
        <v/>
      </c>
      <c r="AH45" s="2708" t="str">
        <f t="shared" ca="1" si="29"/>
        <v/>
      </c>
      <c r="AI45" s="2704" t="str">
        <f t="shared" ca="1" si="30"/>
        <v/>
      </c>
      <c r="AJ45" s="2708" t="str">
        <f t="shared" ca="1" si="31"/>
        <v/>
      </c>
      <c r="AK45" s="2739" t="str">
        <f t="shared" si="32"/>
        <v/>
      </c>
      <c r="AL45" s="2740" t="str">
        <f t="shared" si="33"/>
        <v/>
      </c>
      <c r="AM45" s="2741" t="str">
        <f t="shared" si="32"/>
        <v/>
      </c>
      <c r="AN45" s="2709" t="str">
        <f t="shared" si="32"/>
        <v/>
      </c>
      <c r="AO45" s="2712" t="str">
        <f t="shared" si="32"/>
        <v/>
      </c>
      <c r="AP45" s="2711" t="str">
        <f t="shared" si="34"/>
        <v/>
      </c>
      <c r="AQ45" s="2743" t="str">
        <f t="shared" si="34"/>
        <v/>
      </c>
      <c r="AR45" s="2707" t="str">
        <f t="shared" si="35"/>
        <v/>
      </c>
      <c r="AS45" s="2708" t="str">
        <f t="shared" si="36"/>
        <v/>
      </c>
      <c r="AT45" s="2744" t="str">
        <f t="shared" si="37"/>
        <v/>
      </c>
      <c r="AU45" s="2745" t="str">
        <f t="shared" si="38"/>
        <v/>
      </c>
      <c r="AV45" s="2713" t="str">
        <f t="shared" si="39"/>
        <v/>
      </c>
      <c r="AW45" s="2708" t="str">
        <f t="shared" si="40"/>
        <v/>
      </c>
      <c r="AX45" s="2744" t="str">
        <f t="shared" si="41"/>
        <v/>
      </c>
      <c r="AY45" s="2745" t="str">
        <f t="shared" si="42"/>
        <v/>
      </c>
      <c r="AZ45" s="2713" t="str">
        <f t="shared" si="43"/>
        <v/>
      </c>
      <c r="BA45" s="2708" t="str">
        <f t="shared" si="44"/>
        <v/>
      </c>
      <c r="BB45" s="2744" t="str">
        <f t="shared" si="45"/>
        <v/>
      </c>
      <c r="BC45" s="2745" t="str">
        <f t="shared" si="46"/>
        <v/>
      </c>
      <c r="BD45" s="2713" t="str">
        <f t="shared" si="47"/>
        <v/>
      </c>
      <c r="BE45" s="2708" t="str">
        <f t="shared" si="48"/>
        <v/>
      </c>
      <c r="BF45" s="2744" t="str">
        <f t="shared" si="49"/>
        <v/>
      </c>
      <c r="BG45" s="2745" t="str">
        <f t="shared" si="50"/>
        <v/>
      </c>
      <c r="BH45" s="1417"/>
      <c r="BJ45" s="995" t="str">
        <f t="shared" si="93"/>
        <v/>
      </c>
      <c r="BK45" s="993" t="b">
        <f t="shared" si="51"/>
        <v>0</v>
      </c>
      <c r="BL45" s="1784" t="b">
        <v>0</v>
      </c>
      <c r="BM45" s="989">
        <f t="shared" si="52"/>
        <v>0</v>
      </c>
      <c r="BN45" s="989">
        <f t="shared" si="53"/>
        <v>0</v>
      </c>
      <c r="BO45" s="989">
        <f t="shared" si="54"/>
        <v>0</v>
      </c>
      <c r="BP45" s="989">
        <f t="shared" si="55"/>
        <v>0</v>
      </c>
      <c r="BQ45" s="989">
        <f t="shared" si="56"/>
        <v>0</v>
      </c>
      <c r="BR45" s="989" t="b">
        <f t="shared" si="57"/>
        <v>1</v>
      </c>
      <c r="BS45" s="1303">
        <f t="shared" si="58"/>
        <v>6</v>
      </c>
      <c r="BT45" s="990" t="str">
        <f t="shared" si="59"/>
        <v>No</v>
      </c>
      <c r="BU45" s="1303">
        <f t="shared" si="60"/>
        <v>6</v>
      </c>
      <c r="BV45" s="990" t="str">
        <f t="shared" si="61"/>
        <v>No</v>
      </c>
      <c r="BW45" s="991">
        <f t="shared" ca="1" si="62"/>
        <v>0</v>
      </c>
      <c r="BX45" s="991" t="str">
        <f t="shared" ca="1" si="63"/>
        <v/>
      </c>
      <c r="BY45" s="991" t="b">
        <f t="shared" ca="1" si="64"/>
        <v>0</v>
      </c>
      <c r="BZ45" s="991" t="b">
        <f t="shared" si="86"/>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5"/>
        <v/>
      </c>
      <c r="EN45" s="1636" t="str">
        <f t="shared" si="66"/>
        <v/>
      </c>
      <c r="EO45" s="1432" t="str">
        <f t="shared" si="67"/>
        <v/>
      </c>
      <c r="EP45" s="1433" t="str">
        <f t="shared" si="68"/>
        <v/>
      </c>
      <c r="EQ45" s="1436" t="str">
        <f t="shared" si="69"/>
        <v/>
      </c>
      <c r="ER45" s="1445" t="str">
        <f t="shared" si="70"/>
        <v/>
      </c>
      <c r="ES45" s="1446" t="str">
        <f t="shared" si="71"/>
        <v/>
      </c>
      <c r="ET45" s="1447" t="str">
        <f t="shared" si="72"/>
        <v/>
      </c>
      <c r="EU45" s="1448" t="str">
        <f t="shared" si="87"/>
        <v/>
      </c>
      <c r="EX45" s="503" t="str">
        <f t="shared" ca="1" si="88"/>
        <v/>
      </c>
      <c r="EY45" s="940" t="str">
        <f t="shared" si="73"/>
        <v/>
      </c>
      <c r="EZ45" s="940" t="str">
        <f t="shared" si="89"/>
        <v/>
      </c>
      <c r="FA45" s="958" t="str">
        <f t="shared" ca="1" si="94"/>
        <v/>
      </c>
      <c r="FB45" s="134" t="str">
        <f t="shared" ca="1" si="90"/>
        <v/>
      </c>
      <c r="FC45" s="134">
        <f t="shared" ca="1" si="74"/>
        <v>0</v>
      </c>
      <c r="FD45" s="134">
        <f t="shared" ca="1" si="75"/>
        <v>0</v>
      </c>
      <c r="FE45" s="134">
        <f t="shared" ca="1" si="76"/>
        <v>0</v>
      </c>
      <c r="FF45" s="134">
        <f t="shared" ca="1" si="91"/>
        <v>0</v>
      </c>
      <c r="FN45" s="754" t="b">
        <v>0</v>
      </c>
      <c r="FO45" s="754" t="b">
        <f t="shared" si="77"/>
        <v>1</v>
      </c>
      <c r="FP45" s="754" t="b">
        <v>0</v>
      </c>
      <c r="FQ45" s="754" t="b">
        <f t="shared" si="92"/>
        <v>1</v>
      </c>
      <c r="FW45" s="102"/>
      <c r="FX45" s="102"/>
      <c r="FZ45" s="104"/>
      <c r="GA45" s="581" t="str">
        <f t="shared" si="78"/>
        <v/>
      </c>
      <c r="GB45" s="623" t="str">
        <f t="shared" si="79"/>
        <v/>
      </c>
      <c r="GC45" s="625" t="str">
        <f t="shared" si="80"/>
        <v/>
      </c>
      <c r="GD45" s="626" t="str">
        <f t="shared" si="81"/>
        <v/>
      </c>
      <c r="GE45" s="624" t="str">
        <f t="shared" si="82"/>
        <v/>
      </c>
      <c r="GF45" s="582" t="str">
        <f t="shared" si="83"/>
        <v/>
      </c>
      <c r="GG45" s="1137"/>
      <c r="GH45" s="1138"/>
      <c r="GI45" s="1137"/>
      <c r="GJ45" s="1138"/>
      <c r="GK45" s="1641">
        <f t="shared" si="84"/>
        <v>0</v>
      </c>
      <c r="GL45" s="1641" t="e">
        <f t="shared" si="8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5"/>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46</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246"/>
      <c r="FM50" s="246"/>
      <c r="FN50" s="1993" t="s">
        <v>616</v>
      </c>
      <c r="FO50" s="1994"/>
      <c r="FP50" s="1994"/>
      <c r="FQ50" s="1994"/>
      <c r="FR50" s="1994"/>
      <c r="FS50" s="1995"/>
      <c r="FT50" s="2040" t="s">
        <v>617</v>
      </c>
      <c r="FU50" s="2041"/>
      <c r="FV50" s="2041"/>
      <c r="FW50" s="2041"/>
      <c r="FX50" s="2041"/>
      <c r="FY50" s="2041"/>
      <c r="FZ50" s="2042"/>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77"/>
      <c r="EQ51" s="1977"/>
      <c r="ER51" s="1977"/>
      <c r="ES51" s="1977"/>
      <c r="ET51" s="1977"/>
      <c r="EU51" s="1977"/>
      <c r="EV51" s="293"/>
      <c r="EW51" s="293"/>
      <c r="EX51" s="1980" t="s">
        <v>618</v>
      </c>
      <c r="EY51" s="1978" t="s">
        <v>619</v>
      </c>
      <c r="EZ51" s="293"/>
      <c r="FA51" s="293"/>
      <c r="FB51" s="293"/>
      <c r="FC51" s="293"/>
      <c r="FD51" s="293"/>
      <c r="FF51" s="2070" t="s">
        <v>947</v>
      </c>
      <c r="FG51" s="2071"/>
      <c r="FH51" s="2071"/>
      <c r="FI51" s="2071"/>
      <c r="FL51" s="246"/>
      <c r="FM51" s="246"/>
      <c r="FN51" s="1996"/>
      <c r="FO51" s="1997"/>
      <c r="FP51" s="1997"/>
      <c r="FQ51" s="1997"/>
      <c r="FR51" s="1997"/>
      <c r="FS51" s="1998"/>
      <c r="FT51" s="2043"/>
      <c r="FU51" s="2044"/>
      <c r="FV51" s="2044"/>
      <c r="FW51" s="2044"/>
      <c r="FX51" s="2044"/>
      <c r="FY51" s="2044"/>
      <c r="FZ51" s="2045"/>
      <c r="GA51" s="245"/>
      <c r="GB51" s="245"/>
      <c r="GC51" s="245"/>
      <c r="GD51" s="245"/>
      <c r="GE51" s="245"/>
      <c r="GF51" s="245"/>
      <c r="GG51" s="245"/>
      <c r="GH51" s="245"/>
      <c r="GI51" s="245"/>
      <c r="GJ51" s="245"/>
      <c r="GK51" s="2"/>
    </row>
    <row r="52" spans="1:193" ht="12.6"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509</v>
      </c>
      <c r="DA52" s="2087"/>
      <c r="DB52" s="2140" t="s">
        <v>510</v>
      </c>
      <c r="DC52" s="2006" t="s">
        <v>513</v>
      </c>
      <c r="DD52" s="2006" t="s">
        <v>514</v>
      </c>
      <c r="DE52" s="2140" t="s">
        <v>544</v>
      </c>
      <c r="DF52" s="2086" t="s">
        <v>511</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77"/>
      <c r="EQ52" s="1977"/>
      <c r="ER52" s="1977"/>
      <c r="ES52" s="1977"/>
      <c r="ET52" s="1977"/>
      <c r="EU52" s="1977"/>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282" t="s">
        <v>493</v>
      </c>
      <c r="FP52" s="2271" t="s">
        <v>494</v>
      </c>
      <c r="FQ52" s="2271" t="s">
        <v>495</v>
      </c>
      <c r="FR52" s="2279" t="s">
        <v>496</v>
      </c>
      <c r="FS52" s="2276"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c r="GK52" s="2"/>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77"/>
      <c r="EQ53" s="1977"/>
      <c r="ER53" s="1977"/>
      <c r="ES53" s="1977"/>
      <c r="ET53" s="1977"/>
      <c r="EU53" s="1977"/>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272"/>
      <c r="FP53" s="2272"/>
      <c r="FQ53" s="2272"/>
      <c r="FR53" s="2272"/>
      <c r="FS53" s="2277"/>
      <c r="FT53" s="2278"/>
      <c r="FU53" s="2270"/>
      <c r="FV53" s="2270"/>
      <c r="FW53" s="2270"/>
      <c r="FX53" s="2270"/>
      <c r="FY53" s="2270"/>
      <c r="FZ53" s="2270"/>
      <c r="GA53" s="2273"/>
      <c r="GB53" s="2275"/>
      <c r="GC53" s="2269"/>
      <c r="GD53" s="208" t="s">
        <v>623</v>
      </c>
      <c r="GE53" s="142" t="s">
        <v>624</v>
      </c>
      <c r="GF53" s="135" t="s">
        <v>626</v>
      </c>
      <c r="GG53" s="135" t="s">
        <v>627</v>
      </c>
      <c r="GH53" s="135" t="s">
        <v>628</v>
      </c>
      <c r="GI53" s="136" t="s">
        <v>629</v>
      </c>
      <c r="GJ53" s="1986"/>
      <c r="GK53" s="757" t="s">
        <v>953</v>
      </c>
    </row>
    <row r="54" spans="1:193" ht="12.6" hidden="1" customHeight="1" thickTop="1" x14ac:dyDescent="0.2">
      <c r="BZ54" s="293"/>
      <c r="CA54" s="293"/>
      <c r="CB54" s="365" t="str">
        <f t="shared" ref="CB54:CB85" si="100">IF(CB14="","",CB14)</f>
        <v>G44</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1">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2">CW14*-1</f>
        <v>0</v>
      </c>
      <c r="CU54" s="1317">
        <f t="shared" ref="CU54:CU85" si="103">IF(DA14="",0,ATAN(DA14/12))</f>
        <v>0</v>
      </c>
      <c r="CV54" s="1311">
        <f t="shared" ref="CV54:CV85" si="104">IF(OR(CD54="",CE14="",CM54=""),"",CEILING(IF(AND(CE14="",CF14=""),"",((CE14*12+CF14)+CD54+CM54)/COS(EU54))-0.0625,0.125))</f>
        <v>671.5</v>
      </c>
      <c r="CW54" s="1311">
        <f t="shared" ref="CW54:CW85" si="105">IF(CF54="","",IF(ABS(EM54)&lt;ABS($FA$2),CF54,IF(EM54=0,CF54,CEILING((CF54+((DC54-CD54)/12)*EM54)-0.0625,0.125))))</f>
        <v>7.5</v>
      </c>
      <c r="CX54" s="1311">
        <f t="shared" ref="CX54:CX85" si="106">IF(CO54="","",IF(ABS(ER54)&lt;ABS($FA$2),CO54,IF(ER54=0,CO54,CEILING((CO54+((DI54-CM54)/12)*ER54)-0.0625,0.125))))</f>
        <v>7.5</v>
      </c>
      <c r="CY54" s="1313">
        <f t="shared" ref="CY54:CY85" si="107">RADIANS(ABS(CL14))</f>
        <v>0</v>
      </c>
      <c r="CZ54" s="1313">
        <f t="shared" ref="CZ54:CZ85" si="108">MIN(IF(CH14&gt;0,CH14/2,MAX(CI14/2,CJ54)),IF(CI14&gt;0,CI14/2,MAX(CH14/2,CJ54)),IF(CJ54&gt;0,CJ54,MAX(CI14/2,CH14/2)))/IF(OR(CC54="C",AND(CC54="M",$FG$1="N")),1,COS(CY54))</f>
        <v>9</v>
      </c>
      <c r="DA54" s="1313">
        <f t="shared" ref="DA54:DA85" si="109">IF(CD54="","",IF(CJ54&gt;=0,MAX(CH14/2,CI14/2,CJ54),CJ54)/IF(OR(CC54="C",AND(CC54="M",$FG$1="N")),1,COS(CY54)))</f>
        <v>9</v>
      </c>
      <c r="DB54" s="1311">
        <f>IF(CD54="","",CD54+DA54+($EY$4*TAN(CY54)))</f>
        <v>8.75</v>
      </c>
      <c r="DC54" s="1311">
        <f t="shared" ref="DC54:DC85" si="110">IF(CD54="","",IF(NOT(ISBLANK(CO14)),CD54-CO14,MAX(IF(AND(CZ54&gt;=$FB$4,DA54&lt;=$FA$4,OR($FA$1=1,$FA$1=4)),CD54,IF(OR($FA$1=3,$FA$1=4),DB54-$FA$4,DB54+MAX(($FA$4-$FB$4)-(DA54-CZ54)-$EY$4/2*TAN(CY54),0)-$FA$4))-EO54,0)))</f>
        <v>2.75</v>
      </c>
      <c r="DD54" s="875">
        <f>IF(CD54="",0,IF(DC54/COS(EU54)&lt;0.0625,0,CEILING(DC54/COS(EU54)-0.03125,0.125)))</f>
        <v>2.75</v>
      </c>
      <c r="DE54" s="873">
        <f t="shared" ref="DE54:DE85" si="111">RADIANS(ABS(CV14))</f>
        <v>0</v>
      </c>
      <c r="DF54" s="874">
        <f t="shared" ref="DF54:DF85" si="112">MIN(IF(CR14&gt;0,CR14/2,MAX(CS14/2,CS54)),IF(CS14&gt;0,CS14/2,MAX(CR14/2,CS54)),IF(CS54&gt;0,CS54,MAX(CS14/2,CR14/2)))/IF(OR(CL54="C",AND(CL54="M",$FG$1="N")),1,COS(DE54))</f>
        <v>9</v>
      </c>
      <c r="DG54" s="874">
        <f t="shared" ref="DG54:DG85" si="113">IF(CM54="","",IF(CS54&gt;=0,MAX(CR14/2,CS14/2,CS54),CS54)/IF(OR(CL54="C",AND(CL54="M",$FG$1="N")),1,COS(DE54)))</f>
        <v>9</v>
      </c>
      <c r="DH54" s="1311">
        <f>IF(CM54="","",CM54+DG54+($EY$4*TAN(DE54)))</f>
        <v>8.75</v>
      </c>
      <c r="DI54" s="1311">
        <f t="shared" ref="DI54:DI85" si="114">IF(CM54="","",IF(NOT(ISBLANK(CY14)),CM54-CY14,MAX(IF(AND(DF54&gt;=$FB$4,DG54&lt;=$FA$4,OR($FA$1=1,$FA$1=4)),CM54,IF(OR($FA$1=3,$FA$1=4),DH54-$FA$4,DH54+MAX(($FA$4-$FB$4)-(DG54-DF54)-$EY$4/2*TAN(DE54),0)-$FA$4))-ET54,0)-CY14))</f>
        <v>2.75</v>
      </c>
      <c r="DJ54" s="1312">
        <f>IF(CM54="",0,IF(DI54/COS(EU54)&lt;0.0625,0,CEILING(DI54/COS(EU54)-0.03125,0.125)))</f>
        <v>2.75</v>
      </c>
      <c r="DK54" s="1311">
        <f t="shared" ref="DK54:DK85" si="115">IF(CV54="","",CEILING(CV54-DD54-DJ54-0.0625,0.125))</f>
        <v>666</v>
      </c>
      <c r="DL54" s="1311">
        <f t="shared" ref="DL54:DL85" si="116">IF(AND(EG54="",CH54=""),"",IF(EG54="ERR","ERR",IF(ISNUMBER(EG54),(EG54/2)*-1,CH54)))</f>
        <v>-7.5</v>
      </c>
      <c r="DM54" s="1311">
        <f t="shared" ref="DM54:DM85" si="117">IF(DL54="ERR","ERR",IF(DL54="","",IF(CR54*TAN(CY54)&lt;=($FE$4-($FD$4-0.0625)),CD54-(DL54-EO54)/IF(OR(CC54="C",AND(CC54="M",$FG$1="N")),1,COS(CY54))-IF(MID(CE54,1,1)="R",0,DC54),(ABS(DL54-EO54)/IF(OR(CC54="C",AND(CC54="M",$FG$1="N")),1,COS(CY54))+CD54)-((CR54/2)*TAN(CY54))-IF(MID(CE54,1,1)="R",0,DC54))))</f>
        <v>7.25</v>
      </c>
      <c r="DN54" s="1311">
        <f t="shared" ref="DN54:DN85" si="118">IF(DL54="ERR","ERR",IF(DL54="","",IF(CI54*TAN(CY54)&lt;=($FE$4-($FD$4-0.0625)),CD54-(DL54-EO54)/IF(OR(CC54="C",AND(CC54="M",$FG$1="N")),1,COS(CY54))-IF(MID(CE54,1,1)="R",0,DC54),(ABS(DL54-EO54)/IF(OR(CC54="C",AND(CC54="M",$FG$1="N")),1,COS(CY54))+CD54)+((CI54/2)*TAN(CY54))-IF(MID(CE54,1,1)="R",0,DC54))))</f>
        <v>7.25</v>
      </c>
      <c r="DO54" s="889">
        <f t="shared" ref="DO54:DO85" si="119">IF(ISBLANK(CO14),IF(DM54&lt;$EX$6+($FD$4-0.0625)/2,"ERR",IF(DM54&lt;$EX$6+$FE$4/2,($FE$4/2+$EX$6),IF(DM54&lt;$FA$4+IF(MID(CE54,1,1)="R",DC54+CO14,0)-$FE$4/2-$EX$6,DM54,IF(DM54&lt;=$FA$4+IF(MID(CE54,1,1)="R",DC54,0)-($FD$4-0.0625)/2-$EX$6,$FA$4+IF(MID(CE54,1,1)="R",DC54,0)-($FE$4/2+$EX$6),"ERR")))),DM54)</f>
        <v>7.25</v>
      </c>
      <c r="DP54" s="889">
        <f t="shared" ref="DP54:DP85" si="120">IF(ISBLANK(CO14),IF(DN54&lt;$EX$6+($FD$4-0.0625)/2,"ERR",IF(DN54&lt;0.5+$FE$4/2,($FE$4/2+$EX$6),IF(DN54&lt;$FA$4+IF(MID(CE54,1,1)="R",DC54+CO14,0)-$FE$4/2-$EX$6,DN54,IF(DN54&lt;=$FA$4+IF(MID(CE54,1,1)="R",DC54,0)-($FD$4-0.0625)/2-$EX$6,$FA$4+IF(MID(CE54,1,1)="R",DC54,0)-($FE$4/2+$EX$6),"ERR")))),DN54)</f>
        <v>7.25</v>
      </c>
      <c r="DQ54" s="1311">
        <f t="shared" ref="DQ54:DR85" si="121">IF(ISERROR(DM54),"ERR",IF(DM54="","",IF(DO54="ERR","ERR",CEILING(DO54-0.0625,0.125))))</f>
        <v>7.25</v>
      </c>
      <c r="DR54" s="1311">
        <f t="shared" si="121"/>
        <v>7.25</v>
      </c>
      <c r="DS54" s="1311">
        <f t="shared" ref="DS54:DS85" si="122">IF(AND(EJ54="",CQ54=""),"",IF(EJ54="ERR","ERR",IF(ISNUMBER(EJ54),(EJ54/2)*-1,CQ54)))</f>
        <v>-7.5</v>
      </c>
      <c r="DT54" s="1311">
        <f t="shared" ref="DT54:DT85" si="123">IF(DS54="ERR","ERR",IF(DS54="","",IF(CR54*TAN(DE54)&lt;=($FE$4-($FD$4-0.0625)),CM54-(DS54-ET54)/IF(OR(CL54="C",AND(CL54="M",$FG$1="N")),1,COS(DE54))-IF(MID(CN54,1,1)="R",0,DI54),(ABS(DS54-ET54)/IF(OR(CL54="C",AND(CL54="M",$FG$1="N")),1,COS(DE54))+CM54)-((CR54/2)*TAN(DE54))-IF(MID(CN54,1,1)="R",0,DI54))))</f>
        <v>7.25</v>
      </c>
      <c r="DU54" s="1311">
        <f t="shared" ref="DU54:DU85" si="124">IF(DS54="ERR","ERR",IF(DS54="","",IF(CR54*TAN(DE54)&lt;=($FE$4-($FD$4-0.0625)),CM54-(DS54-ET54)/IF(OR(CL54="C",AND(CL54="M",$FG$1="N")),1,COS(DE54))-IF(MID(CN54,1,1)="R",0,DI54),(ABS(DS54-ET54)/IF(OR(CL54="C",AND(CL54="M",$FG$1="N")),1,COS(DE54))+CM54)+((CR54/2)*TAN(DE54))-IF(MID(CN54,1,1)="R",0,DI54))))</f>
        <v>7.25</v>
      </c>
      <c r="DV54" s="889">
        <f t="shared" ref="DV54:DV85" si="125">IF(ISBLANK(CY14),IF(DT54&lt;$EX$6+($FD$4-0.0625)/2,"ERR",IF(DT54&lt;$EX$6+$FE$4/2,($FE$4/2+$EX$6),IF(DT54&lt;$FA$4+IF(MID(CN54,1,1)="R",DI54+CY14,0)-$FE$4/2-$EX$6,DT54,IF(DT54&lt;=$FA$4+IF(MID(CN54,1,1)="R",DI54,0)-($FD$4-0.0625)/2-$EX$6,$FA$4+IF(MID(CN54,1,1)="R",DI54,0)-($FE$4/2+$EX$6),"ERR")))),DT54)</f>
        <v>7.25</v>
      </c>
      <c r="DW54" s="889">
        <f t="shared" ref="DW54:DW85" si="126">IF(ISBLANK(CY14),IF(DU54&lt;$EX$6+($FD$4-0.0625)/2,"ERR",IF(DU54&lt;0.5+$FE$4/2,($FE$4/2+$EX$6),IF(DU54&lt;$FA$4+IF(MID(CN54,1,1)="R",DI54+CY14,0)-$FE$4/2-$EX$6,DU54,IF(DU54&lt;=$FA$4+IF(MID(CN54,1,1)="R",DI54,0)-($FD$4-0.0625)/2-$EX$6,$FA$4+IF(MID(CN54,1,1)="R",DI54,0)-($FE$4/2+$EX$6),"ERR")))),DU54)</f>
        <v>7.25</v>
      </c>
      <c r="DX54" s="873">
        <f t="shared" ref="DX54:DY74" si="127">IF(ISERROR(DT54),"ERR",IF(DT54="","",IF(DV54="ERR","ERR",CEILING(DV54-0.0625,0.125))))</f>
        <v>7.25</v>
      </c>
      <c r="DY54" s="873">
        <f t="shared" si="127"/>
        <v>7.25</v>
      </c>
      <c r="DZ54" s="873">
        <f t="shared" ref="DZ54:DZ84" si="128">IF(CG54="","",IF((CD54-CG54)/COS(CU54)-FB54&lt;=-0.0625,CEILING((CD54-CG54)/COS(CU54)-FB54+0.0625,-0.125),IF((CD54-CG54)/COS(CU54)-FB54&gt;=0.0625,CEILING((CD54-CG54)/COS(CU54)-FB54-0.0625,0.125),0)))</f>
        <v>7.75</v>
      </c>
      <c r="EA54" s="873">
        <f t="shared" ref="EA54:EA84" si="129">IF(CP54="","",IF((CM54-CP54)/COS(CU54)-FC54&lt;=-0.0625,CEILING((CM54-CP54)/COS(CU54)-FC54+0.0625,-0.125),IF((CM54-CP54)/COS(CU54)-FC54&gt;=0.0625,CEILING((CM54-CP54)/COS(CU54)-FC54-0.0625,0.125),0)))</f>
        <v>7.75</v>
      </c>
      <c r="EB54" s="876">
        <f t="shared" ref="EB54:EB85" si="130">IF(CD14="","",$FC$4)</f>
        <v>5</v>
      </c>
      <c r="EC54" s="877">
        <f t="shared" ref="EC54:EC85" si="131">IF(AND(DR54="",DY54=""),"",IF(OR(CI54=EB54,CR54=EB54),EB54,CI54))</f>
        <v>5</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f t="shared" ref="EO54:EO85" si="143">IF(CF54="","",CF54*TAN(EK54))</f>
        <v>0</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f t="shared" ref="ET54:ET85" si="148">IF(CO54="","",CO54*TAN(EP54))</f>
        <v>0</v>
      </c>
      <c r="EU54" s="873">
        <f t="shared" ref="EU54:EU85" si="149">IF((CE14*12+CF14)/COS(CU54)-(CE14*12+CF14)&lt;$FE$2,0,CU54)</f>
        <v>0</v>
      </c>
      <c r="EV54" s="876">
        <f t="shared" ref="EV54:EV85" si="150">MIN(IF(CH14&gt;0,CH14/2,MAX(CI14/2,CJ54)),IF(CI14&gt;0,CI14/2,MAX(CH14/2,CJ54)),IF(CJ54&gt;0,CJ54,MAX(CI14/2,CH14/2)))/COS(CY54)+CD54-DC54</f>
        <v>6</v>
      </c>
      <c r="EW54" s="876">
        <f t="shared" ref="EW54:EW85" si="151">MIN(IF(CR14&gt;0,CR14/2,MAX(CS14/2,CS54)),IF(CS14&gt;0,CS14/2,MAX(CR14/2,CS54)),IF(CS54&gt;0,CS54,MAX(CS14/2,CR14/2)))/COS(DE54)+CM54-DI54</f>
        <v>6</v>
      </c>
      <c r="EX54" s="878" t="e">
        <f t="shared" ref="EX54:EX85" si="152">IF(CD14="","",IF(EZ54&lt;1.2,5+$EX$4,IF(EZ54&lt;1.79,6+$EX$4,IF(EZ54&lt;2.3,7+$EX$4,IF(EZ54&lt;3.76,8+$EX$4,IF(EZ54&lt;4.76,10+$EX$4,IF(EZ54&lt;8.45,12+$EX$4,"ERR")))))))</f>
        <v>#VALUE!</v>
      </c>
      <c r="EY54" s="879" t="e">
        <f t="shared" ref="EY54:EY85" si="153">TRUNC(IF(FA54&lt;1.03,25.667,IF(FA54&lt;1.2,29.667,IF(FA54&lt;1.79,33.583,IF(FA54&lt;2.3,37.75,IF(FA54&lt;3.76,42,IF(FA54&lt;4.76,50.167,IF(FA54&lt;8.45,58.167,"ERR"))))))))</f>
        <v>#VALUE!</v>
      </c>
      <c r="EZ54" s="959" t="e">
        <f t="shared" ref="EZ54:EZ85" si="154">(0.03*BP14*((CE14+CF14/12)/BO14)*(BO14^2-IF(ISEVEN(BO14),0,1)))/BM14</f>
        <v>#VALUE!</v>
      </c>
      <c r="FA54" s="960" t="e">
        <f t="shared" ref="FA54:FA85" si="155">(0.026*BP14*((CE14+CF14/12)/BO14)*(BO14^2-IF(ISEVEN(BO14),0,1)))/BM14</f>
        <v>#VALUE!</v>
      </c>
      <c r="FB54" s="880">
        <f t="shared" ref="FB54:FB85" si="156">IF(CG54="","",IF(ABS(DA14*((BM14-IF(DA14&gt;0,$FF$4,0))/12))&gt;$CX$2,DA14*((BM14-IF(DA14&gt;0,$FF$4,0))/12),0))</f>
        <v>0</v>
      </c>
      <c r="FC54" s="881">
        <f t="shared" ref="FC54:FC85" si="157">IF(CP54="","",IF(ABS(DA14*((BM14-IF(DA14&lt;0,$FF$4,0))/12))&gt;$CX$2,DA14*((BM14-IF(DA14&lt;0,$FF$4,0))/12)*-1,0))</f>
        <v>0</v>
      </c>
      <c r="FD54" s="890">
        <f t="shared" ref="FD54:FD85" si="158">IF(CF54="",0,MAX(0,DB54-$FA$4))</f>
        <v>2.75</v>
      </c>
      <c r="FE54" s="833">
        <f t="shared" ref="FE54:FE85" si="159">IF(CO54="",0,MAX(0,DH54-$FA$4))</f>
        <v>2.75</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G44</v>
      </c>
      <c r="FL54" s="311">
        <f>VLOOKUP(DH14,$CB$54:$DK$85,36,FALSE)</f>
        <v>666</v>
      </c>
      <c r="FM54" s="312" t="str">
        <f t="shared" ref="FM54:FM85" si="164">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5">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6">IF(ISBLANK(DT14),"",MAX(0,DT14+VLOOKUP(FK54,$CB$54:$CD$85,3,FALSE)))</f>
        <v>1.75</v>
      </c>
      <c r="GE54" s="318">
        <f t="shared" ref="GE54:GE85" si="167">IF(ISBLANK(DU14),"",MAX(0,DU14+VLOOKUP(FK54,$CB$54:$CM$85,12,FALSE)))</f>
        <v>1.75</v>
      </c>
      <c r="GF54" s="269">
        <f t="shared" ref="GF54:GF85" si="168">IF(AND(ISBLANK(DV14),ISBLANK(DW14)),"",IF(DV14="P",IF(ISNUMBER(DW14),CONCATENATE("#", DW14),DW14),CEILING((DV14*12+DW14+GC54)/COS(VLOOKUP(FK54,$CB$54:$EU$85,72,FALSE))-0.0625,0.125)))</f>
        <v>12</v>
      </c>
      <c r="GG54" s="270">
        <f t="shared" ref="GG54:GG85" si="169">IF(AND(ISBLANK(DZ14),ISBLANK(EA14)),"",IF(DZ14="P",IF(ISNUMBER(EA14),CONCATENATE("#", EA14),EA14),CEILING((DZ14*12+EA14+GC54)/COS(VLOOKUP(FK54,$CB$54:$EU$85,72,FALSE))-0.0625,0.125)))</f>
        <v>660</v>
      </c>
      <c r="GH54" s="270" t="str">
        <f t="shared" ref="GH54:GH85" si="170">IF(AND(ISBLANK(ED14),ISBLANK(EE14)),"",IF(ED14="P",IF(ISNUMBER(EE14),CONCATENATE("#", EE14),EE14),CEILING((ED14*12+EE14+GC54)/COS(VLOOKUP(FK54,$CB$54:$EU$85,72,FALSE))-0.0625,0.125)))</f>
        <v/>
      </c>
      <c r="GI54" s="271" t="str">
        <f t="shared" ref="GI54:GI85" si="171">IF(AND(ISBLANK(EH14),ISBLANK(EI14)),"",IF(EH14="P",IF(ISNUMBER(EI14),CONCATENATE("#", EI14),EI14),CEILING((EH14*12+EI14+GC54)/COS(VLOOKUP(FK54,$CB$54:$EU$85,72,FALSE))-0.0625,0.125)))</f>
        <v/>
      </c>
      <c r="GJ54" s="529">
        <f t="shared" ref="GJ54:GJ84"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0"/>
        <v>G45</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1"/>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2"/>
        <v>0</v>
      </c>
      <c r="CU55" s="1317">
        <f t="shared" si="103"/>
        <v>0</v>
      </c>
      <c r="CV55" s="1311">
        <f t="shared" si="104"/>
        <v>671.5</v>
      </c>
      <c r="CW55" s="1311">
        <f t="shared" si="105"/>
        <v>7.5</v>
      </c>
      <c r="CX55" s="1311">
        <f t="shared" si="106"/>
        <v>7.5</v>
      </c>
      <c r="CY55" s="1313">
        <f t="shared" si="107"/>
        <v>0</v>
      </c>
      <c r="CZ55" s="1313">
        <f t="shared" si="108"/>
        <v>9</v>
      </c>
      <c r="DA55" s="1313">
        <f t="shared" si="109"/>
        <v>9</v>
      </c>
      <c r="DB55" s="1311">
        <f t="shared" ref="DB55:DB85" si="173">IF(CD55="","",CD55+DA55+($EY$4*TAN(CY55)))</f>
        <v>8.75</v>
      </c>
      <c r="DC55" s="1311">
        <f t="shared" si="110"/>
        <v>2.75</v>
      </c>
      <c r="DD55" s="875">
        <f t="shared" ref="DD55:DD85" si="174">IF(CD55="",0,IF(DC55/COS(EU55)&lt;0.0625,0,CEILING(DC55/COS(EU55)-0.03125,0.125)))</f>
        <v>2.75</v>
      </c>
      <c r="DE55" s="873">
        <f t="shared" si="111"/>
        <v>0</v>
      </c>
      <c r="DF55" s="874">
        <f t="shared" si="112"/>
        <v>9</v>
      </c>
      <c r="DG55" s="874">
        <f t="shared" si="113"/>
        <v>9</v>
      </c>
      <c r="DH55" s="1311">
        <f t="shared" ref="DH55:DH85" si="175">IF(CM55="","",CM55+DG55+($EY$4*TAN(DE55)))</f>
        <v>8.75</v>
      </c>
      <c r="DI55" s="1311">
        <f t="shared" si="114"/>
        <v>2.75</v>
      </c>
      <c r="DJ55" s="1312">
        <f t="shared" ref="DJ55:DJ85" si="176">IF(CM55="",0,IF(DI55/COS(EU55)&lt;0.0625,0,CEILING(DI55/COS(EU55)-0.03125,0.125)))</f>
        <v>2.75</v>
      </c>
      <c r="DK55" s="1311">
        <f t="shared" si="115"/>
        <v>666</v>
      </c>
      <c r="DL55" s="1311">
        <f t="shared" si="116"/>
        <v>-7.5</v>
      </c>
      <c r="DM55" s="1311">
        <f t="shared" si="117"/>
        <v>7.25</v>
      </c>
      <c r="DN55" s="1311">
        <f t="shared" si="118"/>
        <v>7.25</v>
      </c>
      <c r="DO55" s="889">
        <f t="shared" si="119"/>
        <v>7.25</v>
      </c>
      <c r="DP55" s="889">
        <f t="shared" si="120"/>
        <v>7.25</v>
      </c>
      <c r="DQ55" s="1311">
        <f t="shared" si="121"/>
        <v>7.25</v>
      </c>
      <c r="DR55" s="1311">
        <f t="shared" si="121"/>
        <v>7.25</v>
      </c>
      <c r="DS55" s="1311">
        <f t="shared" si="122"/>
        <v>-7.5</v>
      </c>
      <c r="DT55" s="1311">
        <f t="shared" si="123"/>
        <v>7.25</v>
      </c>
      <c r="DU55" s="1311">
        <f t="shared" si="124"/>
        <v>7.25</v>
      </c>
      <c r="DV55" s="889">
        <f t="shared" si="125"/>
        <v>7.25</v>
      </c>
      <c r="DW55" s="889">
        <f t="shared" si="126"/>
        <v>7.25</v>
      </c>
      <c r="DX55" s="873">
        <f t="shared" si="127"/>
        <v>7.25</v>
      </c>
      <c r="DY55" s="873">
        <f t="shared" si="127"/>
        <v>7.25</v>
      </c>
      <c r="DZ55" s="873">
        <f t="shared" si="128"/>
        <v>7.75</v>
      </c>
      <c r="EA55" s="873">
        <f t="shared" si="129"/>
        <v>7.75</v>
      </c>
      <c r="EB55" s="876">
        <f t="shared" si="130"/>
        <v>5</v>
      </c>
      <c r="EC55" s="877">
        <f t="shared" si="131"/>
        <v>5</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f t="shared" si="143"/>
        <v>0</v>
      </c>
      <c r="EP55" s="874">
        <f t="shared" si="144"/>
        <v>0</v>
      </c>
      <c r="EQ55" s="874">
        <f t="shared" si="145"/>
        <v>0</v>
      </c>
      <c r="ER55" s="874">
        <f t="shared" si="146"/>
        <v>0</v>
      </c>
      <c r="ES55" s="874" t="str">
        <f t="shared" si="147"/>
        <v/>
      </c>
      <c r="ET55" s="873">
        <f t="shared" si="148"/>
        <v>0</v>
      </c>
      <c r="EU55" s="873">
        <f t="shared" si="149"/>
        <v>0</v>
      </c>
      <c r="EV55" s="876">
        <f t="shared" si="150"/>
        <v>6</v>
      </c>
      <c r="EW55" s="876">
        <f t="shared" si="151"/>
        <v>6</v>
      </c>
      <c r="EX55" s="878" t="e">
        <f t="shared" si="152"/>
        <v>#VALUE!</v>
      </c>
      <c r="EY55" s="879" t="e">
        <f t="shared" si="153"/>
        <v>#VALUE!</v>
      </c>
      <c r="EZ55" s="959" t="e">
        <f t="shared" si="154"/>
        <v>#VALUE!</v>
      </c>
      <c r="FA55" s="960" t="e">
        <f t="shared" si="155"/>
        <v>#VALUE!</v>
      </c>
      <c r="FB55" s="880">
        <f t="shared" si="156"/>
        <v>0</v>
      </c>
      <c r="FC55" s="881">
        <f t="shared" si="157"/>
        <v>0</v>
      </c>
      <c r="FD55" s="890">
        <f t="shared" si="158"/>
        <v>2.75</v>
      </c>
      <c r="FE55" s="833">
        <f t="shared" si="159"/>
        <v>2.75</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G45</v>
      </c>
      <c r="FL55" s="320">
        <f t="shared" ref="FL55:FL85" si="179">IF(ISERROR(VLOOKUP(DH15,$CB$54:$DK$85,36,FALSE)),FL54,VLOOKUP(DH15,$CB$54:$DK$85,36,FALSE))</f>
        <v>666</v>
      </c>
      <c r="FM55" s="312" t="str">
        <f t="shared" si="164"/>
        <v/>
      </c>
      <c r="FN55" s="272">
        <f t="shared" ref="FN55:FN85" ca="1" si="180">IF(OR(FS55=0,DL15=""),"",IF(UPPER(FM54)="X",0,CEILING(IF(AND(DJ15="",DK15=""),IF(UPPER(FM55)="X",FP55,IF(AND(DM15="",DN15=""),(FS55-FO55*FP55)/2,(DJ15*12+DK15+(DL15*(DM15*12+DN15)))-FO55*FP55)),(DJ15*12+DK15))-0.0625,0.125)))</f>
        <v>96</v>
      </c>
      <c r="FO55" s="273">
        <f t="shared" ref="FO55:FO85" ca="1" si="181">IF(OR(FS55=0,DL15=""),"",DL15-IF(AND(DJ15="",DK15="",FM54&lt;&gt;"X"),1,0)-IF(AND(DM15="",DN15="",FM55=""),1,0))</f>
        <v>5</v>
      </c>
      <c r="FP55" s="274">
        <f t="shared" ref="FP55:FP85" ca="1" si="182">IF(OR(FS55=0,DL15=""),"",CEILING(IF(AND(DM15="",DN15=""),IF(DL15=FO55,(FS55-FN55-FQ55)/FO55,(FS55-IF(AND(DJ15="",DK15=""),0,FN55)-IF(FM55="",0,FQ55))/DL15),DM15*12+DN15)-0.0625,0.125))</f>
        <v>96</v>
      </c>
      <c r="FQ55" s="274">
        <f t="shared" ref="FQ55:FQ85" ca="1" si="183">IF(OR(FS55=0,DL15=""),"",IF(UPPER(FM55)="X",0,FS55-FN55-FO55*FP55))</f>
        <v>96</v>
      </c>
      <c r="FR55" s="321">
        <f t="shared" ref="FR55:FR85" ca="1" si="184">IF(OR(FS55=0,DL15=""),0,FS55-(FN55+FO55*FP55+FQ55))</f>
        <v>0</v>
      </c>
      <c r="FS55" s="322">
        <f t="shared" ref="FS55:FS85" ca="1" si="185">IF(ISBLANK(DH15),IF(FR54=0,IF(OR(DI15="F",DI15="N"),OFFSET(FS54,(-1*(FU54-1)),0),0),FR54),VLOOKUP(DH15,$CB$14:$CF$45,4,FALSE)*12+VLOOKUP(DH15,$CB$14:$CF$45,5,FALSE))</f>
        <v>672</v>
      </c>
      <c r="FT55" s="272">
        <f t="shared" ref="FT55:FT85" ca="1" si="186">IF(FU55="","",IF(FU55=1,IF(FL55="",OFFSET(FL55,(-1*FU54),0),FL55),FT54-GA54))</f>
        <v>666</v>
      </c>
      <c r="FU55" s="275">
        <f t="shared" ref="FU55:FU85" ca="1" si="187">IF(FS55=0,"",IF(FR54=0,1,FU54+1))</f>
        <v>1</v>
      </c>
      <c r="FV55" s="323">
        <f t="shared" ca="1" si="165"/>
        <v>93</v>
      </c>
      <c r="FW55" s="276">
        <f t="shared" ref="FW55:FW85" ca="1" si="188">IF(OR(FN55=0,FN55=""),"",(FN55+VLOOKUP(FK55,$CB$54:$CD$85,3,FALSE)-VLOOKUP(FK55,$CB$54:$DD$85,29,FALSE))/COS(VLOOKUP(FK55,$CB$54:$EU$85,72,FALSE)))</f>
        <v>93</v>
      </c>
      <c r="FX55" s="276">
        <f t="shared" ref="FX55:FX85" ca="1" si="189">IF(FO55=0,0,IF(FP55="","",CEILING(FP55/COS(VLOOKUP(FK55,$CB$54:$EU$85,72,FALSE))-0.0625,0.125)))</f>
        <v>96</v>
      </c>
      <c r="FY55" s="276">
        <f t="shared" ref="FY55:FY85" ca="1" si="190">IF(OR(FQ55=0,FQ55=""),"",FT55-IF(FW55="",0,FW55)-FO55*FX55)</f>
        <v>93</v>
      </c>
      <c r="FZ55" s="276">
        <f t="shared" ref="FZ55:FZ85" ca="1" si="191">IF(FY55="","",CEILING(FT55-IF(FV55="",0,FV55)-(FO55*FX55)-0.0625,0.125))</f>
        <v>93</v>
      </c>
      <c r="GA55" s="276">
        <f t="shared" ref="GA55:GA85" ca="1" si="192">IF(FP55="","",IF(FW55="",0,FW55)+FO55*FX55+IF(FY55="",0,FY55))</f>
        <v>666</v>
      </c>
      <c r="GB55" s="277">
        <f ca="1">IF(FY55="","",2+SUM(FO55:OFFSET(FO55,(FU55-1)*-1,0)))</f>
        <v>7</v>
      </c>
      <c r="GC55" s="316">
        <f t="shared" ref="GC55:GC85" si="193">IF(ISERROR(VLOOKUP(DH15,$CB$54:$CD$85,3,FALSE)),GC54,VLOOKUP(DH15,$CB$54:$CD$85,3,FALSE))</f>
        <v>-0.25</v>
      </c>
      <c r="GD55" s="324">
        <f t="shared" si="166"/>
        <v>1.75</v>
      </c>
      <c r="GE55" s="325">
        <f t="shared" si="167"/>
        <v>1.75</v>
      </c>
      <c r="GF55" s="278">
        <f t="shared" si="168"/>
        <v>12</v>
      </c>
      <c r="GG55" s="279">
        <f t="shared" si="169"/>
        <v>660</v>
      </c>
      <c r="GH55" s="279" t="str">
        <f t="shared" si="170"/>
        <v/>
      </c>
      <c r="GI55" s="280" t="str">
        <f t="shared" si="171"/>
        <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0"/>
        <v>G46</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1"/>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2"/>
        <v>0</v>
      </c>
      <c r="CU56" s="1317">
        <f t="shared" si="103"/>
        <v>0</v>
      </c>
      <c r="CV56" s="1311">
        <f t="shared" si="104"/>
        <v>671.5</v>
      </c>
      <c r="CW56" s="1311">
        <f t="shared" si="105"/>
        <v>7.5</v>
      </c>
      <c r="CX56" s="1311">
        <f t="shared" si="106"/>
        <v>7.5</v>
      </c>
      <c r="CY56" s="1313">
        <f t="shared" si="107"/>
        <v>0</v>
      </c>
      <c r="CZ56" s="1313">
        <f t="shared" si="108"/>
        <v>9</v>
      </c>
      <c r="DA56" s="1313">
        <f t="shared" si="109"/>
        <v>9</v>
      </c>
      <c r="DB56" s="1311">
        <f t="shared" si="173"/>
        <v>8.75</v>
      </c>
      <c r="DC56" s="1311">
        <f t="shared" si="110"/>
        <v>2.75</v>
      </c>
      <c r="DD56" s="875">
        <f t="shared" si="174"/>
        <v>2.75</v>
      </c>
      <c r="DE56" s="873">
        <f t="shared" si="111"/>
        <v>0</v>
      </c>
      <c r="DF56" s="874">
        <f t="shared" si="112"/>
        <v>9</v>
      </c>
      <c r="DG56" s="874">
        <f t="shared" si="113"/>
        <v>9</v>
      </c>
      <c r="DH56" s="1311">
        <f t="shared" si="175"/>
        <v>8.75</v>
      </c>
      <c r="DI56" s="1311">
        <f t="shared" si="114"/>
        <v>2.75</v>
      </c>
      <c r="DJ56" s="1312">
        <f t="shared" si="176"/>
        <v>2.75</v>
      </c>
      <c r="DK56" s="1311">
        <f t="shared" si="115"/>
        <v>666</v>
      </c>
      <c r="DL56" s="1311">
        <f t="shared" si="116"/>
        <v>-7.5</v>
      </c>
      <c r="DM56" s="1311">
        <f t="shared" si="117"/>
        <v>7.25</v>
      </c>
      <c r="DN56" s="1311">
        <f t="shared" si="118"/>
        <v>7.25</v>
      </c>
      <c r="DO56" s="889">
        <f t="shared" si="119"/>
        <v>7.25</v>
      </c>
      <c r="DP56" s="889">
        <f t="shared" si="120"/>
        <v>7.25</v>
      </c>
      <c r="DQ56" s="1311">
        <f t="shared" si="121"/>
        <v>7.25</v>
      </c>
      <c r="DR56" s="1311">
        <f t="shared" si="121"/>
        <v>7.25</v>
      </c>
      <c r="DS56" s="1311">
        <f t="shared" si="122"/>
        <v>-7.5</v>
      </c>
      <c r="DT56" s="1311">
        <f t="shared" si="123"/>
        <v>7.25</v>
      </c>
      <c r="DU56" s="1311">
        <f t="shared" si="124"/>
        <v>7.25</v>
      </c>
      <c r="DV56" s="889">
        <f t="shared" si="125"/>
        <v>7.25</v>
      </c>
      <c r="DW56" s="889">
        <f t="shared" si="126"/>
        <v>7.25</v>
      </c>
      <c r="DX56" s="873">
        <f t="shared" si="127"/>
        <v>7.25</v>
      </c>
      <c r="DY56" s="873">
        <f t="shared" si="127"/>
        <v>7.25</v>
      </c>
      <c r="DZ56" s="873">
        <f t="shared" si="128"/>
        <v>7.75</v>
      </c>
      <c r="EA56" s="873">
        <f t="shared" si="129"/>
        <v>7.75</v>
      </c>
      <c r="EB56" s="876">
        <f t="shared" si="130"/>
        <v>5</v>
      </c>
      <c r="EC56" s="877">
        <f t="shared" si="131"/>
        <v>5</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f t="shared" si="143"/>
        <v>0</v>
      </c>
      <c r="EP56" s="874">
        <f t="shared" si="144"/>
        <v>0</v>
      </c>
      <c r="EQ56" s="874">
        <f t="shared" si="145"/>
        <v>0</v>
      </c>
      <c r="ER56" s="874">
        <f t="shared" si="146"/>
        <v>0</v>
      </c>
      <c r="ES56" s="874" t="str">
        <f t="shared" si="147"/>
        <v/>
      </c>
      <c r="ET56" s="873">
        <f t="shared" si="148"/>
        <v>0</v>
      </c>
      <c r="EU56" s="873">
        <f t="shared" si="149"/>
        <v>0</v>
      </c>
      <c r="EV56" s="876">
        <f t="shared" si="150"/>
        <v>6</v>
      </c>
      <c r="EW56" s="876">
        <f t="shared" si="151"/>
        <v>6</v>
      </c>
      <c r="EX56" s="878" t="e">
        <f t="shared" si="152"/>
        <v>#VALUE!</v>
      </c>
      <c r="EY56" s="879" t="e">
        <f t="shared" si="153"/>
        <v>#VALUE!</v>
      </c>
      <c r="EZ56" s="959" t="e">
        <f t="shared" si="154"/>
        <v>#VALUE!</v>
      </c>
      <c r="FA56" s="960" t="e">
        <f t="shared" si="155"/>
        <v>#VALUE!</v>
      </c>
      <c r="FB56" s="880">
        <f t="shared" si="156"/>
        <v>0</v>
      </c>
      <c r="FC56" s="881">
        <f t="shared" si="157"/>
        <v>0</v>
      </c>
      <c r="FD56" s="890">
        <f t="shared" si="158"/>
        <v>2.75</v>
      </c>
      <c r="FE56" s="833">
        <f t="shared" si="159"/>
        <v>2.75</v>
      </c>
      <c r="FF56" s="754" t="b">
        <f t="shared" si="160"/>
        <v>0</v>
      </c>
      <c r="FG56" s="754" t="b">
        <f t="shared" si="161"/>
        <v>0</v>
      </c>
      <c r="FH56" s="754" t="b">
        <f t="shared" si="162"/>
        <v>0</v>
      </c>
      <c r="FI56" s="754" t="b">
        <f t="shared" si="163"/>
        <v>0</v>
      </c>
      <c r="FJ56" s="920" t="str">
        <f t="shared" si="177"/>
        <v/>
      </c>
      <c r="FK56" s="919" t="str">
        <f t="shared" si="178"/>
        <v>G46</v>
      </c>
      <c r="FL56" s="320">
        <f t="shared" si="179"/>
        <v>666</v>
      </c>
      <c r="FM56" s="312" t="str">
        <f t="shared" si="164"/>
        <v/>
      </c>
      <c r="FN56" s="272">
        <f t="shared" ca="1" si="180"/>
        <v>96</v>
      </c>
      <c r="FO56" s="273">
        <f t="shared" ca="1" si="181"/>
        <v>5</v>
      </c>
      <c r="FP56" s="274">
        <f t="shared" ca="1" si="182"/>
        <v>96</v>
      </c>
      <c r="FQ56" s="274">
        <f t="shared" ca="1" si="183"/>
        <v>96</v>
      </c>
      <c r="FR56" s="321">
        <f t="shared" ca="1" si="184"/>
        <v>0</v>
      </c>
      <c r="FS56" s="322">
        <f t="shared" ca="1" si="185"/>
        <v>672</v>
      </c>
      <c r="FT56" s="272">
        <f t="shared" ca="1" si="186"/>
        <v>666</v>
      </c>
      <c r="FU56" s="275">
        <f t="shared" ca="1" si="187"/>
        <v>1</v>
      </c>
      <c r="FV56" s="323">
        <f t="shared" ca="1" si="165"/>
        <v>93</v>
      </c>
      <c r="FW56" s="276">
        <f t="shared" ca="1" si="188"/>
        <v>93</v>
      </c>
      <c r="FX56" s="276">
        <f t="shared" ca="1" si="189"/>
        <v>96</v>
      </c>
      <c r="FY56" s="276">
        <f t="shared" ca="1" si="190"/>
        <v>93</v>
      </c>
      <c r="FZ56" s="276">
        <f t="shared" ca="1" si="191"/>
        <v>93</v>
      </c>
      <c r="GA56" s="276">
        <f t="shared" ca="1" si="192"/>
        <v>666</v>
      </c>
      <c r="GB56" s="277">
        <f ca="1">IF(FY56="","",2+SUM(FO56:OFFSET(FO56,(FU56-1)*-1,0)))</f>
        <v>7</v>
      </c>
      <c r="GC56" s="316">
        <f t="shared" si="193"/>
        <v>-0.25</v>
      </c>
      <c r="GD56" s="324">
        <f t="shared" si="166"/>
        <v>1.75</v>
      </c>
      <c r="GE56" s="325">
        <f t="shared" si="167"/>
        <v>1.75</v>
      </c>
      <c r="GF56" s="278">
        <f t="shared" si="168"/>
        <v>12</v>
      </c>
      <c r="GG56" s="279">
        <f t="shared" si="169"/>
        <v>660</v>
      </c>
      <c r="GH56" s="279" t="str">
        <f t="shared" si="170"/>
        <v/>
      </c>
      <c r="GI56" s="280" t="str">
        <f t="shared" si="171"/>
        <v/>
      </c>
      <c r="GJ56" s="530">
        <f t="shared" ca="1" si="172"/>
        <v>0</v>
      </c>
      <c r="GK56" s="895" t="str">
        <f t="shared" ca="1" si="194"/>
        <v/>
      </c>
    </row>
    <row r="57" spans="1:193" ht="12.6" hidden="1" customHeight="1" x14ac:dyDescent="0.2">
      <c r="BZ57" s="293"/>
      <c r="CA57" s="293"/>
      <c r="CB57" s="365" t="str">
        <f t="shared" si="100"/>
        <v>G47</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1"/>
        <v>0</v>
      </c>
      <c r="CL57" s="1305" t="str">
        <f>IF(CQ17="","",VLOOKUP(CQ17,SectInfo!$B:$N,12,FALSE))</f>
        <v>C</v>
      </c>
      <c r="CM57" s="1306">
        <f>IF(ISBLANK(CX17),IF(CQ17="","",VLOOKUP(CQ17,SectInfo!$B:$N,13,FALSE)),CX17)</f>
        <v>-6.5</v>
      </c>
      <c r="CN57" s="1306" t="str">
        <f>IF(CQ17="","",IF(VLOOKUP(CQ17,SectInfo!$B:$N,5,FALSE)="","R",UPPER(VLOOKUP(CQ17,SectInfo!$B:$N,5,FALSE))))</f>
        <v>R</v>
      </c>
      <c r="CO57" s="1306">
        <f>IF(ISBLANK(CZ17),IF(CQ17="","",VLOOKUP(CQ17,SectInfo!$B:$N,6,FALSE)),CZ17)</f>
        <v>7.5</v>
      </c>
      <c r="CP57" s="1306">
        <f>IF(CQ17="","",IF(VLOOKUP(CQ17,SectInfo!$B:$N,10,FALSE)="","",(VLOOKUP(CQ17,SectInfo!$B:$N,10,FALSE)*-1)))</f>
        <v>-8</v>
      </c>
      <c r="CQ57" s="1306">
        <f>IF(CQ17="","",IF(VLOOKUP(CQ17,SectInfo!$B:$N,7,FALSE)="","",(VLOOKUP(CQ17,SectInfo!$B:$N,7,FALSE)*-1)))</f>
        <v>-9.5</v>
      </c>
      <c r="CR57" s="1306">
        <f>IF(CQ17="","",IF(VLOOKUP(CQ17,SectInfo!$B:$N,8,FALSE)="",$FC$4,(VLOOKUP(CQ17,SectInfo!$B:$N,8,FALSE))))</f>
        <v>5</v>
      </c>
      <c r="CS57" s="1306">
        <f>IF(CQ17="","",VLOOKUP(CQ17,SectInfo!$B:$N,9,FALSE))</f>
        <v>12</v>
      </c>
      <c r="CT57" s="1307">
        <f t="shared" si="102"/>
        <v>0</v>
      </c>
      <c r="CU57" s="1317">
        <f t="shared" si="103"/>
        <v>0</v>
      </c>
      <c r="CV57" s="1311">
        <f t="shared" si="104"/>
        <v>665.25</v>
      </c>
      <c r="CW57" s="1311">
        <f t="shared" si="105"/>
        <v>7.5</v>
      </c>
      <c r="CX57" s="1311">
        <f t="shared" si="106"/>
        <v>7.5</v>
      </c>
      <c r="CY57" s="1313">
        <f t="shared" si="107"/>
        <v>0</v>
      </c>
      <c r="CZ57" s="1313">
        <f t="shared" si="108"/>
        <v>9</v>
      </c>
      <c r="DA57" s="1313">
        <f t="shared" si="109"/>
        <v>9</v>
      </c>
      <c r="DB57" s="1311">
        <f t="shared" si="173"/>
        <v>8.75</v>
      </c>
      <c r="DC57" s="1311">
        <f t="shared" si="110"/>
        <v>2.75</v>
      </c>
      <c r="DD57" s="875">
        <f t="shared" si="174"/>
        <v>2.75</v>
      </c>
      <c r="DE57" s="873">
        <f t="shared" si="111"/>
        <v>0</v>
      </c>
      <c r="DF57" s="874">
        <f t="shared" si="112"/>
        <v>12</v>
      </c>
      <c r="DG57" s="874">
        <f t="shared" si="113"/>
        <v>12</v>
      </c>
      <c r="DH57" s="1311">
        <f t="shared" si="175"/>
        <v>5.5</v>
      </c>
      <c r="DI57" s="1311">
        <f t="shared" si="114"/>
        <v>0</v>
      </c>
      <c r="DJ57" s="1312">
        <f t="shared" si="176"/>
        <v>0</v>
      </c>
      <c r="DK57" s="1311">
        <f t="shared" si="115"/>
        <v>662.5</v>
      </c>
      <c r="DL57" s="1311">
        <f t="shared" si="116"/>
        <v>-7.5</v>
      </c>
      <c r="DM57" s="1311">
        <f t="shared" si="117"/>
        <v>7.25</v>
      </c>
      <c r="DN57" s="1311">
        <f t="shared" si="118"/>
        <v>7.25</v>
      </c>
      <c r="DO57" s="889">
        <f t="shared" si="119"/>
        <v>7.25</v>
      </c>
      <c r="DP57" s="889">
        <f t="shared" si="120"/>
        <v>7.25</v>
      </c>
      <c r="DQ57" s="1311">
        <f t="shared" si="121"/>
        <v>7.25</v>
      </c>
      <c r="DR57" s="1311">
        <f t="shared" si="121"/>
        <v>7.25</v>
      </c>
      <c r="DS57" s="1311">
        <f t="shared" si="122"/>
        <v>-9.5</v>
      </c>
      <c r="DT57" s="1311">
        <f t="shared" si="123"/>
        <v>3</v>
      </c>
      <c r="DU57" s="1311">
        <f t="shared" si="124"/>
        <v>3</v>
      </c>
      <c r="DV57" s="889">
        <f t="shared" si="125"/>
        <v>3</v>
      </c>
      <c r="DW57" s="889">
        <f t="shared" si="126"/>
        <v>3</v>
      </c>
      <c r="DX57" s="873">
        <f t="shared" si="127"/>
        <v>3</v>
      </c>
      <c r="DY57" s="873">
        <f t="shared" si="127"/>
        <v>3</v>
      </c>
      <c r="DZ57" s="873">
        <f t="shared" si="128"/>
        <v>7.75</v>
      </c>
      <c r="EA57" s="873">
        <f t="shared" si="129"/>
        <v>1.5</v>
      </c>
      <c r="EB57" s="876">
        <f t="shared" si="130"/>
        <v>5</v>
      </c>
      <c r="EC57" s="877">
        <f t="shared" si="131"/>
        <v>5</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f t="shared" si="143"/>
        <v>0</v>
      </c>
      <c r="EP57" s="874">
        <f t="shared" si="144"/>
        <v>0</v>
      </c>
      <c r="EQ57" s="874">
        <f t="shared" si="145"/>
        <v>0</v>
      </c>
      <c r="ER57" s="874">
        <f t="shared" si="146"/>
        <v>0</v>
      </c>
      <c r="ES57" s="874" t="str">
        <f t="shared" si="147"/>
        <v/>
      </c>
      <c r="ET57" s="873">
        <f t="shared" si="148"/>
        <v>0</v>
      </c>
      <c r="EU57" s="873">
        <f t="shared" si="149"/>
        <v>0</v>
      </c>
      <c r="EV57" s="876">
        <f t="shared" si="150"/>
        <v>6</v>
      </c>
      <c r="EW57" s="876">
        <f t="shared" si="151"/>
        <v>5.5</v>
      </c>
      <c r="EX57" s="878" t="e">
        <f t="shared" si="152"/>
        <v>#VALUE!</v>
      </c>
      <c r="EY57" s="879" t="e">
        <f t="shared" si="153"/>
        <v>#VALUE!</v>
      </c>
      <c r="EZ57" s="959" t="e">
        <f t="shared" si="154"/>
        <v>#VALUE!</v>
      </c>
      <c r="FA57" s="960" t="e">
        <f t="shared" si="155"/>
        <v>#VALUE!</v>
      </c>
      <c r="FB57" s="880">
        <f t="shared" si="156"/>
        <v>0</v>
      </c>
      <c r="FC57" s="881">
        <f t="shared" si="157"/>
        <v>0</v>
      </c>
      <c r="FD57" s="890">
        <f t="shared" si="158"/>
        <v>2.75</v>
      </c>
      <c r="FE57" s="833">
        <f t="shared" si="159"/>
        <v>0</v>
      </c>
      <c r="FF57" s="754" t="b">
        <f t="shared" si="160"/>
        <v>0</v>
      </c>
      <c r="FG57" s="754" t="b">
        <f t="shared" si="161"/>
        <v>0</v>
      </c>
      <c r="FH57" s="754" t="b">
        <f t="shared" si="162"/>
        <v>0</v>
      </c>
      <c r="FI57" s="754" t="b">
        <f t="shared" si="163"/>
        <v>0</v>
      </c>
      <c r="FJ57" s="920" t="str">
        <f t="shared" si="177"/>
        <v/>
      </c>
      <c r="FK57" s="919" t="str">
        <f t="shared" si="178"/>
        <v>G47</v>
      </c>
      <c r="FL57" s="320">
        <f t="shared" si="179"/>
        <v>662.5</v>
      </c>
      <c r="FM57" s="312" t="str">
        <f t="shared" si="164"/>
        <v/>
      </c>
      <c r="FN57" s="272">
        <f t="shared" ca="1" si="180"/>
        <v>96</v>
      </c>
      <c r="FO57" s="273">
        <f t="shared" ca="1" si="181"/>
        <v>5</v>
      </c>
      <c r="FP57" s="274">
        <f t="shared" ca="1" si="182"/>
        <v>96</v>
      </c>
      <c r="FQ57" s="274">
        <f t="shared" ca="1" si="183"/>
        <v>96</v>
      </c>
      <c r="FR57" s="321">
        <f t="shared" ca="1" si="184"/>
        <v>0</v>
      </c>
      <c r="FS57" s="322">
        <f t="shared" ca="1" si="185"/>
        <v>672</v>
      </c>
      <c r="FT57" s="272">
        <f t="shared" ca="1" si="186"/>
        <v>662.5</v>
      </c>
      <c r="FU57" s="275">
        <f t="shared" ca="1" si="187"/>
        <v>1</v>
      </c>
      <c r="FV57" s="323">
        <f t="shared" ca="1" si="165"/>
        <v>93</v>
      </c>
      <c r="FW57" s="276">
        <f t="shared" ca="1" si="188"/>
        <v>93</v>
      </c>
      <c r="FX57" s="276">
        <f t="shared" ca="1" si="189"/>
        <v>96</v>
      </c>
      <c r="FY57" s="276">
        <f t="shared" ca="1" si="190"/>
        <v>89.5</v>
      </c>
      <c r="FZ57" s="276">
        <f t="shared" ca="1" si="191"/>
        <v>89.5</v>
      </c>
      <c r="GA57" s="276">
        <f t="shared" ca="1" si="192"/>
        <v>662.5</v>
      </c>
      <c r="GB57" s="277">
        <f ca="1">IF(FY57="","",2+SUM(FO57:OFFSET(FO57,(FU57-1)*-1,0)))</f>
        <v>7</v>
      </c>
      <c r="GC57" s="316">
        <f t="shared" si="193"/>
        <v>-0.25</v>
      </c>
      <c r="GD57" s="324">
        <f t="shared" si="166"/>
        <v>1.75</v>
      </c>
      <c r="GE57" s="325" t="str">
        <f t="shared" si="167"/>
        <v/>
      </c>
      <c r="GF57" s="278">
        <f t="shared" si="168"/>
        <v>12</v>
      </c>
      <c r="GG57" s="279" t="str">
        <f t="shared" si="169"/>
        <v/>
      </c>
      <c r="GH57" s="279" t="str">
        <f t="shared" si="170"/>
        <v/>
      </c>
      <c r="GI57" s="280" t="str">
        <f t="shared" si="171"/>
        <v/>
      </c>
      <c r="GJ57" s="530">
        <f t="shared" ca="1" si="172"/>
        <v>0</v>
      </c>
      <c r="GK57" s="895" t="str">
        <f t="shared" ca="1" si="194"/>
        <v/>
      </c>
    </row>
    <row r="58" spans="1:193" ht="12.6" hidden="1" customHeight="1" x14ac:dyDescent="0.2">
      <c r="BZ58" s="293"/>
      <c r="CA58" s="293"/>
      <c r="CB58" s="365" t="str">
        <f t="shared" si="100"/>
        <v>G48</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1"/>
        <v>0</v>
      </c>
      <c r="CL58" s="1305" t="str">
        <f>IF(CQ18="","",VLOOKUP(CQ18,SectInfo!$B:$N,12,FALSE))</f>
        <v>C</v>
      </c>
      <c r="CM58" s="1306">
        <f>IF(ISBLANK(CX18),IF(CQ18="","",VLOOKUP(CQ18,SectInfo!$B:$N,13,FALSE)),CX18)</f>
        <v>-6.5</v>
      </c>
      <c r="CN58" s="1306" t="str">
        <f>IF(CQ18="","",IF(VLOOKUP(CQ18,SectInfo!$B:$N,5,FALSE)="","R",UPPER(VLOOKUP(CQ18,SectInfo!$B:$N,5,FALSE))))</f>
        <v>R</v>
      </c>
      <c r="CO58" s="1306">
        <f>IF(ISBLANK(CZ18),IF(CQ18="","",VLOOKUP(CQ18,SectInfo!$B:$N,6,FALSE)),CZ18)</f>
        <v>7.5</v>
      </c>
      <c r="CP58" s="1306">
        <f>IF(CQ18="","",IF(VLOOKUP(CQ18,SectInfo!$B:$N,10,FALSE)="","",(VLOOKUP(CQ18,SectInfo!$B:$N,10,FALSE)*-1)))</f>
        <v>-8</v>
      </c>
      <c r="CQ58" s="1306">
        <f>IF(CQ18="","",IF(VLOOKUP(CQ18,SectInfo!$B:$N,7,FALSE)="","",(VLOOKUP(CQ18,SectInfo!$B:$N,7,FALSE)*-1)))</f>
        <v>-9.5</v>
      </c>
      <c r="CR58" s="1306">
        <f>IF(CQ18="","",IF(VLOOKUP(CQ18,SectInfo!$B:$N,8,FALSE)="",$FC$4,(VLOOKUP(CQ18,SectInfo!$B:$N,8,FALSE))))</f>
        <v>5</v>
      </c>
      <c r="CS58" s="1306">
        <f>IF(CQ18="","",VLOOKUP(CQ18,SectInfo!$B:$N,9,FALSE))</f>
        <v>12</v>
      </c>
      <c r="CT58" s="1307">
        <f t="shared" si="102"/>
        <v>0</v>
      </c>
      <c r="CU58" s="1317">
        <f t="shared" si="103"/>
        <v>0</v>
      </c>
      <c r="CV58" s="1311">
        <f t="shared" si="104"/>
        <v>665.25</v>
      </c>
      <c r="CW58" s="1311">
        <f t="shared" si="105"/>
        <v>7.5</v>
      </c>
      <c r="CX58" s="1311">
        <f t="shared" si="106"/>
        <v>7.5</v>
      </c>
      <c r="CY58" s="1313">
        <f t="shared" si="107"/>
        <v>0</v>
      </c>
      <c r="CZ58" s="1313">
        <f t="shared" si="108"/>
        <v>9</v>
      </c>
      <c r="DA58" s="1313">
        <f t="shared" si="109"/>
        <v>9</v>
      </c>
      <c r="DB58" s="1311">
        <f t="shared" si="173"/>
        <v>8.75</v>
      </c>
      <c r="DC58" s="1311">
        <f t="shared" si="110"/>
        <v>2.75</v>
      </c>
      <c r="DD58" s="875">
        <f t="shared" si="174"/>
        <v>2.75</v>
      </c>
      <c r="DE58" s="873">
        <f t="shared" si="111"/>
        <v>0</v>
      </c>
      <c r="DF58" s="874">
        <f t="shared" si="112"/>
        <v>12</v>
      </c>
      <c r="DG58" s="874">
        <f t="shared" si="113"/>
        <v>12</v>
      </c>
      <c r="DH58" s="1311">
        <f t="shared" si="175"/>
        <v>5.5</v>
      </c>
      <c r="DI58" s="1311">
        <f t="shared" si="114"/>
        <v>0</v>
      </c>
      <c r="DJ58" s="1312">
        <f t="shared" si="176"/>
        <v>0</v>
      </c>
      <c r="DK58" s="1311">
        <f t="shared" si="115"/>
        <v>662.5</v>
      </c>
      <c r="DL58" s="1311">
        <f t="shared" si="116"/>
        <v>-7.5</v>
      </c>
      <c r="DM58" s="1311">
        <f t="shared" si="117"/>
        <v>7.25</v>
      </c>
      <c r="DN58" s="1311">
        <f t="shared" si="118"/>
        <v>7.25</v>
      </c>
      <c r="DO58" s="889">
        <f t="shared" si="119"/>
        <v>7.25</v>
      </c>
      <c r="DP58" s="889">
        <f t="shared" si="120"/>
        <v>7.25</v>
      </c>
      <c r="DQ58" s="1311">
        <f t="shared" si="121"/>
        <v>7.25</v>
      </c>
      <c r="DR58" s="1311">
        <f t="shared" si="121"/>
        <v>7.25</v>
      </c>
      <c r="DS58" s="1311">
        <f t="shared" si="122"/>
        <v>-9.5</v>
      </c>
      <c r="DT58" s="1311">
        <f t="shared" si="123"/>
        <v>3</v>
      </c>
      <c r="DU58" s="1311">
        <f t="shared" si="124"/>
        <v>3</v>
      </c>
      <c r="DV58" s="889">
        <f t="shared" si="125"/>
        <v>3</v>
      </c>
      <c r="DW58" s="889">
        <f t="shared" si="126"/>
        <v>3</v>
      </c>
      <c r="DX58" s="873">
        <f t="shared" si="127"/>
        <v>3</v>
      </c>
      <c r="DY58" s="873">
        <f t="shared" si="127"/>
        <v>3</v>
      </c>
      <c r="DZ58" s="873">
        <f t="shared" si="128"/>
        <v>7.75</v>
      </c>
      <c r="EA58" s="873">
        <f t="shared" si="129"/>
        <v>1.5</v>
      </c>
      <c r="EB58" s="876">
        <f t="shared" si="130"/>
        <v>5</v>
      </c>
      <c r="EC58" s="877">
        <f t="shared" si="131"/>
        <v>5</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f t="shared" si="143"/>
        <v>0</v>
      </c>
      <c r="EP58" s="874">
        <f t="shared" si="144"/>
        <v>0</v>
      </c>
      <c r="EQ58" s="874">
        <f t="shared" si="145"/>
        <v>0</v>
      </c>
      <c r="ER58" s="874">
        <f t="shared" si="146"/>
        <v>0</v>
      </c>
      <c r="ES58" s="874" t="str">
        <f t="shared" si="147"/>
        <v/>
      </c>
      <c r="ET58" s="873">
        <f t="shared" si="148"/>
        <v>0</v>
      </c>
      <c r="EU58" s="873">
        <f t="shared" si="149"/>
        <v>0</v>
      </c>
      <c r="EV58" s="876">
        <f t="shared" si="150"/>
        <v>6</v>
      </c>
      <c r="EW58" s="876">
        <f t="shared" si="151"/>
        <v>5.5</v>
      </c>
      <c r="EX58" s="878" t="e">
        <f t="shared" si="152"/>
        <v>#VALUE!</v>
      </c>
      <c r="EY58" s="879" t="e">
        <f t="shared" si="153"/>
        <v>#VALUE!</v>
      </c>
      <c r="EZ58" s="959" t="e">
        <f t="shared" si="154"/>
        <v>#VALUE!</v>
      </c>
      <c r="FA58" s="960" t="e">
        <f t="shared" si="155"/>
        <v>#VALUE!</v>
      </c>
      <c r="FB58" s="880">
        <f t="shared" si="156"/>
        <v>0</v>
      </c>
      <c r="FC58" s="881">
        <f t="shared" si="157"/>
        <v>0</v>
      </c>
      <c r="FD58" s="890">
        <f t="shared" si="158"/>
        <v>2.75</v>
      </c>
      <c r="FE58" s="833">
        <f t="shared" si="159"/>
        <v>0</v>
      </c>
      <c r="FF58" s="754" t="b">
        <f t="shared" si="160"/>
        <v>0</v>
      </c>
      <c r="FG58" s="754" t="b">
        <f t="shared" si="161"/>
        <v>0</v>
      </c>
      <c r="FH58" s="754" t="b">
        <f t="shared" si="162"/>
        <v>0</v>
      </c>
      <c r="FI58" s="754" t="b">
        <f t="shared" si="163"/>
        <v>0</v>
      </c>
      <c r="FJ58" s="920" t="str">
        <f t="shared" si="177"/>
        <v/>
      </c>
      <c r="FK58" s="919" t="str">
        <f t="shared" si="178"/>
        <v>G48</v>
      </c>
      <c r="FL58" s="320">
        <f t="shared" si="179"/>
        <v>662.5</v>
      </c>
      <c r="FM58" s="312" t="str">
        <f t="shared" si="164"/>
        <v/>
      </c>
      <c r="FN58" s="272">
        <f t="shared" ca="1" si="180"/>
        <v>96</v>
      </c>
      <c r="FO58" s="273">
        <f t="shared" ca="1" si="181"/>
        <v>5</v>
      </c>
      <c r="FP58" s="274">
        <f t="shared" ca="1" si="182"/>
        <v>96</v>
      </c>
      <c r="FQ58" s="274">
        <f t="shared" ca="1" si="183"/>
        <v>96</v>
      </c>
      <c r="FR58" s="321">
        <f t="shared" ca="1" si="184"/>
        <v>0</v>
      </c>
      <c r="FS58" s="322">
        <f t="shared" ca="1" si="185"/>
        <v>672</v>
      </c>
      <c r="FT58" s="272">
        <f t="shared" ca="1" si="186"/>
        <v>662.5</v>
      </c>
      <c r="FU58" s="275">
        <f t="shared" ca="1" si="187"/>
        <v>1</v>
      </c>
      <c r="FV58" s="323">
        <f t="shared" ca="1" si="165"/>
        <v>93</v>
      </c>
      <c r="FW58" s="276">
        <f t="shared" ca="1" si="188"/>
        <v>93</v>
      </c>
      <c r="FX58" s="276">
        <f t="shared" ca="1" si="189"/>
        <v>96</v>
      </c>
      <c r="FY58" s="276">
        <f t="shared" ca="1" si="190"/>
        <v>89.5</v>
      </c>
      <c r="FZ58" s="276">
        <f t="shared" ca="1" si="191"/>
        <v>89.5</v>
      </c>
      <c r="GA58" s="276">
        <f t="shared" ca="1" si="192"/>
        <v>662.5</v>
      </c>
      <c r="GB58" s="277">
        <f ca="1">IF(FY58="","",2+SUM(FO58:OFFSET(FO58,(FU58-1)*-1,0)))</f>
        <v>7</v>
      </c>
      <c r="GC58" s="316">
        <f t="shared" si="193"/>
        <v>-0.25</v>
      </c>
      <c r="GD58" s="324">
        <f t="shared" si="166"/>
        <v>1.75</v>
      </c>
      <c r="GE58" s="325" t="str">
        <f t="shared" si="167"/>
        <v/>
      </c>
      <c r="GF58" s="278">
        <f t="shared" si="168"/>
        <v>12</v>
      </c>
      <c r="GG58" s="279" t="str">
        <f t="shared" si="169"/>
        <v/>
      </c>
      <c r="GH58" s="279" t="str">
        <f t="shared" si="170"/>
        <v/>
      </c>
      <c r="GI58" s="280" t="str">
        <f t="shared" si="171"/>
        <v/>
      </c>
      <c r="GJ58" s="530">
        <f t="shared" ca="1" si="172"/>
        <v>0</v>
      </c>
      <c r="GK58" s="895" t="str">
        <f t="shared" ca="1" si="194"/>
        <v/>
      </c>
    </row>
    <row r="59" spans="1:193" ht="12.6" hidden="1" customHeight="1" x14ac:dyDescent="0.2">
      <c r="BZ59" s="293"/>
      <c r="CA59" s="293"/>
      <c r="CB59" s="365" t="str">
        <f t="shared" si="100"/>
        <v>G49</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1"/>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2"/>
        <v>0</v>
      </c>
      <c r="CU59" s="1317">
        <f t="shared" si="103"/>
        <v>0</v>
      </c>
      <c r="CV59" s="1311">
        <f t="shared" si="104"/>
        <v>671.5</v>
      </c>
      <c r="CW59" s="1311">
        <f t="shared" si="105"/>
        <v>7.5</v>
      </c>
      <c r="CX59" s="1311">
        <f t="shared" si="106"/>
        <v>7.5</v>
      </c>
      <c r="CY59" s="1313">
        <f t="shared" si="107"/>
        <v>0</v>
      </c>
      <c r="CZ59" s="1313">
        <f t="shared" si="108"/>
        <v>9</v>
      </c>
      <c r="DA59" s="1313">
        <f t="shared" si="109"/>
        <v>9</v>
      </c>
      <c r="DB59" s="1311">
        <f t="shared" si="173"/>
        <v>8.75</v>
      </c>
      <c r="DC59" s="1311">
        <f t="shared" si="110"/>
        <v>2.75</v>
      </c>
      <c r="DD59" s="875">
        <f t="shared" si="174"/>
        <v>2.75</v>
      </c>
      <c r="DE59" s="873">
        <f t="shared" si="111"/>
        <v>0</v>
      </c>
      <c r="DF59" s="874">
        <f t="shared" si="112"/>
        <v>9</v>
      </c>
      <c r="DG59" s="874">
        <f t="shared" si="113"/>
        <v>9</v>
      </c>
      <c r="DH59" s="1311">
        <f t="shared" si="175"/>
        <v>8.75</v>
      </c>
      <c r="DI59" s="1311">
        <f t="shared" si="114"/>
        <v>2.75</v>
      </c>
      <c r="DJ59" s="1312">
        <f t="shared" si="176"/>
        <v>2.75</v>
      </c>
      <c r="DK59" s="1311">
        <f t="shared" si="115"/>
        <v>666</v>
      </c>
      <c r="DL59" s="1311">
        <f t="shared" si="116"/>
        <v>-7.5</v>
      </c>
      <c r="DM59" s="1311">
        <f t="shared" si="117"/>
        <v>7.25</v>
      </c>
      <c r="DN59" s="1311">
        <f t="shared" si="118"/>
        <v>7.25</v>
      </c>
      <c r="DO59" s="889">
        <f t="shared" si="119"/>
        <v>7.25</v>
      </c>
      <c r="DP59" s="889">
        <f t="shared" si="120"/>
        <v>7.25</v>
      </c>
      <c r="DQ59" s="1311">
        <f t="shared" si="121"/>
        <v>7.25</v>
      </c>
      <c r="DR59" s="1311">
        <f t="shared" si="121"/>
        <v>7.25</v>
      </c>
      <c r="DS59" s="1311">
        <f t="shared" si="122"/>
        <v>-7.5</v>
      </c>
      <c r="DT59" s="1311">
        <f t="shared" si="123"/>
        <v>7.25</v>
      </c>
      <c r="DU59" s="1311">
        <f t="shared" si="124"/>
        <v>7.25</v>
      </c>
      <c r="DV59" s="889">
        <f t="shared" si="125"/>
        <v>7.25</v>
      </c>
      <c r="DW59" s="889">
        <f t="shared" si="126"/>
        <v>7.25</v>
      </c>
      <c r="DX59" s="873">
        <f t="shared" si="127"/>
        <v>7.25</v>
      </c>
      <c r="DY59" s="873">
        <f t="shared" si="127"/>
        <v>7.25</v>
      </c>
      <c r="DZ59" s="873">
        <f t="shared" si="128"/>
        <v>7.75</v>
      </c>
      <c r="EA59" s="873">
        <f t="shared" si="129"/>
        <v>7.75</v>
      </c>
      <c r="EB59" s="876">
        <f t="shared" si="130"/>
        <v>5</v>
      </c>
      <c r="EC59" s="877">
        <f t="shared" si="131"/>
        <v>5</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f t="shared" si="143"/>
        <v>0</v>
      </c>
      <c r="EP59" s="874">
        <f t="shared" si="144"/>
        <v>0</v>
      </c>
      <c r="EQ59" s="874">
        <f t="shared" si="145"/>
        <v>0</v>
      </c>
      <c r="ER59" s="874">
        <f t="shared" si="146"/>
        <v>0</v>
      </c>
      <c r="ES59" s="874" t="str">
        <f t="shared" si="147"/>
        <v/>
      </c>
      <c r="ET59" s="873">
        <f t="shared" si="148"/>
        <v>0</v>
      </c>
      <c r="EU59" s="873">
        <f t="shared" si="149"/>
        <v>0</v>
      </c>
      <c r="EV59" s="876">
        <f t="shared" si="150"/>
        <v>6</v>
      </c>
      <c r="EW59" s="876">
        <f t="shared" si="151"/>
        <v>6</v>
      </c>
      <c r="EX59" s="878" t="e">
        <f t="shared" si="152"/>
        <v>#VALUE!</v>
      </c>
      <c r="EY59" s="879" t="e">
        <f t="shared" si="153"/>
        <v>#VALUE!</v>
      </c>
      <c r="EZ59" s="959" t="e">
        <f t="shared" si="154"/>
        <v>#VALUE!</v>
      </c>
      <c r="FA59" s="960" t="e">
        <f t="shared" si="155"/>
        <v>#VALUE!</v>
      </c>
      <c r="FB59" s="880">
        <f t="shared" si="156"/>
        <v>0</v>
      </c>
      <c r="FC59" s="881">
        <f t="shared" si="157"/>
        <v>0</v>
      </c>
      <c r="FD59" s="890">
        <f t="shared" si="158"/>
        <v>2.75</v>
      </c>
      <c r="FE59" s="833">
        <f t="shared" si="159"/>
        <v>2.75</v>
      </c>
      <c r="FF59" s="754" t="b">
        <f t="shared" si="160"/>
        <v>0</v>
      </c>
      <c r="FG59" s="754" t="b">
        <f t="shared" si="161"/>
        <v>0</v>
      </c>
      <c r="FH59" s="754" t="b">
        <f t="shared" si="162"/>
        <v>0</v>
      </c>
      <c r="FI59" s="754" t="b">
        <f t="shared" si="163"/>
        <v>0</v>
      </c>
      <c r="FJ59" s="920" t="str">
        <f t="shared" si="177"/>
        <v/>
      </c>
      <c r="FK59" s="919" t="str">
        <f t="shared" si="178"/>
        <v>G49</v>
      </c>
      <c r="FL59" s="320">
        <f t="shared" si="179"/>
        <v>666</v>
      </c>
      <c r="FM59" s="312" t="str">
        <f t="shared" si="164"/>
        <v/>
      </c>
      <c r="FN59" s="272">
        <f t="shared" ca="1" si="180"/>
        <v>96</v>
      </c>
      <c r="FO59" s="273">
        <f t="shared" ca="1" si="181"/>
        <v>5</v>
      </c>
      <c r="FP59" s="274">
        <f t="shared" ca="1" si="182"/>
        <v>96</v>
      </c>
      <c r="FQ59" s="274">
        <f t="shared" ca="1" si="183"/>
        <v>96</v>
      </c>
      <c r="FR59" s="321">
        <f t="shared" ca="1" si="184"/>
        <v>0</v>
      </c>
      <c r="FS59" s="322">
        <f t="shared" ca="1" si="185"/>
        <v>672</v>
      </c>
      <c r="FT59" s="272">
        <f t="shared" ca="1" si="186"/>
        <v>666</v>
      </c>
      <c r="FU59" s="275">
        <f t="shared" ca="1" si="187"/>
        <v>1</v>
      </c>
      <c r="FV59" s="323">
        <f t="shared" ca="1" si="165"/>
        <v>93</v>
      </c>
      <c r="FW59" s="276">
        <f t="shared" ca="1" si="188"/>
        <v>93</v>
      </c>
      <c r="FX59" s="276">
        <f t="shared" ca="1" si="189"/>
        <v>96</v>
      </c>
      <c r="FY59" s="276">
        <f t="shared" ca="1" si="190"/>
        <v>93</v>
      </c>
      <c r="FZ59" s="276">
        <f t="shared" ca="1" si="191"/>
        <v>93</v>
      </c>
      <c r="GA59" s="276">
        <f t="shared" ca="1" si="192"/>
        <v>666</v>
      </c>
      <c r="GB59" s="277">
        <f ca="1">IF(FY59="","",2+SUM(FO59:OFFSET(FO59,(FU59-1)*-1,0)))</f>
        <v>7</v>
      </c>
      <c r="GC59" s="316">
        <f t="shared" si="193"/>
        <v>-0.25</v>
      </c>
      <c r="GD59" s="324">
        <f t="shared" si="166"/>
        <v>1.75</v>
      </c>
      <c r="GE59" s="325">
        <f t="shared" si="167"/>
        <v>1.75</v>
      </c>
      <c r="GF59" s="278">
        <f t="shared" si="168"/>
        <v>12</v>
      </c>
      <c r="GG59" s="279">
        <f t="shared" si="169"/>
        <v>660</v>
      </c>
      <c r="GH59" s="279" t="str">
        <f t="shared" si="170"/>
        <v/>
      </c>
      <c r="GI59" s="280" t="str">
        <f t="shared" si="171"/>
        <v/>
      </c>
      <c r="GJ59" s="530">
        <f t="shared" ca="1" si="172"/>
        <v>0</v>
      </c>
      <c r="GK59" s="895" t="str">
        <f t="shared" ca="1" si="194"/>
        <v/>
      </c>
    </row>
    <row r="60" spans="1:193" ht="12.6" hidden="1" customHeight="1" x14ac:dyDescent="0.2">
      <c r="A60" s="892" t="s">
        <v>1177</v>
      </c>
      <c r="BZ60" s="293"/>
      <c r="CA60" s="293"/>
      <c r="CB60" s="365" t="str">
        <f t="shared" si="100"/>
        <v>G50</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1"/>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2"/>
        <v>0</v>
      </c>
      <c r="CU60" s="1317">
        <f t="shared" si="103"/>
        <v>0</v>
      </c>
      <c r="CV60" s="1311">
        <f t="shared" si="104"/>
        <v>671.5</v>
      </c>
      <c r="CW60" s="1311">
        <f t="shared" si="105"/>
        <v>7.5</v>
      </c>
      <c r="CX60" s="1311">
        <f t="shared" si="106"/>
        <v>7.5</v>
      </c>
      <c r="CY60" s="1313">
        <f t="shared" si="107"/>
        <v>0</v>
      </c>
      <c r="CZ60" s="1313">
        <f t="shared" si="108"/>
        <v>9</v>
      </c>
      <c r="DA60" s="1313">
        <f t="shared" si="109"/>
        <v>9</v>
      </c>
      <c r="DB60" s="1311">
        <f t="shared" si="173"/>
        <v>8.75</v>
      </c>
      <c r="DC60" s="1311">
        <f t="shared" si="110"/>
        <v>2.75</v>
      </c>
      <c r="DD60" s="875">
        <f t="shared" si="174"/>
        <v>2.75</v>
      </c>
      <c r="DE60" s="873">
        <f t="shared" si="111"/>
        <v>0</v>
      </c>
      <c r="DF60" s="874">
        <f t="shared" si="112"/>
        <v>9</v>
      </c>
      <c r="DG60" s="874">
        <f t="shared" si="113"/>
        <v>9</v>
      </c>
      <c r="DH60" s="1311">
        <f t="shared" si="175"/>
        <v>8.75</v>
      </c>
      <c r="DI60" s="1311">
        <f t="shared" si="114"/>
        <v>2.75</v>
      </c>
      <c r="DJ60" s="1312">
        <f t="shared" si="176"/>
        <v>2.75</v>
      </c>
      <c r="DK60" s="1311">
        <f t="shared" si="115"/>
        <v>666</v>
      </c>
      <c r="DL60" s="1311">
        <f t="shared" si="116"/>
        <v>-7.5</v>
      </c>
      <c r="DM60" s="1311">
        <f t="shared" si="117"/>
        <v>7.25</v>
      </c>
      <c r="DN60" s="1311">
        <f t="shared" si="118"/>
        <v>7.25</v>
      </c>
      <c r="DO60" s="889">
        <f t="shared" si="119"/>
        <v>7.25</v>
      </c>
      <c r="DP60" s="889">
        <f t="shared" si="120"/>
        <v>7.25</v>
      </c>
      <c r="DQ60" s="1311">
        <f t="shared" si="121"/>
        <v>7.25</v>
      </c>
      <c r="DR60" s="1311">
        <f t="shared" si="121"/>
        <v>7.25</v>
      </c>
      <c r="DS60" s="1311">
        <f t="shared" si="122"/>
        <v>-7.5</v>
      </c>
      <c r="DT60" s="1311">
        <f t="shared" si="123"/>
        <v>7.25</v>
      </c>
      <c r="DU60" s="1311">
        <f t="shared" si="124"/>
        <v>7.25</v>
      </c>
      <c r="DV60" s="889">
        <f t="shared" si="125"/>
        <v>7.25</v>
      </c>
      <c r="DW60" s="889">
        <f t="shared" si="126"/>
        <v>7.25</v>
      </c>
      <c r="DX60" s="873">
        <f t="shared" si="127"/>
        <v>7.25</v>
      </c>
      <c r="DY60" s="873">
        <f t="shared" si="127"/>
        <v>7.25</v>
      </c>
      <c r="DZ60" s="873">
        <f t="shared" si="128"/>
        <v>7.75</v>
      </c>
      <c r="EA60" s="873">
        <f t="shared" si="129"/>
        <v>7.75</v>
      </c>
      <c r="EB60" s="876">
        <f t="shared" si="130"/>
        <v>5</v>
      </c>
      <c r="EC60" s="877">
        <f t="shared" si="131"/>
        <v>5</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f t="shared" si="143"/>
        <v>0</v>
      </c>
      <c r="EP60" s="874">
        <f t="shared" si="144"/>
        <v>0</v>
      </c>
      <c r="EQ60" s="874">
        <f t="shared" si="145"/>
        <v>0</v>
      </c>
      <c r="ER60" s="874">
        <f t="shared" si="146"/>
        <v>0</v>
      </c>
      <c r="ES60" s="874" t="str">
        <f t="shared" si="147"/>
        <v/>
      </c>
      <c r="ET60" s="873">
        <f t="shared" si="148"/>
        <v>0</v>
      </c>
      <c r="EU60" s="873">
        <f t="shared" si="149"/>
        <v>0</v>
      </c>
      <c r="EV60" s="876">
        <f t="shared" si="150"/>
        <v>6</v>
      </c>
      <c r="EW60" s="876">
        <f t="shared" si="151"/>
        <v>6</v>
      </c>
      <c r="EX60" s="878" t="e">
        <f t="shared" si="152"/>
        <v>#VALUE!</v>
      </c>
      <c r="EY60" s="879" t="e">
        <f t="shared" si="153"/>
        <v>#VALUE!</v>
      </c>
      <c r="EZ60" s="959" t="e">
        <f t="shared" si="154"/>
        <v>#VALUE!</v>
      </c>
      <c r="FA60" s="960" t="e">
        <f t="shared" si="155"/>
        <v>#VALUE!</v>
      </c>
      <c r="FB60" s="880">
        <f t="shared" si="156"/>
        <v>0</v>
      </c>
      <c r="FC60" s="881">
        <f t="shared" si="157"/>
        <v>0</v>
      </c>
      <c r="FD60" s="890">
        <f t="shared" si="158"/>
        <v>2.75</v>
      </c>
      <c r="FE60" s="833">
        <f t="shared" si="159"/>
        <v>2.75</v>
      </c>
      <c r="FF60" s="754" t="b">
        <f t="shared" si="160"/>
        <v>0</v>
      </c>
      <c r="FG60" s="754" t="b">
        <f t="shared" si="161"/>
        <v>0</v>
      </c>
      <c r="FH60" s="754" t="b">
        <f t="shared" si="162"/>
        <v>0</v>
      </c>
      <c r="FI60" s="754" t="b">
        <f t="shared" si="163"/>
        <v>0</v>
      </c>
      <c r="FJ60" s="920" t="str">
        <f t="shared" si="177"/>
        <v/>
      </c>
      <c r="FK60" s="919" t="str">
        <f t="shared" si="178"/>
        <v>G50</v>
      </c>
      <c r="FL60" s="320">
        <f t="shared" si="179"/>
        <v>666</v>
      </c>
      <c r="FM60" s="312" t="str">
        <f t="shared" si="164"/>
        <v/>
      </c>
      <c r="FN60" s="272">
        <f t="shared" ca="1" si="180"/>
        <v>96</v>
      </c>
      <c r="FO60" s="273">
        <f t="shared" ca="1" si="181"/>
        <v>5</v>
      </c>
      <c r="FP60" s="274">
        <f t="shared" ca="1" si="182"/>
        <v>96</v>
      </c>
      <c r="FQ60" s="274">
        <f t="shared" ca="1" si="183"/>
        <v>96</v>
      </c>
      <c r="FR60" s="321">
        <f t="shared" ca="1" si="184"/>
        <v>0</v>
      </c>
      <c r="FS60" s="322">
        <f t="shared" ca="1" si="185"/>
        <v>672</v>
      </c>
      <c r="FT60" s="272">
        <f t="shared" ca="1" si="186"/>
        <v>666</v>
      </c>
      <c r="FU60" s="275">
        <f t="shared" ca="1" si="187"/>
        <v>1</v>
      </c>
      <c r="FV60" s="323">
        <f t="shared" ca="1" si="165"/>
        <v>93</v>
      </c>
      <c r="FW60" s="276">
        <f t="shared" ca="1" si="188"/>
        <v>93</v>
      </c>
      <c r="FX60" s="276">
        <f t="shared" ca="1" si="189"/>
        <v>96</v>
      </c>
      <c r="FY60" s="276">
        <f t="shared" ca="1" si="190"/>
        <v>93</v>
      </c>
      <c r="FZ60" s="276">
        <f t="shared" ca="1" si="191"/>
        <v>93</v>
      </c>
      <c r="GA60" s="276">
        <f t="shared" ca="1" si="192"/>
        <v>666</v>
      </c>
      <c r="GB60" s="277">
        <f ca="1">IF(FY60="","",2+SUM(FO60:OFFSET(FO60,(FU60-1)*-1,0)))</f>
        <v>7</v>
      </c>
      <c r="GC60" s="316">
        <f t="shared" si="193"/>
        <v>-0.25</v>
      </c>
      <c r="GD60" s="324">
        <f t="shared" si="166"/>
        <v>1.75</v>
      </c>
      <c r="GE60" s="325">
        <f t="shared" si="167"/>
        <v>1.75</v>
      </c>
      <c r="GF60" s="278">
        <f t="shared" si="168"/>
        <v>12</v>
      </c>
      <c r="GG60" s="279">
        <f t="shared" si="169"/>
        <v>660</v>
      </c>
      <c r="GH60" s="279" t="str">
        <f t="shared" si="170"/>
        <v/>
      </c>
      <c r="GI60" s="280" t="str">
        <f t="shared" si="171"/>
        <v/>
      </c>
      <c r="GJ60" s="530">
        <f t="shared" ca="1" si="172"/>
        <v>0</v>
      </c>
      <c r="GK60" s="895" t="str">
        <f t="shared" ca="1" si="194"/>
        <v/>
      </c>
    </row>
    <row r="61" spans="1:193" ht="12.6" hidden="1" customHeight="1" x14ac:dyDescent="0.2">
      <c r="A61" s="894" t="s">
        <v>1849</v>
      </c>
      <c r="BZ61" s="293"/>
      <c r="CA61" s="293"/>
      <c r="CB61" s="365" t="str">
        <f t="shared" si="100"/>
        <v>G51</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1"/>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2"/>
        <v>0</v>
      </c>
      <c r="CU61" s="1317">
        <f t="shared" si="103"/>
        <v>0</v>
      </c>
      <c r="CV61" s="1311">
        <f t="shared" si="104"/>
        <v>671.5</v>
      </c>
      <c r="CW61" s="1311">
        <f t="shared" si="105"/>
        <v>7.5</v>
      </c>
      <c r="CX61" s="1311">
        <f t="shared" si="106"/>
        <v>7.5</v>
      </c>
      <c r="CY61" s="1313">
        <f t="shared" si="107"/>
        <v>0</v>
      </c>
      <c r="CZ61" s="1313">
        <f t="shared" si="108"/>
        <v>9</v>
      </c>
      <c r="DA61" s="1313">
        <f t="shared" si="109"/>
        <v>9</v>
      </c>
      <c r="DB61" s="1311">
        <f t="shared" si="173"/>
        <v>8.75</v>
      </c>
      <c r="DC61" s="1311">
        <f t="shared" si="110"/>
        <v>2.75</v>
      </c>
      <c r="DD61" s="875">
        <f t="shared" si="174"/>
        <v>2.75</v>
      </c>
      <c r="DE61" s="873">
        <f t="shared" si="111"/>
        <v>0</v>
      </c>
      <c r="DF61" s="874">
        <f t="shared" si="112"/>
        <v>9</v>
      </c>
      <c r="DG61" s="874">
        <f t="shared" si="113"/>
        <v>9</v>
      </c>
      <c r="DH61" s="1311">
        <f t="shared" si="175"/>
        <v>8.75</v>
      </c>
      <c r="DI61" s="1311">
        <f t="shared" si="114"/>
        <v>2.75</v>
      </c>
      <c r="DJ61" s="1312">
        <f t="shared" si="176"/>
        <v>2.75</v>
      </c>
      <c r="DK61" s="1311">
        <f t="shared" si="115"/>
        <v>666</v>
      </c>
      <c r="DL61" s="1311">
        <f t="shared" si="116"/>
        <v>-7.5</v>
      </c>
      <c r="DM61" s="1311">
        <f t="shared" si="117"/>
        <v>7.25</v>
      </c>
      <c r="DN61" s="1311">
        <f t="shared" si="118"/>
        <v>7.25</v>
      </c>
      <c r="DO61" s="889">
        <f t="shared" si="119"/>
        <v>7.25</v>
      </c>
      <c r="DP61" s="889">
        <f t="shared" si="120"/>
        <v>7.25</v>
      </c>
      <c r="DQ61" s="1311">
        <f t="shared" si="121"/>
        <v>7.25</v>
      </c>
      <c r="DR61" s="1311">
        <f t="shared" si="121"/>
        <v>7.25</v>
      </c>
      <c r="DS61" s="1311">
        <f t="shared" si="122"/>
        <v>-7.5</v>
      </c>
      <c r="DT61" s="1311">
        <f t="shared" si="123"/>
        <v>7.25</v>
      </c>
      <c r="DU61" s="1311">
        <f t="shared" si="124"/>
        <v>7.25</v>
      </c>
      <c r="DV61" s="889">
        <f t="shared" si="125"/>
        <v>7.25</v>
      </c>
      <c r="DW61" s="889">
        <f t="shared" si="126"/>
        <v>7.25</v>
      </c>
      <c r="DX61" s="873">
        <f t="shared" si="127"/>
        <v>7.25</v>
      </c>
      <c r="DY61" s="873">
        <f t="shared" si="127"/>
        <v>7.25</v>
      </c>
      <c r="DZ61" s="873">
        <f t="shared" si="128"/>
        <v>7.75</v>
      </c>
      <c r="EA61" s="873">
        <f t="shared" si="129"/>
        <v>7.75</v>
      </c>
      <c r="EB61" s="876">
        <f t="shared" si="130"/>
        <v>5</v>
      </c>
      <c r="EC61" s="877">
        <f t="shared" si="131"/>
        <v>5</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f t="shared" si="143"/>
        <v>0</v>
      </c>
      <c r="EP61" s="874">
        <f t="shared" si="144"/>
        <v>0</v>
      </c>
      <c r="EQ61" s="874">
        <f t="shared" si="145"/>
        <v>0</v>
      </c>
      <c r="ER61" s="874">
        <f t="shared" si="146"/>
        <v>0</v>
      </c>
      <c r="ES61" s="874" t="str">
        <f t="shared" si="147"/>
        <v/>
      </c>
      <c r="ET61" s="873">
        <f t="shared" si="148"/>
        <v>0</v>
      </c>
      <c r="EU61" s="873">
        <f t="shared" si="149"/>
        <v>0</v>
      </c>
      <c r="EV61" s="876">
        <f t="shared" si="150"/>
        <v>6</v>
      </c>
      <c r="EW61" s="876">
        <f t="shared" si="151"/>
        <v>6</v>
      </c>
      <c r="EX61" s="878" t="e">
        <f t="shared" si="152"/>
        <v>#VALUE!</v>
      </c>
      <c r="EY61" s="879" t="e">
        <f t="shared" si="153"/>
        <v>#VALUE!</v>
      </c>
      <c r="EZ61" s="959" t="e">
        <f t="shared" si="154"/>
        <v>#VALUE!</v>
      </c>
      <c r="FA61" s="960" t="e">
        <f t="shared" si="155"/>
        <v>#VALUE!</v>
      </c>
      <c r="FB61" s="880">
        <f t="shared" si="156"/>
        <v>0</v>
      </c>
      <c r="FC61" s="881">
        <f t="shared" si="157"/>
        <v>0</v>
      </c>
      <c r="FD61" s="890">
        <f t="shared" si="158"/>
        <v>2.75</v>
      </c>
      <c r="FE61" s="833">
        <f t="shared" si="159"/>
        <v>2.75</v>
      </c>
      <c r="FF61" s="754" t="b">
        <f t="shared" si="160"/>
        <v>0</v>
      </c>
      <c r="FG61" s="754" t="b">
        <f t="shared" si="161"/>
        <v>0</v>
      </c>
      <c r="FH61" s="754" t="b">
        <f t="shared" si="162"/>
        <v>0</v>
      </c>
      <c r="FI61" s="754" t="b">
        <f t="shared" si="163"/>
        <v>0</v>
      </c>
      <c r="FJ61" s="920" t="str">
        <f t="shared" si="177"/>
        <v/>
      </c>
      <c r="FK61" s="919" t="str">
        <f t="shared" si="178"/>
        <v>G51</v>
      </c>
      <c r="FL61" s="320">
        <f t="shared" si="179"/>
        <v>666</v>
      </c>
      <c r="FM61" s="312" t="str">
        <f t="shared" si="164"/>
        <v/>
      </c>
      <c r="FN61" s="272">
        <f t="shared" ca="1" si="180"/>
        <v>96</v>
      </c>
      <c r="FO61" s="273">
        <f t="shared" ca="1" si="181"/>
        <v>5</v>
      </c>
      <c r="FP61" s="274">
        <f t="shared" ca="1" si="182"/>
        <v>96</v>
      </c>
      <c r="FQ61" s="274">
        <f t="shared" ca="1" si="183"/>
        <v>96</v>
      </c>
      <c r="FR61" s="321">
        <f t="shared" ca="1" si="184"/>
        <v>0</v>
      </c>
      <c r="FS61" s="322">
        <f t="shared" ca="1" si="185"/>
        <v>672</v>
      </c>
      <c r="FT61" s="272">
        <f t="shared" ca="1" si="186"/>
        <v>666</v>
      </c>
      <c r="FU61" s="275">
        <f t="shared" ca="1" si="187"/>
        <v>1</v>
      </c>
      <c r="FV61" s="323">
        <f t="shared" ca="1" si="165"/>
        <v>93</v>
      </c>
      <c r="FW61" s="276">
        <f t="shared" ca="1" si="188"/>
        <v>93</v>
      </c>
      <c r="FX61" s="276">
        <f t="shared" ca="1" si="189"/>
        <v>96</v>
      </c>
      <c r="FY61" s="276">
        <f t="shared" ca="1" si="190"/>
        <v>93</v>
      </c>
      <c r="FZ61" s="276">
        <f t="shared" ca="1" si="191"/>
        <v>93</v>
      </c>
      <c r="GA61" s="276">
        <f t="shared" ca="1" si="192"/>
        <v>666</v>
      </c>
      <c r="GB61" s="277">
        <f ca="1">IF(FY61="","",2+SUM(FO61:OFFSET(FO61,(FU61-1)*-1,0)))</f>
        <v>7</v>
      </c>
      <c r="GC61" s="316">
        <f t="shared" si="193"/>
        <v>-0.25</v>
      </c>
      <c r="GD61" s="324">
        <f t="shared" si="166"/>
        <v>1.75</v>
      </c>
      <c r="GE61" s="325">
        <f t="shared" si="167"/>
        <v>1.75</v>
      </c>
      <c r="GF61" s="278">
        <f t="shared" si="168"/>
        <v>12</v>
      </c>
      <c r="GG61" s="279">
        <f t="shared" si="169"/>
        <v>660</v>
      </c>
      <c r="GH61" s="279" t="str">
        <f t="shared" si="170"/>
        <v/>
      </c>
      <c r="GI61" s="280" t="str">
        <f t="shared" si="171"/>
        <v/>
      </c>
      <c r="GJ61" s="530">
        <f t="shared" ca="1" si="172"/>
        <v>0</v>
      </c>
      <c r="GK61" s="895" t="str">
        <f t="shared" ca="1" si="194"/>
        <v/>
      </c>
    </row>
    <row r="62" spans="1:193" ht="12.6" hidden="1" customHeight="1" x14ac:dyDescent="0.2">
      <c r="BZ62" s="293"/>
      <c r="CA62" s="293"/>
      <c r="CB62" s="365" t="str">
        <f t="shared" si="100"/>
        <v>G52</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1"/>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2"/>
        <v>0</v>
      </c>
      <c r="CU62" s="1317">
        <f t="shared" si="103"/>
        <v>0</v>
      </c>
      <c r="CV62" s="1311">
        <f t="shared" si="104"/>
        <v>671.5</v>
      </c>
      <c r="CW62" s="1311">
        <f t="shared" si="105"/>
        <v>7.5</v>
      </c>
      <c r="CX62" s="1311">
        <f t="shared" si="106"/>
        <v>7.5</v>
      </c>
      <c r="CY62" s="1313">
        <f t="shared" si="107"/>
        <v>0</v>
      </c>
      <c r="CZ62" s="1313">
        <f t="shared" si="108"/>
        <v>9</v>
      </c>
      <c r="DA62" s="1313">
        <f t="shared" si="109"/>
        <v>9</v>
      </c>
      <c r="DB62" s="1311">
        <f t="shared" si="173"/>
        <v>8.75</v>
      </c>
      <c r="DC62" s="1311">
        <f t="shared" si="110"/>
        <v>2.75</v>
      </c>
      <c r="DD62" s="875">
        <f t="shared" si="174"/>
        <v>2.75</v>
      </c>
      <c r="DE62" s="873">
        <f t="shared" si="111"/>
        <v>0</v>
      </c>
      <c r="DF62" s="874">
        <f t="shared" si="112"/>
        <v>9</v>
      </c>
      <c r="DG62" s="874">
        <f t="shared" si="113"/>
        <v>9</v>
      </c>
      <c r="DH62" s="1311">
        <f t="shared" si="175"/>
        <v>8.75</v>
      </c>
      <c r="DI62" s="1311">
        <f t="shared" si="114"/>
        <v>2.75</v>
      </c>
      <c r="DJ62" s="1312">
        <f t="shared" si="176"/>
        <v>2.75</v>
      </c>
      <c r="DK62" s="1311">
        <f t="shared" si="115"/>
        <v>666</v>
      </c>
      <c r="DL62" s="1311">
        <f t="shared" si="116"/>
        <v>-7.5</v>
      </c>
      <c r="DM62" s="1311">
        <f t="shared" si="117"/>
        <v>7.25</v>
      </c>
      <c r="DN62" s="1311">
        <f t="shared" si="118"/>
        <v>7.25</v>
      </c>
      <c r="DO62" s="889">
        <f t="shared" si="119"/>
        <v>7.25</v>
      </c>
      <c r="DP62" s="889">
        <f t="shared" si="120"/>
        <v>7.25</v>
      </c>
      <c r="DQ62" s="1311">
        <f t="shared" si="121"/>
        <v>7.25</v>
      </c>
      <c r="DR62" s="1311">
        <f t="shared" si="121"/>
        <v>7.25</v>
      </c>
      <c r="DS62" s="1311">
        <f t="shared" si="122"/>
        <v>-7.5</v>
      </c>
      <c r="DT62" s="1311">
        <f t="shared" si="123"/>
        <v>7.25</v>
      </c>
      <c r="DU62" s="1311">
        <f t="shared" si="124"/>
        <v>7.25</v>
      </c>
      <c r="DV62" s="889">
        <f t="shared" si="125"/>
        <v>7.25</v>
      </c>
      <c r="DW62" s="889">
        <f t="shared" si="126"/>
        <v>7.25</v>
      </c>
      <c r="DX62" s="873">
        <f t="shared" si="127"/>
        <v>7.25</v>
      </c>
      <c r="DY62" s="873">
        <f t="shared" si="127"/>
        <v>7.25</v>
      </c>
      <c r="DZ62" s="873">
        <f t="shared" si="128"/>
        <v>7.75</v>
      </c>
      <c r="EA62" s="873">
        <f t="shared" si="129"/>
        <v>7.75</v>
      </c>
      <c r="EB62" s="876">
        <f t="shared" si="130"/>
        <v>5</v>
      </c>
      <c r="EC62" s="877">
        <f t="shared" si="131"/>
        <v>5</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f t="shared" si="143"/>
        <v>0</v>
      </c>
      <c r="EP62" s="874">
        <f t="shared" si="144"/>
        <v>0</v>
      </c>
      <c r="EQ62" s="874">
        <f t="shared" si="145"/>
        <v>0</v>
      </c>
      <c r="ER62" s="874">
        <f t="shared" si="146"/>
        <v>0</v>
      </c>
      <c r="ES62" s="874" t="str">
        <f t="shared" si="147"/>
        <v/>
      </c>
      <c r="ET62" s="873">
        <f t="shared" si="148"/>
        <v>0</v>
      </c>
      <c r="EU62" s="873">
        <f t="shared" si="149"/>
        <v>0</v>
      </c>
      <c r="EV62" s="876">
        <f t="shared" si="150"/>
        <v>6</v>
      </c>
      <c r="EW62" s="876">
        <f t="shared" si="151"/>
        <v>6</v>
      </c>
      <c r="EX62" s="878" t="e">
        <f t="shared" si="152"/>
        <v>#VALUE!</v>
      </c>
      <c r="EY62" s="879" t="e">
        <f t="shared" si="153"/>
        <v>#VALUE!</v>
      </c>
      <c r="EZ62" s="959" t="e">
        <f t="shared" si="154"/>
        <v>#VALUE!</v>
      </c>
      <c r="FA62" s="960" t="e">
        <f t="shared" si="155"/>
        <v>#VALUE!</v>
      </c>
      <c r="FB62" s="880">
        <f t="shared" si="156"/>
        <v>0</v>
      </c>
      <c r="FC62" s="881">
        <f t="shared" si="157"/>
        <v>0</v>
      </c>
      <c r="FD62" s="890">
        <f t="shared" si="158"/>
        <v>2.75</v>
      </c>
      <c r="FE62" s="833">
        <f t="shared" si="159"/>
        <v>2.75</v>
      </c>
      <c r="FF62" s="754" t="b">
        <f t="shared" si="160"/>
        <v>0</v>
      </c>
      <c r="FG62" s="754" t="b">
        <f t="shared" si="161"/>
        <v>0</v>
      </c>
      <c r="FH62" s="754" t="b">
        <f t="shared" si="162"/>
        <v>0</v>
      </c>
      <c r="FI62" s="754" t="b">
        <f t="shared" si="163"/>
        <v>0</v>
      </c>
      <c r="FJ62" s="920" t="str">
        <f t="shared" si="177"/>
        <v/>
      </c>
      <c r="FK62" s="919" t="str">
        <f t="shared" si="178"/>
        <v>G52</v>
      </c>
      <c r="FL62" s="320">
        <f t="shared" si="179"/>
        <v>666</v>
      </c>
      <c r="FM62" s="312" t="str">
        <f t="shared" si="164"/>
        <v/>
      </c>
      <c r="FN62" s="272">
        <f t="shared" ca="1" si="180"/>
        <v>96</v>
      </c>
      <c r="FO62" s="273">
        <f t="shared" ca="1" si="181"/>
        <v>5</v>
      </c>
      <c r="FP62" s="274">
        <f t="shared" ca="1" si="182"/>
        <v>96</v>
      </c>
      <c r="FQ62" s="274">
        <f t="shared" ca="1" si="183"/>
        <v>96</v>
      </c>
      <c r="FR62" s="321">
        <f t="shared" ca="1" si="184"/>
        <v>0</v>
      </c>
      <c r="FS62" s="322">
        <f t="shared" ca="1" si="185"/>
        <v>672</v>
      </c>
      <c r="FT62" s="272">
        <f t="shared" ca="1" si="186"/>
        <v>666</v>
      </c>
      <c r="FU62" s="275">
        <f t="shared" ca="1" si="187"/>
        <v>1</v>
      </c>
      <c r="FV62" s="323">
        <f t="shared" ca="1" si="165"/>
        <v>93</v>
      </c>
      <c r="FW62" s="276">
        <f t="shared" ca="1" si="188"/>
        <v>93</v>
      </c>
      <c r="FX62" s="276">
        <f t="shared" ca="1" si="189"/>
        <v>96</v>
      </c>
      <c r="FY62" s="276">
        <f t="shared" ca="1" si="190"/>
        <v>93</v>
      </c>
      <c r="FZ62" s="276">
        <f t="shared" ca="1" si="191"/>
        <v>93</v>
      </c>
      <c r="GA62" s="276">
        <f t="shared" ca="1" si="192"/>
        <v>666</v>
      </c>
      <c r="GB62" s="277">
        <f ca="1">IF(FY62="","",2+SUM(FO62:OFFSET(FO62,(FU62-1)*-1,0)))</f>
        <v>7</v>
      </c>
      <c r="GC62" s="316">
        <f t="shared" si="193"/>
        <v>-0.25</v>
      </c>
      <c r="GD62" s="324">
        <f t="shared" si="166"/>
        <v>1.75</v>
      </c>
      <c r="GE62" s="325">
        <f t="shared" si="167"/>
        <v>1.75</v>
      </c>
      <c r="GF62" s="278">
        <f t="shared" si="168"/>
        <v>12</v>
      </c>
      <c r="GG62" s="279">
        <f t="shared" si="169"/>
        <v>660</v>
      </c>
      <c r="GH62" s="279" t="str">
        <f t="shared" si="170"/>
        <v/>
      </c>
      <c r="GI62" s="280" t="str">
        <f t="shared" si="171"/>
        <v/>
      </c>
      <c r="GJ62" s="530">
        <f t="shared" ca="1" si="172"/>
        <v>0</v>
      </c>
      <c r="GK62" s="895" t="str">
        <f t="shared" ca="1" si="194"/>
        <v/>
      </c>
    </row>
    <row r="63" spans="1:193" ht="12.6" hidden="1" customHeight="1" x14ac:dyDescent="0.2">
      <c r="BZ63" s="293"/>
      <c r="CA63" s="293"/>
      <c r="CB63" s="365" t="str">
        <f t="shared" si="100"/>
        <v>G53</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1"/>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2"/>
        <v>0</v>
      </c>
      <c r="CU63" s="1317">
        <f t="shared" si="103"/>
        <v>0</v>
      </c>
      <c r="CV63" s="1311">
        <f t="shared" si="104"/>
        <v>671.5</v>
      </c>
      <c r="CW63" s="1311">
        <f t="shared" si="105"/>
        <v>7.5</v>
      </c>
      <c r="CX63" s="1311">
        <f t="shared" si="106"/>
        <v>7.5</v>
      </c>
      <c r="CY63" s="1313">
        <f t="shared" si="107"/>
        <v>0</v>
      </c>
      <c r="CZ63" s="1313">
        <f t="shared" si="108"/>
        <v>9</v>
      </c>
      <c r="DA63" s="1313">
        <f t="shared" si="109"/>
        <v>9</v>
      </c>
      <c r="DB63" s="1311">
        <f t="shared" si="173"/>
        <v>8.75</v>
      </c>
      <c r="DC63" s="1311">
        <f t="shared" si="110"/>
        <v>2.75</v>
      </c>
      <c r="DD63" s="875">
        <f t="shared" si="174"/>
        <v>2.75</v>
      </c>
      <c r="DE63" s="873">
        <f t="shared" si="111"/>
        <v>0</v>
      </c>
      <c r="DF63" s="874">
        <f t="shared" si="112"/>
        <v>9</v>
      </c>
      <c r="DG63" s="874">
        <f t="shared" si="113"/>
        <v>9</v>
      </c>
      <c r="DH63" s="1311">
        <f t="shared" si="175"/>
        <v>8.75</v>
      </c>
      <c r="DI63" s="1311">
        <f t="shared" si="114"/>
        <v>2.75</v>
      </c>
      <c r="DJ63" s="1312">
        <f t="shared" si="176"/>
        <v>2.75</v>
      </c>
      <c r="DK63" s="1311">
        <f t="shared" si="115"/>
        <v>666</v>
      </c>
      <c r="DL63" s="1311">
        <f t="shared" si="116"/>
        <v>-7.5</v>
      </c>
      <c r="DM63" s="1311">
        <f t="shared" si="117"/>
        <v>7.25</v>
      </c>
      <c r="DN63" s="1311">
        <f t="shared" si="118"/>
        <v>7.25</v>
      </c>
      <c r="DO63" s="889">
        <f t="shared" si="119"/>
        <v>7.25</v>
      </c>
      <c r="DP63" s="889">
        <f t="shared" si="120"/>
        <v>7.25</v>
      </c>
      <c r="DQ63" s="1311">
        <f t="shared" si="121"/>
        <v>7.25</v>
      </c>
      <c r="DR63" s="1311">
        <f t="shared" si="121"/>
        <v>7.25</v>
      </c>
      <c r="DS63" s="1311">
        <f t="shared" si="122"/>
        <v>-7.5</v>
      </c>
      <c r="DT63" s="1311">
        <f t="shared" si="123"/>
        <v>7.25</v>
      </c>
      <c r="DU63" s="1311">
        <f t="shared" si="124"/>
        <v>7.25</v>
      </c>
      <c r="DV63" s="889">
        <f t="shared" si="125"/>
        <v>7.25</v>
      </c>
      <c r="DW63" s="889">
        <f t="shared" si="126"/>
        <v>7.25</v>
      </c>
      <c r="DX63" s="873">
        <f t="shared" si="127"/>
        <v>7.25</v>
      </c>
      <c r="DY63" s="873">
        <f t="shared" si="127"/>
        <v>7.25</v>
      </c>
      <c r="DZ63" s="873">
        <f t="shared" si="128"/>
        <v>7.75</v>
      </c>
      <c r="EA63" s="873">
        <f t="shared" si="129"/>
        <v>7.75</v>
      </c>
      <c r="EB63" s="876">
        <f t="shared" si="130"/>
        <v>5</v>
      </c>
      <c r="EC63" s="877">
        <f t="shared" si="131"/>
        <v>5</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f t="shared" si="143"/>
        <v>0</v>
      </c>
      <c r="EP63" s="874">
        <f t="shared" si="144"/>
        <v>0</v>
      </c>
      <c r="EQ63" s="874">
        <f t="shared" si="145"/>
        <v>0</v>
      </c>
      <c r="ER63" s="874">
        <f t="shared" si="146"/>
        <v>0</v>
      </c>
      <c r="ES63" s="874" t="str">
        <f t="shared" si="147"/>
        <v/>
      </c>
      <c r="ET63" s="873">
        <f t="shared" si="148"/>
        <v>0</v>
      </c>
      <c r="EU63" s="873">
        <f t="shared" si="149"/>
        <v>0</v>
      </c>
      <c r="EV63" s="876">
        <f t="shared" si="150"/>
        <v>6</v>
      </c>
      <c r="EW63" s="876">
        <f t="shared" si="151"/>
        <v>6</v>
      </c>
      <c r="EX63" s="878" t="e">
        <f t="shared" si="152"/>
        <v>#VALUE!</v>
      </c>
      <c r="EY63" s="879" t="e">
        <f t="shared" si="153"/>
        <v>#VALUE!</v>
      </c>
      <c r="EZ63" s="959" t="e">
        <f t="shared" si="154"/>
        <v>#VALUE!</v>
      </c>
      <c r="FA63" s="960" t="e">
        <f t="shared" si="155"/>
        <v>#VALUE!</v>
      </c>
      <c r="FB63" s="880">
        <f t="shared" si="156"/>
        <v>0</v>
      </c>
      <c r="FC63" s="881">
        <f t="shared" si="157"/>
        <v>0</v>
      </c>
      <c r="FD63" s="890">
        <f t="shared" si="158"/>
        <v>2.75</v>
      </c>
      <c r="FE63" s="833">
        <f t="shared" si="159"/>
        <v>2.75</v>
      </c>
      <c r="FF63" s="754" t="b">
        <f t="shared" si="160"/>
        <v>0</v>
      </c>
      <c r="FG63" s="754" t="b">
        <f t="shared" si="161"/>
        <v>0</v>
      </c>
      <c r="FH63" s="754" t="b">
        <f t="shared" si="162"/>
        <v>0</v>
      </c>
      <c r="FI63" s="754" t="b">
        <f t="shared" si="163"/>
        <v>0</v>
      </c>
      <c r="FJ63" s="920" t="str">
        <f t="shared" si="177"/>
        <v/>
      </c>
      <c r="FK63" s="919" t="str">
        <f t="shared" si="178"/>
        <v>G53</v>
      </c>
      <c r="FL63" s="320">
        <f t="shared" si="179"/>
        <v>666</v>
      </c>
      <c r="FM63" s="312" t="str">
        <f t="shared" si="164"/>
        <v/>
      </c>
      <c r="FN63" s="272">
        <f t="shared" ca="1" si="180"/>
        <v>96</v>
      </c>
      <c r="FO63" s="273">
        <f t="shared" ca="1" si="181"/>
        <v>5</v>
      </c>
      <c r="FP63" s="274">
        <f t="shared" ca="1" si="182"/>
        <v>96</v>
      </c>
      <c r="FQ63" s="274">
        <f t="shared" ca="1" si="183"/>
        <v>96</v>
      </c>
      <c r="FR63" s="321">
        <f t="shared" ca="1" si="184"/>
        <v>0</v>
      </c>
      <c r="FS63" s="322">
        <f t="shared" ca="1" si="185"/>
        <v>672</v>
      </c>
      <c r="FT63" s="272">
        <f t="shared" ca="1" si="186"/>
        <v>666</v>
      </c>
      <c r="FU63" s="275">
        <f t="shared" ca="1" si="187"/>
        <v>1</v>
      </c>
      <c r="FV63" s="323">
        <f t="shared" ca="1" si="165"/>
        <v>93</v>
      </c>
      <c r="FW63" s="276">
        <f t="shared" ca="1" si="188"/>
        <v>93</v>
      </c>
      <c r="FX63" s="276">
        <f t="shared" ca="1" si="189"/>
        <v>96</v>
      </c>
      <c r="FY63" s="276">
        <f t="shared" ca="1" si="190"/>
        <v>93</v>
      </c>
      <c r="FZ63" s="276">
        <f t="shared" ca="1" si="191"/>
        <v>93</v>
      </c>
      <c r="GA63" s="276">
        <f t="shared" ca="1" si="192"/>
        <v>666</v>
      </c>
      <c r="GB63" s="277">
        <f ca="1">IF(FY63="","",2+SUM(FO63:OFFSET(FO63,(FU63-1)*-1,0)))</f>
        <v>7</v>
      </c>
      <c r="GC63" s="316">
        <f t="shared" si="193"/>
        <v>-0.25</v>
      </c>
      <c r="GD63" s="324">
        <f t="shared" si="166"/>
        <v>1.75</v>
      </c>
      <c r="GE63" s="325">
        <f t="shared" si="167"/>
        <v>1.75</v>
      </c>
      <c r="GF63" s="278">
        <f t="shared" si="168"/>
        <v>12</v>
      </c>
      <c r="GG63" s="279">
        <f t="shared" si="169"/>
        <v>660</v>
      </c>
      <c r="GH63" s="279" t="str">
        <f t="shared" si="170"/>
        <v/>
      </c>
      <c r="GI63" s="280" t="str">
        <f t="shared" si="171"/>
        <v/>
      </c>
      <c r="GJ63" s="530">
        <f t="shared" ca="1" si="172"/>
        <v>0</v>
      </c>
      <c r="GK63" s="895" t="str">
        <f t="shared" ca="1" si="194"/>
        <v/>
      </c>
    </row>
    <row r="64" spans="1:193" ht="12.6" hidden="1" customHeight="1" x14ac:dyDescent="0.2">
      <c r="BZ64" s="293"/>
      <c r="CA64" s="293"/>
      <c r="CB64" s="365" t="str">
        <f t="shared" si="100"/>
        <v>G54</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-8</v>
      </c>
      <c r="CH64" s="1306">
        <f>IF(CG24="","",IF(VLOOKUP(CG24,SectInfo!$B:$N,7,FALSE)="","",(VLOOKUP(CG24,SectInfo!$B:$N,7,FALSE)*-1)))</f>
        <v>-7.5</v>
      </c>
      <c r="CI64" s="1306">
        <f>IF(CG24="","",IF(VLOOKUP(CG24,SectInfo!$B:$N,8,FALSE)="",$FC$4,(VLOOKUP(CG24,SectInfo!$B:$N,8,FALSE))))</f>
        <v>5</v>
      </c>
      <c r="CJ64" s="1306">
        <f>IF(CG24="","",VLOOKUP(CG24,SectInfo!$B:$N,9,FALSE))</f>
        <v>9</v>
      </c>
      <c r="CK64" s="1307">
        <f t="shared" si="101"/>
        <v>0</v>
      </c>
      <c r="CL64" s="1305" t="str">
        <f>IF(CQ24="","",VLOOKUP(CQ24,SectInfo!$B:$N,12,FALSE))</f>
        <v>C</v>
      </c>
      <c r="CM64" s="1306">
        <f>IF(ISBLANK(CX24),IF(CQ24="","",VLOOKUP(CQ24,SectInfo!$B:$N,13,FALSE)),CX24)</f>
        <v>-0.25</v>
      </c>
      <c r="CN64" s="1306" t="str">
        <f>IF(CQ24="","",IF(VLOOKUP(CQ24,SectInfo!$B:$N,5,FALSE)="","R",UPPER(VLOOKUP(CQ24,SectInfo!$B:$N,5,FALSE))))</f>
        <v>R</v>
      </c>
      <c r="CO64" s="1306">
        <f>IF(ISBLANK(CZ24),IF(CQ24="","",VLOOKUP(CQ24,SectInfo!$B:$N,6,FALSE)),CZ24)</f>
        <v>7.5</v>
      </c>
      <c r="CP64" s="1306">
        <f>IF(CQ24="","",IF(VLOOKUP(CQ24,SectInfo!$B:$N,10,FALSE)="","",(VLOOKUP(CQ24,SectInfo!$B:$N,10,FALSE)*-1)))</f>
        <v>-8</v>
      </c>
      <c r="CQ64" s="1306">
        <f>IF(CQ24="","",IF(VLOOKUP(CQ24,SectInfo!$B:$N,7,FALSE)="","",(VLOOKUP(CQ24,SectInfo!$B:$N,7,FALSE)*-1)))</f>
        <v>-7.5</v>
      </c>
      <c r="CR64" s="1306">
        <f>IF(CQ24="","",IF(VLOOKUP(CQ24,SectInfo!$B:$N,8,FALSE)="",$FC$4,(VLOOKUP(CQ24,SectInfo!$B:$N,8,FALSE))))</f>
        <v>5</v>
      </c>
      <c r="CS64" s="1306">
        <f>IF(CQ24="","",VLOOKUP(CQ24,SectInfo!$B:$N,9,FALSE))</f>
        <v>9</v>
      </c>
      <c r="CT64" s="1307">
        <f t="shared" si="102"/>
        <v>0</v>
      </c>
      <c r="CU64" s="1317">
        <f t="shared" si="103"/>
        <v>0</v>
      </c>
      <c r="CV64" s="1311">
        <f t="shared" si="104"/>
        <v>671.5</v>
      </c>
      <c r="CW64" s="1311">
        <f t="shared" si="105"/>
        <v>7.5</v>
      </c>
      <c r="CX64" s="1311">
        <f t="shared" si="106"/>
        <v>7.5</v>
      </c>
      <c r="CY64" s="1313">
        <f t="shared" si="107"/>
        <v>0</v>
      </c>
      <c r="CZ64" s="1313">
        <f t="shared" si="108"/>
        <v>9</v>
      </c>
      <c r="DA64" s="1313">
        <f t="shared" si="109"/>
        <v>9</v>
      </c>
      <c r="DB64" s="1311">
        <f t="shared" si="173"/>
        <v>8.75</v>
      </c>
      <c r="DC64" s="1311">
        <f t="shared" si="110"/>
        <v>2.75</v>
      </c>
      <c r="DD64" s="875">
        <f t="shared" si="174"/>
        <v>2.75</v>
      </c>
      <c r="DE64" s="873">
        <f t="shared" si="111"/>
        <v>0</v>
      </c>
      <c r="DF64" s="874">
        <f t="shared" si="112"/>
        <v>9</v>
      </c>
      <c r="DG64" s="874">
        <f t="shared" si="113"/>
        <v>9</v>
      </c>
      <c r="DH64" s="1311">
        <f t="shared" si="175"/>
        <v>8.75</v>
      </c>
      <c r="DI64" s="1311">
        <f t="shared" si="114"/>
        <v>2.75</v>
      </c>
      <c r="DJ64" s="1312">
        <f t="shared" si="176"/>
        <v>2.75</v>
      </c>
      <c r="DK64" s="1311">
        <f t="shared" si="115"/>
        <v>666</v>
      </c>
      <c r="DL64" s="1311">
        <f t="shared" si="116"/>
        <v>-7.5</v>
      </c>
      <c r="DM64" s="1311">
        <f t="shared" si="117"/>
        <v>7.25</v>
      </c>
      <c r="DN64" s="1311">
        <f t="shared" si="118"/>
        <v>7.25</v>
      </c>
      <c r="DO64" s="889">
        <f t="shared" si="119"/>
        <v>7.25</v>
      </c>
      <c r="DP64" s="889">
        <f t="shared" si="120"/>
        <v>7.25</v>
      </c>
      <c r="DQ64" s="1311">
        <f t="shared" si="121"/>
        <v>7.25</v>
      </c>
      <c r="DR64" s="1311">
        <f t="shared" si="121"/>
        <v>7.25</v>
      </c>
      <c r="DS64" s="1311">
        <f t="shared" si="122"/>
        <v>-7.5</v>
      </c>
      <c r="DT64" s="1311">
        <f t="shared" si="123"/>
        <v>7.25</v>
      </c>
      <c r="DU64" s="1311">
        <f t="shared" si="124"/>
        <v>7.25</v>
      </c>
      <c r="DV64" s="889">
        <f t="shared" si="125"/>
        <v>7.25</v>
      </c>
      <c r="DW64" s="889">
        <f t="shared" si="126"/>
        <v>7.25</v>
      </c>
      <c r="DX64" s="873">
        <f t="shared" si="127"/>
        <v>7.25</v>
      </c>
      <c r="DY64" s="873">
        <f t="shared" si="127"/>
        <v>7.25</v>
      </c>
      <c r="DZ64" s="873">
        <f t="shared" si="128"/>
        <v>7.75</v>
      </c>
      <c r="EA64" s="873">
        <f t="shared" si="129"/>
        <v>7.75</v>
      </c>
      <c r="EB64" s="876">
        <f t="shared" si="130"/>
        <v>5</v>
      </c>
      <c r="EC64" s="877">
        <f t="shared" si="131"/>
        <v>5</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f t="shared" si="143"/>
        <v>0</v>
      </c>
      <c r="EP64" s="874">
        <f t="shared" si="144"/>
        <v>0</v>
      </c>
      <c r="EQ64" s="874">
        <f t="shared" si="145"/>
        <v>0</v>
      </c>
      <c r="ER64" s="874">
        <f t="shared" si="146"/>
        <v>0</v>
      </c>
      <c r="ES64" s="874" t="str">
        <f t="shared" si="147"/>
        <v/>
      </c>
      <c r="ET64" s="873">
        <f t="shared" si="148"/>
        <v>0</v>
      </c>
      <c r="EU64" s="873">
        <f t="shared" si="149"/>
        <v>0</v>
      </c>
      <c r="EV64" s="876">
        <f t="shared" si="150"/>
        <v>6</v>
      </c>
      <c r="EW64" s="876">
        <f t="shared" si="151"/>
        <v>6</v>
      </c>
      <c r="EX64" s="878" t="e">
        <f t="shared" si="152"/>
        <v>#VALUE!</v>
      </c>
      <c r="EY64" s="879" t="e">
        <f t="shared" si="153"/>
        <v>#VALUE!</v>
      </c>
      <c r="EZ64" s="959" t="e">
        <f t="shared" si="154"/>
        <v>#VALUE!</v>
      </c>
      <c r="FA64" s="960" t="e">
        <f t="shared" si="155"/>
        <v>#VALUE!</v>
      </c>
      <c r="FB64" s="880">
        <f t="shared" si="156"/>
        <v>0</v>
      </c>
      <c r="FC64" s="881">
        <f t="shared" si="157"/>
        <v>0</v>
      </c>
      <c r="FD64" s="890">
        <f t="shared" si="158"/>
        <v>2.75</v>
      </c>
      <c r="FE64" s="833">
        <f t="shared" si="159"/>
        <v>2.75</v>
      </c>
      <c r="FF64" s="754" t="b">
        <f t="shared" si="160"/>
        <v>0</v>
      </c>
      <c r="FG64" s="754" t="b">
        <f t="shared" si="161"/>
        <v>0</v>
      </c>
      <c r="FH64" s="754" t="b">
        <f t="shared" si="162"/>
        <v>0</v>
      </c>
      <c r="FI64" s="754" t="b">
        <f t="shared" si="163"/>
        <v>0</v>
      </c>
      <c r="FJ64" s="920" t="str">
        <f t="shared" si="177"/>
        <v/>
      </c>
      <c r="FK64" s="919" t="str">
        <f t="shared" si="178"/>
        <v>G54</v>
      </c>
      <c r="FL64" s="320">
        <f t="shared" si="179"/>
        <v>666</v>
      </c>
      <c r="FM64" s="312" t="str">
        <f t="shared" si="164"/>
        <v/>
      </c>
      <c r="FN64" s="272">
        <f t="shared" ca="1" si="180"/>
        <v>96</v>
      </c>
      <c r="FO64" s="273">
        <f t="shared" ca="1" si="181"/>
        <v>5</v>
      </c>
      <c r="FP64" s="274">
        <f t="shared" ca="1" si="182"/>
        <v>96</v>
      </c>
      <c r="FQ64" s="274">
        <f t="shared" ca="1" si="183"/>
        <v>96</v>
      </c>
      <c r="FR64" s="321">
        <f t="shared" ca="1" si="184"/>
        <v>0</v>
      </c>
      <c r="FS64" s="322">
        <f t="shared" ca="1" si="185"/>
        <v>672</v>
      </c>
      <c r="FT64" s="272">
        <f t="shared" ca="1" si="186"/>
        <v>666</v>
      </c>
      <c r="FU64" s="275">
        <f t="shared" ca="1" si="187"/>
        <v>1</v>
      </c>
      <c r="FV64" s="323">
        <f t="shared" ca="1" si="165"/>
        <v>93</v>
      </c>
      <c r="FW64" s="276">
        <f t="shared" ca="1" si="188"/>
        <v>93</v>
      </c>
      <c r="FX64" s="276">
        <f t="shared" ca="1" si="189"/>
        <v>96</v>
      </c>
      <c r="FY64" s="276">
        <f t="shared" ca="1" si="190"/>
        <v>93</v>
      </c>
      <c r="FZ64" s="276">
        <f t="shared" ca="1" si="191"/>
        <v>93</v>
      </c>
      <c r="GA64" s="276">
        <f t="shared" ca="1" si="192"/>
        <v>666</v>
      </c>
      <c r="GB64" s="277">
        <f ca="1">IF(FY64="","",2+SUM(FO64:OFFSET(FO64,(FU64-1)*-1,0)))</f>
        <v>7</v>
      </c>
      <c r="GC64" s="316">
        <f t="shared" si="193"/>
        <v>-0.25</v>
      </c>
      <c r="GD64" s="324">
        <f t="shared" si="166"/>
        <v>1.75</v>
      </c>
      <c r="GE64" s="325">
        <f t="shared" si="167"/>
        <v>1.75</v>
      </c>
      <c r="GF64" s="278">
        <f t="shared" si="168"/>
        <v>12</v>
      </c>
      <c r="GG64" s="279">
        <f t="shared" si="169"/>
        <v>660</v>
      </c>
      <c r="GH64" s="279" t="str">
        <f t="shared" si="170"/>
        <v/>
      </c>
      <c r="GI64" s="280" t="str">
        <f t="shared" si="171"/>
        <v/>
      </c>
      <c r="GJ64" s="530">
        <f t="shared" ca="1" si="172"/>
        <v>0</v>
      </c>
      <c r="GK64" s="895" t="str">
        <f t="shared" ca="1" si="194"/>
        <v/>
      </c>
    </row>
    <row r="65" spans="78:193" ht="12.6" hidden="1" customHeight="1" x14ac:dyDescent="0.2">
      <c r="BZ65" s="293"/>
      <c r="CA65" s="293"/>
      <c r="CB65" s="365" t="str">
        <f t="shared" si="100"/>
        <v>G55</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1"/>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2"/>
        <v>0</v>
      </c>
      <c r="CU65" s="1317">
        <f t="shared" si="103"/>
        <v>0</v>
      </c>
      <c r="CV65" s="1311">
        <f t="shared" si="104"/>
        <v>719.5</v>
      </c>
      <c r="CW65" s="1311">
        <f t="shared" si="105"/>
        <v>7.5</v>
      </c>
      <c r="CX65" s="1311">
        <f t="shared" si="106"/>
        <v>7.5</v>
      </c>
      <c r="CY65" s="1313">
        <f t="shared" si="107"/>
        <v>0</v>
      </c>
      <c r="CZ65" s="1313">
        <f t="shared" si="108"/>
        <v>9</v>
      </c>
      <c r="DA65" s="1313">
        <f t="shared" si="109"/>
        <v>9</v>
      </c>
      <c r="DB65" s="1311">
        <f t="shared" si="173"/>
        <v>8.75</v>
      </c>
      <c r="DC65" s="1311">
        <f t="shared" si="110"/>
        <v>2.75</v>
      </c>
      <c r="DD65" s="875">
        <f t="shared" si="174"/>
        <v>2.75</v>
      </c>
      <c r="DE65" s="873">
        <f t="shared" si="111"/>
        <v>0</v>
      </c>
      <c r="DF65" s="874">
        <f t="shared" si="112"/>
        <v>9</v>
      </c>
      <c r="DG65" s="874">
        <f t="shared" si="113"/>
        <v>9</v>
      </c>
      <c r="DH65" s="1311">
        <f t="shared" si="175"/>
        <v>8.75</v>
      </c>
      <c r="DI65" s="1311">
        <f t="shared" si="114"/>
        <v>2.75</v>
      </c>
      <c r="DJ65" s="1312">
        <f t="shared" si="176"/>
        <v>2.75</v>
      </c>
      <c r="DK65" s="1311">
        <f t="shared" si="115"/>
        <v>714</v>
      </c>
      <c r="DL65" s="1311">
        <f t="shared" si="116"/>
        <v>-7.5</v>
      </c>
      <c r="DM65" s="1311">
        <f t="shared" si="117"/>
        <v>7.25</v>
      </c>
      <c r="DN65" s="1311">
        <f t="shared" si="118"/>
        <v>7.25</v>
      </c>
      <c r="DO65" s="889">
        <f t="shared" si="119"/>
        <v>7.25</v>
      </c>
      <c r="DP65" s="889">
        <f t="shared" si="120"/>
        <v>7.25</v>
      </c>
      <c r="DQ65" s="1311">
        <f t="shared" si="121"/>
        <v>7.25</v>
      </c>
      <c r="DR65" s="1311">
        <f t="shared" si="121"/>
        <v>7.25</v>
      </c>
      <c r="DS65" s="1311">
        <f t="shared" si="122"/>
        <v>-7.5</v>
      </c>
      <c r="DT65" s="1311">
        <f t="shared" si="123"/>
        <v>7.25</v>
      </c>
      <c r="DU65" s="1311">
        <f t="shared" si="124"/>
        <v>7.25</v>
      </c>
      <c r="DV65" s="889">
        <f t="shared" si="125"/>
        <v>7.25</v>
      </c>
      <c r="DW65" s="889">
        <f t="shared" si="126"/>
        <v>7.25</v>
      </c>
      <c r="DX65" s="873">
        <f t="shared" si="127"/>
        <v>7.25</v>
      </c>
      <c r="DY65" s="873">
        <f t="shared" si="127"/>
        <v>7.25</v>
      </c>
      <c r="DZ65" s="873">
        <f t="shared" si="128"/>
        <v>7.75</v>
      </c>
      <c r="EA65" s="873">
        <f t="shared" si="129"/>
        <v>7.75</v>
      </c>
      <c r="EB65" s="876">
        <f t="shared" si="130"/>
        <v>5</v>
      </c>
      <c r="EC65" s="877">
        <f t="shared" si="131"/>
        <v>5</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f t="shared" si="143"/>
        <v>0</v>
      </c>
      <c r="EP65" s="874">
        <f t="shared" si="144"/>
        <v>0</v>
      </c>
      <c r="EQ65" s="874">
        <f t="shared" si="145"/>
        <v>0</v>
      </c>
      <c r="ER65" s="874">
        <f t="shared" si="146"/>
        <v>0</v>
      </c>
      <c r="ES65" s="874" t="str">
        <f t="shared" si="147"/>
        <v/>
      </c>
      <c r="ET65" s="873">
        <f t="shared" si="148"/>
        <v>0</v>
      </c>
      <c r="EU65" s="873">
        <f t="shared" si="149"/>
        <v>0</v>
      </c>
      <c r="EV65" s="876">
        <f t="shared" si="150"/>
        <v>6</v>
      </c>
      <c r="EW65" s="876">
        <f t="shared" si="151"/>
        <v>6</v>
      </c>
      <c r="EX65" s="878" t="e">
        <f t="shared" si="152"/>
        <v>#VALUE!</v>
      </c>
      <c r="EY65" s="879" t="e">
        <f t="shared" si="153"/>
        <v>#VALUE!</v>
      </c>
      <c r="EZ65" s="959" t="e">
        <f t="shared" si="154"/>
        <v>#VALUE!</v>
      </c>
      <c r="FA65" s="960" t="e">
        <f t="shared" si="155"/>
        <v>#VALUE!</v>
      </c>
      <c r="FB65" s="880">
        <f t="shared" si="156"/>
        <v>0</v>
      </c>
      <c r="FC65" s="881">
        <f t="shared" si="157"/>
        <v>0</v>
      </c>
      <c r="FD65" s="890">
        <f t="shared" si="158"/>
        <v>2.75</v>
      </c>
      <c r="FE65" s="833">
        <f t="shared" si="159"/>
        <v>2.75</v>
      </c>
      <c r="FF65" s="754" t="b">
        <f t="shared" si="160"/>
        <v>0</v>
      </c>
      <c r="FG65" s="754" t="b">
        <f t="shared" si="161"/>
        <v>0</v>
      </c>
      <c r="FH65" s="754" t="b">
        <f t="shared" si="162"/>
        <v>0</v>
      </c>
      <c r="FI65" s="754" t="b">
        <f t="shared" si="163"/>
        <v>0</v>
      </c>
      <c r="FJ65" s="920" t="str">
        <f t="shared" si="177"/>
        <v/>
      </c>
      <c r="FK65" s="919" t="str">
        <f t="shared" si="178"/>
        <v>G55</v>
      </c>
      <c r="FL65" s="320">
        <f t="shared" si="179"/>
        <v>714</v>
      </c>
      <c r="FM65" s="312" t="str">
        <f t="shared" si="164"/>
        <v/>
      </c>
      <c r="FN65" s="272">
        <f t="shared" ca="1" si="180"/>
        <v>96</v>
      </c>
      <c r="FO65" s="273">
        <f t="shared" ca="1" si="181"/>
        <v>6</v>
      </c>
      <c r="FP65" s="274">
        <f t="shared" ca="1" si="182"/>
        <v>96</v>
      </c>
      <c r="FQ65" s="274">
        <f t="shared" ca="1" si="183"/>
        <v>48</v>
      </c>
      <c r="FR65" s="321">
        <f t="shared" ca="1" si="184"/>
        <v>0</v>
      </c>
      <c r="FS65" s="322">
        <f t="shared" ca="1" si="185"/>
        <v>720</v>
      </c>
      <c r="FT65" s="272">
        <f t="shared" ca="1" si="186"/>
        <v>714</v>
      </c>
      <c r="FU65" s="275">
        <f t="shared" ca="1" si="187"/>
        <v>1</v>
      </c>
      <c r="FV65" s="323">
        <f t="shared" ca="1" si="165"/>
        <v>93</v>
      </c>
      <c r="FW65" s="276">
        <f t="shared" ca="1" si="188"/>
        <v>93</v>
      </c>
      <c r="FX65" s="276">
        <f t="shared" ca="1" si="189"/>
        <v>96</v>
      </c>
      <c r="FY65" s="276">
        <f t="shared" ca="1" si="190"/>
        <v>45</v>
      </c>
      <c r="FZ65" s="276">
        <f t="shared" ca="1" si="191"/>
        <v>45</v>
      </c>
      <c r="GA65" s="276">
        <f t="shared" ca="1" si="192"/>
        <v>714</v>
      </c>
      <c r="GB65" s="277">
        <f ca="1">IF(FY65="","",2+SUM(FO65:OFFSET(FO65,(FU65-1)*-1,0)))</f>
        <v>8</v>
      </c>
      <c r="GC65" s="316">
        <f t="shared" si="193"/>
        <v>-0.25</v>
      </c>
      <c r="GD65" s="324">
        <f t="shared" si="166"/>
        <v>1.75</v>
      </c>
      <c r="GE65" s="325" t="str">
        <f t="shared" si="167"/>
        <v/>
      </c>
      <c r="GF65" s="278" t="str">
        <f t="shared" si="168"/>
        <v>#7</v>
      </c>
      <c r="GG65" s="279">
        <f t="shared" si="169"/>
        <v>12</v>
      </c>
      <c r="GH65" s="279" t="str">
        <f t="shared" si="170"/>
        <v/>
      </c>
      <c r="GI65" s="280" t="str">
        <f t="shared" si="171"/>
        <v/>
      </c>
      <c r="GJ65" s="530">
        <f t="shared" ca="1" si="172"/>
        <v>0</v>
      </c>
      <c r="GK65" s="895" t="str">
        <f t="shared" ca="1" si="194"/>
        <v>B</v>
      </c>
    </row>
    <row r="66" spans="78:193" ht="12.6" hidden="1" customHeight="1" x14ac:dyDescent="0.2">
      <c r="BZ66" s="293"/>
      <c r="CA66" s="293"/>
      <c r="CB66" s="365" t="str">
        <f t="shared" si="100"/>
        <v>G56</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1"/>
        <v>0</v>
      </c>
      <c r="CL66" s="1305" t="str">
        <f>IF(CQ26="","",VLOOKUP(CQ26,SectInfo!$B:$N,12,FALSE))</f>
        <v>M</v>
      </c>
      <c r="CM66" s="1306">
        <f>IF(ISBLANK(CX26),IF(CQ26="","",VLOOKUP(CQ26,SectInfo!$B:$N,13,FALSE)),CX26)</f>
        <v>-1</v>
      </c>
      <c r="CN66" s="1306" t="str">
        <f>IF(CQ26="","",IF(VLOOKUP(CQ26,SectInfo!$B:$N,5,FALSE)="","R",UPPER(VLOOKUP(CQ26,SectInfo!$B:$N,5,FALSE))))</f>
        <v>R</v>
      </c>
      <c r="CO66" s="1306">
        <f>IF(ISBLANK(CZ26),IF(CQ26="","",VLOOKUP(CQ26,SectInfo!$B:$N,6,FALSE)),CZ26)</f>
        <v>7.5</v>
      </c>
      <c r="CP66" s="1306">
        <f>IF(CQ26="","",IF(VLOOKUP(CQ26,SectInfo!$B:$N,10,FALSE)="","",(VLOOKUP(CQ26,SectInfo!$B:$N,10,FALSE)*-1)))</f>
        <v>-2</v>
      </c>
      <c r="CQ66" s="1306">
        <f>IF(CQ26="","",IF(VLOOKUP(CQ26,SectInfo!$B:$N,7,FALSE)="","",(VLOOKUP(CQ26,SectInfo!$B:$N,7,FALSE)*-1)))</f>
        <v>-4.5</v>
      </c>
      <c r="CR66" s="1306">
        <f>IF(CQ26="","",IF(VLOOKUP(CQ26,SectInfo!$B:$N,8,FALSE)="",$FC$4,(VLOOKUP(CQ26,SectInfo!$B:$N,8,FALSE))))</f>
        <v>5</v>
      </c>
      <c r="CS66" s="1306">
        <f>IF(CQ26="","",VLOOKUP(CQ26,SectInfo!$B:$N,9,FALSE))</f>
        <v>6</v>
      </c>
      <c r="CT66" s="1307">
        <f t="shared" si="102"/>
        <v>0</v>
      </c>
      <c r="CU66" s="1317">
        <f t="shared" si="103"/>
        <v>0</v>
      </c>
      <c r="CV66" s="1311">
        <f t="shared" si="104"/>
        <v>709</v>
      </c>
      <c r="CW66" s="1311">
        <f t="shared" si="105"/>
        <v>7.5</v>
      </c>
      <c r="CX66" s="1311">
        <f t="shared" si="106"/>
        <v>7.5</v>
      </c>
      <c r="CY66" s="1313">
        <f t="shared" si="107"/>
        <v>0</v>
      </c>
      <c r="CZ66" s="1313">
        <f t="shared" si="108"/>
        <v>9</v>
      </c>
      <c r="DA66" s="1313">
        <f t="shared" si="109"/>
        <v>9</v>
      </c>
      <c r="DB66" s="1311">
        <f t="shared" si="173"/>
        <v>8.75</v>
      </c>
      <c r="DC66" s="1311">
        <f t="shared" si="110"/>
        <v>2.75</v>
      </c>
      <c r="DD66" s="875">
        <f t="shared" si="174"/>
        <v>2.75</v>
      </c>
      <c r="DE66" s="873">
        <f t="shared" si="111"/>
        <v>0</v>
      </c>
      <c r="DF66" s="874">
        <f t="shared" si="112"/>
        <v>6</v>
      </c>
      <c r="DG66" s="874">
        <f t="shared" si="113"/>
        <v>6</v>
      </c>
      <c r="DH66" s="1311">
        <f t="shared" si="175"/>
        <v>5</v>
      </c>
      <c r="DI66" s="1311">
        <f t="shared" si="114"/>
        <v>0</v>
      </c>
      <c r="DJ66" s="1312">
        <f t="shared" si="176"/>
        <v>0</v>
      </c>
      <c r="DK66" s="1311">
        <f t="shared" si="115"/>
        <v>706.25</v>
      </c>
      <c r="DL66" s="1311">
        <f t="shared" si="116"/>
        <v>-7.5</v>
      </c>
      <c r="DM66" s="1311">
        <f t="shared" si="117"/>
        <v>7.25</v>
      </c>
      <c r="DN66" s="1311">
        <f t="shared" si="118"/>
        <v>7.25</v>
      </c>
      <c r="DO66" s="889">
        <f t="shared" si="119"/>
        <v>7.25</v>
      </c>
      <c r="DP66" s="889">
        <f t="shared" si="120"/>
        <v>7.25</v>
      </c>
      <c r="DQ66" s="1311">
        <f t="shared" si="121"/>
        <v>7.25</v>
      </c>
      <c r="DR66" s="1311">
        <f t="shared" si="121"/>
        <v>7.25</v>
      </c>
      <c r="DS66" s="1311">
        <f t="shared" si="122"/>
        <v>-4.5</v>
      </c>
      <c r="DT66" s="1311">
        <f t="shared" si="123"/>
        <v>3.5</v>
      </c>
      <c r="DU66" s="1311">
        <f t="shared" si="124"/>
        <v>3.5</v>
      </c>
      <c r="DV66" s="889">
        <f t="shared" si="125"/>
        <v>3.5</v>
      </c>
      <c r="DW66" s="889">
        <f t="shared" si="126"/>
        <v>3.5</v>
      </c>
      <c r="DX66" s="873">
        <f t="shared" si="127"/>
        <v>3.5</v>
      </c>
      <c r="DY66" s="873">
        <f t="shared" si="127"/>
        <v>3.5</v>
      </c>
      <c r="DZ66" s="873">
        <f t="shared" si="128"/>
        <v>7.75</v>
      </c>
      <c r="EA66" s="873">
        <f t="shared" si="129"/>
        <v>1</v>
      </c>
      <c r="EB66" s="876">
        <f t="shared" si="130"/>
        <v>5</v>
      </c>
      <c r="EC66" s="877">
        <f t="shared" si="131"/>
        <v>5</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f t="shared" si="143"/>
        <v>0</v>
      </c>
      <c r="EP66" s="874">
        <f t="shared" si="144"/>
        <v>0</v>
      </c>
      <c r="EQ66" s="874">
        <f t="shared" si="145"/>
        <v>0</v>
      </c>
      <c r="ER66" s="874">
        <f t="shared" si="146"/>
        <v>0</v>
      </c>
      <c r="ES66" s="874" t="str">
        <f t="shared" si="147"/>
        <v/>
      </c>
      <c r="ET66" s="873">
        <f t="shared" si="148"/>
        <v>0</v>
      </c>
      <c r="EU66" s="873">
        <f t="shared" si="149"/>
        <v>0</v>
      </c>
      <c r="EV66" s="876">
        <f t="shared" si="150"/>
        <v>6</v>
      </c>
      <c r="EW66" s="876">
        <f t="shared" si="151"/>
        <v>5</v>
      </c>
      <c r="EX66" s="878" t="e">
        <f t="shared" si="152"/>
        <v>#VALUE!</v>
      </c>
      <c r="EY66" s="879" t="e">
        <f t="shared" si="153"/>
        <v>#VALUE!</v>
      </c>
      <c r="EZ66" s="959" t="e">
        <f t="shared" si="154"/>
        <v>#VALUE!</v>
      </c>
      <c r="FA66" s="960" t="e">
        <f t="shared" si="155"/>
        <v>#VALUE!</v>
      </c>
      <c r="FB66" s="880">
        <f t="shared" si="156"/>
        <v>0</v>
      </c>
      <c r="FC66" s="881">
        <f t="shared" si="157"/>
        <v>0</v>
      </c>
      <c r="FD66" s="890">
        <f t="shared" si="158"/>
        <v>2.75</v>
      </c>
      <c r="FE66" s="833">
        <f t="shared" si="159"/>
        <v>0</v>
      </c>
      <c r="FF66" s="754" t="b">
        <f t="shared" si="160"/>
        <v>0</v>
      </c>
      <c r="FG66" s="754" t="b">
        <f t="shared" si="161"/>
        <v>0</v>
      </c>
      <c r="FH66" s="754" t="b">
        <f t="shared" si="162"/>
        <v>0</v>
      </c>
      <c r="FI66" s="754" t="b">
        <f t="shared" si="163"/>
        <v>0</v>
      </c>
      <c r="FJ66" s="920" t="str">
        <f t="shared" si="177"/>
        <v/>
      </c>
      <c r="FK66" s="919" t="str">
        <f t="shared" si="178"/>
        <v>G56</v>
      </c>
      <c r="FL66" s="320">
        <f t="shared" si="179"/>
        <v>706.25</v>
      </c>
      <c r="FM66" s="312" t="str">
        <f t="shared" si="164"/>
        <v/>
      </c>
      <c r="FN66" s="272">
        <f t="shared" ca="1" si="180"/>
        <v>48</v>
      </c>
      <c r="FO66" s="273">
        <f t="shared" ca="1" si="181"/>
        <v>6</v>
      </c>
      <c r="FP66" s="274">
        <f t="shared" ca="1" si="182"/>
        <v>96</v>
      </c>
      <c r="FQ66" s="274">
        <f t="shared" ca="1" si="183"/>
        <v>86.25</v>
      </c>
      <c r="FR66" s="321">
        <f t="shared" ca="1" si="184"/>
        <v>0</v>
      </c>
      <c r="FS66" s="322">
        <f t="shared" ca="1" si="185"/>
        <v>710.25</v>
      </c>
      <c r="FT66" s="272">
        <f t="shared" ca="1" si="186"/>
        <v>706.25</v>
      </c>
      <c r="FU66" s="275">
        <f t="shared" ca="1" si="187"/>
        <v>1</v>
      </c>
      <c r="FV66" s="323">
        <f t="shared" ca="1" si="165"/>
        <v>45</v>
      </c>
      <c r="FW66" s="276">
        <f t="shared" ca="1" si="188"/>
        <v>45</v>
      </c>
      <c r="FX66" s="276">
        <f t="shared" ca="1" si="189"/>
        <v>96</v>
      </c>
      <c r="FY66" s="276">
        <f t="shared" ca="1" si="190"/>
        <v>85.25</v>
      </c>
      <c r="FZ66" s="276">
        <f t="shared" ca="1" si="191"/>
        <v>85.25</v>
      </c>
      <c r="GA66" s="276">
        <f t="shared" ca="1" si="192"/>
        <v>706.25</v>
      </c>
      <c r="GB66" s="277">
        <f ca="1">IF(FY66="","",2+SUM(FO66:OFFSET(FO66,(FU66-1)*-1,0)))</f>
        <v>8</v>
      </c>
      <c r="GC66" s="316">
        <f t="shared" si="193"/>
        <v>-0.25</v>
      </c>
      <c r="GD66" s="324" t="str">
        <f t="shared" si="166"/>
        <v/>
      </c>
      <c r="GE66" s="325" t="str">
        <f t="shared" si="167"/>
        <v/>
      </c>
      <c r="GF66" s="278" t="str">
        <f t="shared" si="168"/>
        <v>#1</v>
      </c>
      <c r="GG66" s="279" t="str">
        <f t="shared" si="169"/>
        <v/>
      </c>
      <c r="GH66" s="279" t="str">
        <f t="shared" si="170"/>
        <v/>
      </c>
      <c r="GI66" s="280" t="str">
        <f t="shared" si="171"/>
        <v/>
      </c>
      <c r="GJ66" s="530">
        <f t="shared" ca="1" si="172"/>
        <v>0</v>
      </c>
      <c r="GK66" s="895" t="str">
        <f t="shared" ca="1" si="194"/>
        <v>A</v>
      </c>
    </row>
    <row r="67" spans="78:193" ht="12.6" hidden="1" customHeight="1" x14ac:dyDescent="0.2">
      <c r="BZ67" s="293"/>
      <c r="CA67" s="293"/>
      <c r="CB67" s="365" t="str">
        <f t="shared" si="100"/>
        <v>G57</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1"/>
        <v>0</v>
      </c>
      <c r="CL67" s="1305" t="str">
        <f>IF(CQ27="","",VLOOKUP(CQ27,SectInfo!$B:$N,12,FALSE))</f>
        <v>M</v>
      </c>
      <c r="CM67" s="1306">
        <f>IF(ISBLANK(CX27),IF(CQ27="","",VLOOKUP(CQ27,SectInfo!$B:$N,13,FALSE)),CX27)</f>
        <v>-1</v>
      </c>
      <c r="CN67" s="1306" t="str">
        <f>IF(CQ27="","",IF(VLOOKUP(CQ27,SectInfo!$B:$N,5,FALSE)="","R",UPPER(VLOOKUP(CQ27,SectInfo!$B:$N,5,FALSE))))</f>
        <v>R</v>
      </c>
      <c r="CO67" s="1306">
        <f>IF(ISBLANK(CZ27),IF(CQ27="","",VLOOKUP(CQ27,SectInfo!$B:$N,6,FALSE)),CZ27)</f>
        <v>7.5</v>
      </c>
      <c r="CP67" s="1306">
        <f>IF(CQ27="","",IF(VLOOKUP(CQ27,SectInfo!$B:$N,10,FALSE)="","",(VLOOKUP(CQ27,SectInfo!$B:$N,10,FALSE)*-1)))</f>
        <v>-2</v>
      </c>
      <c r="CQ67" s="1306">
        <f>IF(CQ27="","",IF(VLOOKUP(CQ27,SectInfo!$B:$N,7,FALSE)="","",(VLOOKUP(CQ27,SectInfo!$B:$N,7,FALSE)*-1)))</f>
        <v>-4.5</v>
      </c>
      <c r="CR67" s="1306">
        <f>IF(CQ27="","",IF(VLOOKUP(CQ27,SectInfo!$B:$N,8,FALSE)="",$FC$4,(VLOOKUP(CQ27,SectInfo!$B:$N,8,FALSE))))</f>
        <v>5</v>
      </c>
      <c r="CS67" s="1306">
        <f>IF(CQ27="","",VLOOKUP(CQ27,SectInfo!$B:$N,9,FALSE))</f>
        <v>6</v>
      </c>
      <c r="CT67" s="1307">
        <f t="shared" si="102"/>
        <v>0</v>
      </c>
      <c r="CU67" s="1317">
        <f t="shared" si="103"/>
        <v>0</v>
      </c>
      <c r="CV67" s="1311">
        <f t="shared" si="104"/>
        <v>709</v>
      </c>
      <c r="CW67" s="1311">
        <f t="shared" si="105"/>
        <v>7.5</v>
      </c>
      <c r="CX67" s="1311">
        <f t="shared" si="106"/>
        <v>7.5</v>
      </c>
      <c r="CY67" s="1313">
        <f t="shared" si="107"/>
        <v>0</v>
      </c>
      <c r="CZ67" s="1313">
        <f t="shared" si="108"/>
        <v>9</v>
      </c>
      <c r="DA67" s="1313">
        <f t="shared" si="109"/>
        <v>9</v>
      </c>
      <c r="DB67" s="1311">
        <f t="shared" si="173"/>
        <v>8.75</v>
      </c>
      <c r="DC67" s="1311">
        <f t="shared" si="110"/>
        <v>2.75</v>
      </c>
      <c r="DD67" s="875">
        <f t="shared" si="174"/>
        <v>2.75</v>
      </c>
      <c r="DE67" s="873">
        <f t="shared" si="111"/>
        <v>0</v>
      </c>
      <c r="DF67" s="874">
        <f t="shared" si="112"/>
        <v>6</v>
      </c>
      <c r="DG67" s="874">
        <f t="shared" si="113"/>
        <v>6</v>
      </c>
      <c r="DH67" s="1311">
        <f t="shared" si="175"/>
        <v>5</v>
      </c>
      <c r="DI67" s="1311">
        <f t="shared" si="114"/>
        <v>0</v>
      </c>
      <c r="DJ67" s="1312">
        <f t="shared" si="176"/>
        <v>0</v>
      </c>
      <c r="DK67" s="1311">
        <f t="shared" si="115"/>
        <v>706.25</v>
      </c>
      <c r="DL67" s="1311">
        <f t="shared" si="116"/>
        <v>-7.5</v>
      </c>
      <c r="DM67" s="1311">
        <f t="shared" si="117"/>
        <v>7.25</v>
      </c>
      <c r="DN67" s="1311">
        <f t="shared" si="118"/>
        <v>7.25</v>
      </c>
      <c r="DO67" s="889">
        <f t="shared" si="119"/>
        <v>7.25</v>
      </c>
      <c r="DP67" s="889">
        <f t="shared" si="120"/>
        <v>7.25</v>
      </c>
      <c r="DQ67" s="1311">
        <f t="shared" si="121"/>
        <v>7.25</v>
      </c>
      <c r="DR67" s="1311">
        <f t="shared" si="121"/>
        <v>7.25</v>
      </c>
      <c r="DS67" s="1311">
        <f t="shared" si="122"/>
        <v>-4.5</v>
      </c>
      <c r="DT67" s="1311">
        <f t="shared" si="123"/>
        <v>3.5</v>
      </c>
      <c r="DU67" s="1311">
        <f t="shared" si="124"/>
        <v>3.5</v>
      </c>
      <c r="DV67" s="889">
        <f t="shared" si="125"/>
        <v>3.5</v>
      </c>
      <c r="DW67" s="889">
        <f t="shared" si="126"/>
        <v>3.5</v>
      </c>
      <c r="DX67" s="873">
        <f t="shared" si="127"/>
        <v>3.5</v>
      </c>
      <c r="DY67" s="873">
        <f t="shared" si="127"/>
        <v>3.5</v>
      </c>
      <c r="DZ67" s="873">
        <f t="shared" si="128"/>
        <v>7.75</v>
      </c>
      <c r="EA67" s="873">
        <f t="shared" si="129"/>
        <v>1</v>
      </c>
      <c r="EB67" s="876">
        <f t="shared" si="130"/>
        <v>5</v>
      </c>
      <c r="EC67" s="877">
        <f t="shared" si="131"/>
        <v>5</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f t="shared" si="143"/>
        <v>0</v>
      </c>
      <c r="EP67" s="874">
        <f t="shared" si="144"/>
        <v>0</v>
      </c>
      <c r="EQ67" s="874">
        <f t="shared" si="145"/>
        <v>0</v>
      </c>
      <c r="ER67" s="874">
        <f t="shared" si="146"/>
        <v>0</v>
      </c>
      <c r="ES67" s="874" t="str">
        <f t="shared" si="147"/>
        <v/>
      </c>
      <c r="ET67" s="873">
        <f t="shared" si="148"/>
        <v>0</v>
      </c>
      <c r="EU67" s="873">
        <f t="shared" si="149"/>
        <v>0</v>
      </c>
      <c r="EV67" s="876">
        <f t="shared" si="150"/>
        <v>6</v>
      </c>
      <c r="EW67" s="876">
        <f t="shared" si="151"/>
        <v>5</v>
      </c>
      <c r="EX67" s="878" t="e">
        <f t="shared" si="152"/>
        <v>#VALUE!</v>
      </c>
      <c r="EY67" s="879" t="e">
        <f t="shared" si="153"/>
        <v>#VALUE!</v>
      </c>
      <c r="EZ67" s="959" t="e">
        <f t="shared" si="154"/>
        <v>#VALUE!</v>
      </c>
      <c r="FA67" s="960" t="e">
        <f t="shared" si="155"/>
        <v>#VALUE!</v>
      </c>
      <c r="FB67" s="880">
        <f t="shared" si="156"/>
        <v>0</v>
      </c>
      <c r="FC67" s="881">
        <f t="shared" si="157"/>
        <v>0</v>
      </c>
      <c r="FD67" s="890">
        <f t="shared" si="158"/>
        <v>2.75</v>
      </c>
      <c r="FE67" s="833">
        <f t="shared" si="159"/>
        <v>0</v>
      </c>
      <c r="FF67" s="754" t="b">
        <f t="shared" si="160"/>
        <v>0</v>
      </c>
      <c r="FG67" s="754" t="b">
        <f t="shared" si="161"/>
        <v>0</v>
      </c>
      <c r="FH67" s="754" t="b">
        <f t="shared" si="162"/>
        <v>0</v>
      </c>
      <c r="FI67" s="754" t="b">
        <f t="shared" si="163"/>
        <v>0</v>
      </c>
      <c r="FJ67" s="920" t="str">
        <f t="shared" si="177"/>
        <v/>
      </c>
      <c r="FK67" s="919" t="str">
        <f t="shared" si="178"/>
        <v>G57</v>
      </c>
      <c r="FL67" s="320">
        <f t="shared" si="179"/>
        <v>706.25</v>
      </c>
      <c r="FM67" s="312" t="str">
        <f t="shared" si="164"/>
        <v/>
      </c>
      <c r="FN67" s="272">
        <f t="shared" ca="1" si="180"/>
        <v>48</v>
      </c>
      <c r="FO67" s="273">
        <f t="shared" ca="1" si="181"/>
        <v>6</v>
      </c>
      <c r="FP67" s="274">
        <f t="shared" ca="1" si="182"/>
        <v>96</v>
      </c>
      <c r="FQ67" s="274">
        <f t="shared" ca="1" si="183"/>
        <v>86.25</v>
      </c>
      <c r="FR67" s="321">
        <f t="shared" ca="1" si="184"/>
        <v>0</v>
      </c>
      <c r="FS67" s="322">
        <f t="shared" ca="1" si="185"/>
        <v>710.25</v>
      </c>
      <c r="FT67" s="272">
        <f t="shared" ca="1" si="186"/>
        <v>706.25</v>
      </c>
      <c r="FU67" s="275">
        <f t="shared" ca="1" si="187"/>
        <v>1</v>
      </c>
      <c r="FV67" s="323">
        <f t="shared" ca="1" si="165"/>
        <v>45</v>
      </c>
      <c r="FW67" s="276">
        <f t="shared" ca="1" si="188"/>
        <v>45</v>
      </c>
      <c r="FX67" s="276">
        <f t="shared" ca="1" si="189"/>
        <v>96</v>
      </c>
      <c r="FY67" s="276">
        <f t="shared" ca="1" si="190"/>
        <v>85.25</v>
      </c>
      <c r="FZ67" s="276">
        <f t="shared" ca="1" si="191"/>
        <v>85.25</v>
      </c>
      <c r="GA67" s="276">
        <f t="shared" ca="1" si="192"/>
        <v>706.25</v>
      </c>
      <c r="GB67" s="277">
        <f ca="1">IF(FY67="","",2+SUM(FO67:OFFSET(FO67,(FU67-1)*-1,0)))</f>
        <v>8</v>
      </c>
      <c r="GC67" s="316">
        <f t="shared" si="193"/>
        <v>-0.25</v>
      </c>
      <c r="GD67" s="324" t="str">
        <f t="shared" si="166"/>
        <v/>
      </c>
      <c r="GE67" s="325" t="str">
        <f t="shared" si="167"/>
        <v/>
      </c>
      <c r="GF67" s="278" t="str">
        <f t="shared" si="168"/>
        <v>#1</v>
      </c>
      <c r="GG67" s="279" t="str">
        <f t="shared" si="169"/>
        <v/>
      </c>
      <c r="GH67" s="279" t="str">
        <f t="shared" si="170"/>
        <v/>
      </c>
      <c r="GI67" s="280" t="str">
        <f t="shared" si="171"/>
        <v/>
      </c>
      <c r="GJ67" s="530">
        <f t="shared" ca="1" si="172"/>
        <v>0</v>
      </c>
      <c r="GK67" s="895" t="str">
        <f t="shared" ca="1" si="194"/>
        <v>A</v>
      </c>
    </row>
    <row r="68" spans="78:193" ht="12.6" hidden="1" customHeight="1" x14ac:dyDescent="0.2">
      <c r="BZ68" s="293"/>
      <c r="CA68" s="293"/>
      <c r="CB68" s="365" t="str">
        <f t="shared" si="100"/>
        <v>G58</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1"/>
        <v>0</v>
      </c>
      <c r="CL68" s="1305" t="str">
        <f>IF(CQ28="","",VLOOKUP(CQ28,SectInfo!$B:$N,12,FALSE))</f>
        <v>C</v>
      </c>
      <c r="CM68" s="1306">
        <f>IF(ISBLANK(CX28),IF(CQ28="","",VLOOKUP(CQ28,SectInfo!$B:$N,13,FALSE)),CX28)</f>
        <v>-6.5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-9.5</v>
      </c>
      <c r="CR68" s="1306">
        <f>IF(CQ28="","",IF(VLOOKUP(CQ28,SectInfo!$B:$N,8,FALSE)="",$FC$4,(VLOOKUP(CQ28,SectInfo!$B:$N,8,FALSE))))</f>
        <v>5</v>
      </c>
      <c r="CS68" s="1306">
        <f>IF(CQ28="","",VLOOKUP(CQ28,SectInfo!$B:$N,9,FALSE))</f>
        <v>12</v>
      </c>
      <c r="CT68" s="1307">
        <f t="shared" si="102"/>
        <v>0</v>
      </c>
      <c r="CU68" s="1317">
        <f t="shared" si="103"/>
        <v>0</v>
      </c>
      <c r="CV68" s="1311">
        <f t="shared" si="104"/>
        <v>708.25</v>
      </c>
      <c r="CW68" s="1311">
        <f t="shared" si="105"/>
        <v>7.5</v>
      </c>
      <c r="CX68" s="1311">
        <f t="shared" si="106"/>
        <v>7.5</v>
      </c>
      <c r="CY68" s="1313">
        <f t="shared" si="107"/>
        <v>0</v>
      </c>
      <c r="CZ68" s="1313">
        <f t="shared" si="108"/>
        <v>9</v>
      </c>
      <c r="DA68" s="1313">
        <f t="shared" si="109"/>
        <v>9</v>
      </c>
      <c r="DB68" s="1311">
        <f t="shared" si="173"/>
        <v>8.75</v>
      </c>
      <c r="DC68" s="1311">
        <f t="shared" si="110"/>
        <v>2.75</v>
      </c>
      <c r="DD68" s="875">
        <f t="shared" si="174"/>
        <v>2.75</v>
      </c>
      <c r="DE68" s="873">
        <f t="shared" si="111"/>
        <v>0</v>
      </c>
      <c r="DF68" s="874">
        <f t="shared" si="112"/>
        <v>12</v>
      </c>
      <c r="DG68" s="874">
        <f t="shared" si="113"/>
        <v>12</v>
      </c>
      <c r="DH68" s="1311">
        <f t="shared" si="175"/>
        <v>5.5</v>
      </c>
      <c r="DI68" s="1311">
        <f t="shared" si="114"/>
        <v>0</v>
      </c>
      <c r="DJ68" s="1312">
        <f t="shared" si="176"/>
        <v>0</v>
      </c>
      <c r="DK68" s="1311">
        <f t="shared" si="115"/>
        <v>705.5</v>
      </c>
      <c r="DL68" s="1311">
        <f t="shared" si="116"/>
        <v>-7.5</v>
      </c>
      <c r="DM68" s="1311">
        <f t="shared" si="117"/>
        <v>7.25</v>
      </c>
      <c r="DN68" s="1311">
        <f t="shared" si="118"/>
        <v>7.25</v>
      </c>
      <c r="DO68" s="889">
        <f t="shared" si="119"/>
        <v>7.25</v>
      </c>
      <c r="DP68" s="889">
        <f t="shared" si="120"/>
        <v>7.25</v>
      </c>
      <c r="DQ68" s="1311">
        <f t="shared" si="121"/>
        <v>7.25</v>
      </c>
      <c r="DR68" s="1311">
        <f t="shared" si="121"/>
        <v>7.25</v>
      </c>
      <c r="DS68" s="1311">
        <f t="shared" si="122"/>
        <v>-9.5</v>
      </c>
      <c r="DT68" s="1311">
        <f t="shared" si="123"/>
        <v>3</v>
      </c>
      <c r="DU68" s="1311">
        <f t="shared" si="124"/>
        <v>3</v>
      </c>
      <c r="DV68" s="889">
        <f t="shared" si="125"/>
        <v>3</v>
      </c>
      <c r="DW68" s="889">
        <f t="shared" si="126"/>
        <v>3</v>
      </c>
      <c r="DX68" s="873">
        <f t="shared" si="127"/>
        <v>3</v>
      </c>
      <c r="DY68" s="873">
        <f t="shared" si="127"/>
        <v>3</v>
      </c>
      <c r="DZ68" s="873">
        <f t="shared" si="128"/>
        <v>7.75</v>
      </c>
      <c r="EA68" s="873">
        <f t="shared" si="129"/>
        <v>1.5</v>
      </c>
      <c r="EB68" s="876">
        <f t="shared" si="130"/>
        <v>5</v>
      </c>
      <c r="EC68" s="877">
        <f t="shared" si="131"/>
        <v>5</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f t="shared" si="143"/>
        <v>0</v>
      </c>
      <c r="EP68" s="874">
        <f t="shared" si="144"/>
        <v>0</v>
      </c>
      <c r="EQ68" s="874">
        <f t="shared" si="145"/>
        <v>0</v>
      </c>
      <c r="ER68" s="874">
        <f t="shared" si="146"/>
        <v>0</v>
      </c>
      <c r="ES68" s="874" t="str">
        <f t="shared" si="147"/>
        <v/>
      </c>
      <c r="ET68" s="873">
        <f t="shared" si="148"/>
        <v>0</v>
      </c>
      <c r="EU68" s="873">
        <f t="shared" si="149"/>
        <v>0</v>
      </c>
      <c r="EV68" s="876">
        <f t="shared" si="150"/>
        <v>6</v>
      </c>
      <c r="EW68" s="876">
        <f t="shared" si="151"/>
        <v>5.5</v>
      </c>
      <c r="EX68" s="878" t="e">
        <f t="shared" si="152"/>
        <v>#VALUE!</v>
      </c>
      <c r="EY68" s="879" t="e">
        <f t="shared" si="153"/>
        <v>#VALUE!</v>
      </c>
      <c r="EZ68" s="959" t="e">
        <f t="shared" si="154"/>
        <v>#VALUE!</v>
      </c>
      <c r="FA68" s="960" t="e">
        <f t="shared" si="155"/>
        <v>#VALUE!</v>
      </c>
      <c r="FB68" s="880">
        <f t="shared" si="156"/>
        <v>0</v>
      </c>
      <c r="FC68" s="881">
        <f t="shared" si="157"/>
        <v>0</v>
      </c>
      <c r="FD68" s="890">
        <f t="shared" si="158"/>
        <v>2.75</v>
      </c>
      <c r="FE68" s="833">
        <f t="shared" si="159"/>
        <v>0</v>
      </c>
      <c r="FF68" s="754" t="b">
        <f t="shared" si="160"/>
        <v>0</v>
      </c>
      <c r="FG68" s="754" t="b">
        <f t="shared" si="161"/>
        <v>0</v>
      </c>
      <c r="FH68" s="754" t="b">
        <f t="shared" si="162"/>
        <v>0</v>
      </c>
      <c r="FI68" s="754" t="b">
        <f t="shared" si="163"/>
        <v>0</v>
      </c>
      <c r="FJ68" s="920" t="str">
        <f t="shared" si="177"/>
        <v/>
      </c>
      <c r="FK68" s="919" t="str">
        <f t="shared" si="178"/>
        <v>G58</v>
      </c>
      <c r="FL68" s="320">
        <f t="shared" si="179"/>
        <v>705.5</v>
      </c>
      <c r="FM68" s="312" t="str">
        <f t="shared" si="164"/>
        <v/>
      </c>
      <c r="FN68" s="272">
        <f t="shared" ca="1" si="180"/>
        <v>48</v>
      </c>
      <c r="FO68" s="273">
        <f t="shared" ca="1" si="181"/>
        <v>6</v>
      </c>
      <c r="FP68" s="274">
        <f t="shared" ca="1" si="182"/>
        <v>96</v>
      </c>
      <c r="FQ68" s="274">
        <f t="shared" ca="1" si="183"/>
        <v>91</v>
      </c>
      <c r="FR68" s="321">
        <f t="shared" ca="1" si="184"/>
        <v>0</v>
      </c>
      <c r="FS68" s="322">
        <f t="shared" ca="1" si="185"/>
        <v>715</v>
      </c>
      <c r="FT68" s="272">
        <f t="shared" ca="1" si="186"/>
        <v>705.5</v>
      </c>
      <c r="FU68" s="275">
        <f t="shared" ca="1" si="187"/>
        <v>1</v>
      </c>
      <c r="FV68" s="323">
        <f t="shared" ca="1" si="165"/>
        <v>45</v>
      </c>
      <c r="FW68" s="276">
        <f t="shared" ca="1" si="188"/>
        <v>45</v>
      </c>
      <c r="FX68" s="276">
        <f t="shared" ca="1" si="189"/>
        <v>96</v>
      </c>
      <c r="FY68" s="276">
        <f t="shared" ca="1" si="190"/>
        <v>84.5</v>
      </c>
      <c r="FZ68" s="276">
        <f t="shared" ca="1" si="191"/>
        <v>84.5</v>
      </c>
      <c r="GA68" s="276">
        <f t="shared" ca="1" si="192"/>
        <v>705.5</v>
      </c>
      <c r="GB68" s="277">
        <f ca="1">IF(FY68="","",2+SUM(FO68:OFFSET(FO68,(FU68-1)*-1,0)))</f>
        <v>8</v>
      </c>
      <c r="GC68" s="316">
        <f t="shared" si="193"/>
        <v>-0.25</v>
      </c>
      <c r="GD68" s="324" t="str">
        <f t="shared" si="166"/>
        <v/>
      </c>
      <c r="GE68" s="325" t="str">
        <f t="shared" si="167"/>
        <v/>
      </c>
      <c r="GF68" s="278" t="str">
        <f t="shared" si="168"/>
        <v>#1</v>
      </c>
      <c r="GG68" s="279" t="str">
        <f t="shared" si="169"/>
        <v/>
      </c>
      <c r="GH68" s="279" t="str">
        <f t="shared" si="170"/>
        <v/>
      </c>
      <c r="GI68" s="280" t="str">
        <f t="shared" si="171"/>
        <v/>
      </c>
      <c r="GJ68" s="530">
        <f t="shared" ca="1" si="172"/>
        <v>0</v>
      </c>
      <c r="GK68" s="895" t="str">
        <f t="shared" ca="1" si="194"/>
        <v>A</v>
      </c>
    </row>
    <row r="69" spans="78:193" ht="12.6" hidden="1" customHeight="1" x14ac:dyDescent="0.2">
      <c r="BZ69" s="293"/>
      <c r="CA69" s="293"/>
      <c r="CB69" s="365" t="str">
        <f t="shared" si="100"/>
        <v>G59</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1"/>
        <v>0</v>
      </c>
      <c r="CL69" s="1305" t="str">
        <f>IF(CQ29="","",VLOOKUP(CQ29,SectInfo!$B:$N,12,FALSE))</f>
        <v>C</v>
      </c>
      <c r="CM69" s="1306">
        <f>IF(ISBLANK(CX29),IF(CQ29="","",VLOOKUP(CQ29,SectInfo!$B:$N,13,FALSE)),CX29)</f>
        <v>-6.5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-9.5</v>
      </c>
      <c r="CR69" s="1306">
        <f>IF(CQ29="","",IF(VLOOKUP(CQ29,SectInfo!$B:$N,8,FALSE)="",$FC$4,(VLOOKUP(CQ29,SectInfo!$B:$N,8,FALSE))))</f>
        <v>5</v>
      </c>
      <c r="CS69" s="1306">
        <f>IF(CQ29="","",VLOOKUP(CQ29,SectInfo!$B:$N,9,FALSE))</f>
        <v>12</v>
      </c>
      <c r="CT69" s="1307">
        <f t="shared" si="102"/>
        <v>0</v>
      </c>
      <c r="CU69" s="1317">
        <f t="shared" si="103"/>
        <v>0</v>
      </c>
      <c r="CV69" s="1311">
        <f t="shared" si="104"/>
        <v>670.25</v>
      </c>
      <c r="CW69" s="1311">
        <f t="shared" si="105"/>
        <v>7.5</v>
      </c>
      <c r="CX69" s="1311">
        <f t="shared" si="106"/>
        <v>7.5</v>
      </c>
      <c r="CY69" s="1313">
        <f t="shared" si="107"/>
        <v>0</v>
      </c>
      <c r="CZ69" s="1313">
        <f t="shared" si="108"/>
        <v>9</v>
      </c>
      <c r="DA69" s="1313">
        <f t="shared" si="109"/>
        <v>9</v>
      </c>
      <c r="DB69" s="1311">
        <f t="shared" si="173"/>
        <v>8.75</v>
      </c>
      <c r="DC69" s="1311">
        <f t="shared" si="110"/>
        <v>2.75</v>
      </c>
      <c r="DD69" s="875">
        <f t="shared" si="174"/>
        <v>2.75</v>
      </c>
      <c r="DE69" s="873">
        <f t="shared" si="111"/>
        <v>0</v>
      </c>
      <c r="DF69" s="874">
        <f t="shared" si="112"/>
        <v>12</v>
      </c>
      <c r="DG69" s="874">
        <f t="shared" si="113"/>
        <v>12</v>
      </c>
      <c r="DH69" s="1311">
        <f t="shared" si="175"/>
        <v>5.5</v>
      </c>
      <c r="DI69" s="1311">
        <f t="shared" si="114"/>
        <v>0</v>
      </c>
      <c r="DJ69" s="1312">
        <f t="shared" si="176"/>
        <v>0</v>
      </c>
      <c r="DK69" s="1311">
        <f t="shared" si="115"/>
        <v>667.5</v>
      </c>
      <c r="DL69" s="1311">
        <f t="shared" si="116"/>
        <v>-7.5</v>
      </c>
      <c r="DM69" s="1311">
        <f t="shared" si="117"/>
        <v>7.25</v>
      </c>
      <c r="DN69" s="1311">
        <f t="shared" si="118"/>
        <v>7.25</v>
      </c>
      <c r="DO69" s="889">
        <f t="shared" si="119"/>
        <v>7.25</v>
      </c>
      <c r="DP69" s="889">
        <f t="shared" si="120"/>
        <v>7.25</v>
      </c>
      <c r="DQ69" s="1311">
        <f t="shared" si="121"/>
        <v>7.25</v>
      </c>
      <c r="DR69" s="1311">
        <f t="shared" si="121"/>
        <v>7.25</v>
      </c>
      <c r="DS69" s="1311">
        <f t="shared" si="122"/>
        <v>-9.5</v>
      </c>
      <c r="DT69" s="1311">
        <f t="shared" si="123"/>
        <v>3</v>
      </c>
      <c r="DU69" s="1311">
        <f t="shared" si="124"/>
        <v>3</v>
      </c>
      <c r="DV69" s="889">
        <f t="shared" si="125"/>
        <v>3</v>
      </c>
      <c r="DW69" s="889">
        <f t="shared" si="126"/>
        <v>3</v>
      </c>
      <c r="DX69" s="873">
        <f t="shared" si="127"/>
        <v>3</v>
      </c>
      <c r="DY69" s="873">
        <f t="shared" si="127"/>
        <v>3</v>
      </c>
      <c r="DZ69" s="873">
        <f t="shared" si="128"/>
        <v>7.75</v>
      </c>
      <c r="EA69" s="873">
        <f t="shared" si="129"/>
        <v>1.5</v>
      </c>
      <c r="EB69" s="876">
        <f t="shared" si="130"/>
        <v>5</v>
      </c>
      <c r="EC69" s="877">
        <f t="shared" si="131"/>
        <v>5</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f t="shared" si="143"/>
        <v>0</v>
      </c>
      <c r="EP69" s="874">
        <f t="shared" si="144"/>
        <v>0</v>
      </c>
      <c r="EQ69" s="874">
        <f t="shared" si="145"/>
        <v>0</v>
      </c>
      <c r="ER69" s="874">
        <f t="shared" si="146"/>
        <v>0</v>
      </c>
      <c r="ES69" s="874" t="str">
        <f t="shared" si="147"/>
        <v/>
      </c>
      <c r="ET69" s="873">
        <f t="shared" si="148"/>
        <v>0</v>
      </c>
      <c r="EU69" s="873">
        <f t="shared" si="149"/>
        <v>0</v>
      </c>
      <c r="EV69" s="876">
        <f t="shared" si="150"/>
        <v>6</v>
      </c>
      <c r="EW69" s="876">
        <f t="shared" si="151"/>
        <v>5.5</v>
      </c>
      <c r="EX69" s="878" t="e">
        <f t="shared" si="152"/>
        <v>#VALUE!</v>
      </c>
      <c r="EY69" s="879" t="e">
        <f t="shared" si="153"/>
        <v>#VALUE!</v>
      </c>
      <c r="EZ69" s="959" t="e">
        <f t="shared" si="154"/>
        <v>#VALUE!</v>
      </c>
      <c r="FA69" s="960" t="e">
        <f t="shared" si="155"/>
        <v>#VALUE!</v>
      </c>
      <c r="FB69" s="880">
        <f t="shared" si="156"/>
        <v>0</v>
      </c>
      <c r="FC69" s="881">
        <f t="shared" si="157"/>
        <v>0</v>
      </c>
      <c r="FD69" s="890">
        <f t="shared" si="158"/>
        <v>2.75</v>
      </c>
      <c r="FE69" s="833">
        <f t="shared" si="159"/>
        <v>0</v>
      </c>
      <c r="FF69" s="754" t="b">
        <f t="shared" si="160"/>
        <v>0</v>
      </c>
      <c r="FG69" s="754" t="b">
        <f t="shared" si="161"/>
        <v>0</v>
      </c>
      <c r="FH69" s="754" t="b">
        <f t="shared" si="162"/>
        <v>0</v>
      </c>
      <c r="FI69" s="754" t="b">
        <f t="shared" si="163"/>
        <v>0</v>
      </c>
      <c r="FJ69" s="920" t="str">
        <f t="shared" si="177"/>
        <v/>
      </c>
      <c r="FK69" s="919" t="str">
        <f t="shared" si="178"/>
        <v>G59</v>
      </c>
      <c r="FL69" s="320">
        <f t="shared" si="179"/>
        <v>667.5</v>
      </c>
      <c r="FM69" s="312" t="str">
        <f t="shared" si="164"/>
        <v/>
      </c>
      <c r="FN69" s="272">
        <f t="shared" ca="1" si="180"/>
        <v>96</v>
      </c>
      <c r="FO69" s="273">
        <f t="shared" ca="1" si="181"/>
        <v>5</v>
      </c>
      <c r="FP69" s="274">
        <f t="shared" ca="1" si="182"/>
        <v>96</v>
      </c>
      <c r="FQ69" s="274">
        <f t="shared" ca="1" si="183"/>
        <v>101</v>
      </c>
      <c r="FR69" s="321">
        <f t="shared" ca="1" si="184"/>
        <v>0</v>
      </c>
      <c r="FS69" s="322">
        <f t="shared" ca="1" si="185"/>
        <v>677</v>
      </c>
      <c r="FT69" s="272">
        <f t="shared" ca="1" si="186"/>
        <v>667.5</v>
      </c>
      <c r="FU69" s="275">
        <f t="shared" ca="1" si="187"/>
        <v>1</v>
      </c>
      <c r="FV69" s="323">
        <f t="shared" ca="1" si="165"/>
        <v>93</v>
      </c>
      <c r="FW69" s="276">
        <f t="shared" ca="1" si="188"/>
        <v>93</v>
      </c>
      <c r="FX69" s="276">
        <f t="shared" ca="1" si="189"/>
        <v>96</v>
      </c>
      <c r="FY69" s="276">
        <f t="shared" ca="1" si="190"/>
        <v>94.5</v>
      </c>
      <c r="FZ69" s="276">
        <f t="shared" ca="1" si="191"/>
        <v>94.5</v>
      </c>
      <c r="GA69" s="276">
        <f t="shared" ca="1" si="192"/>
        <v>667.5</v>
      </c>
      <c r="GB69" s="277">
        <f ca="1">IF(FY69="","",2+SUM(FO69:OFFSET(FO69,(FU69-1)*-1,0)))</f>
        <v>7</v>
      </c>
      <c r="GC69" s="316">
        <f t="shared" si="193"/>
        <v>-0.25</v>
      </c>
      <c r="GD69" s="324">
        <f t="shared" si="166"/>
        <v>1.75</v>
      </c>
      <c r="GE69" s="325" t="str">
        <f t="shared" si="167"/>
        <v/>
      </c>
      <c r="GF69" s="278">
        <f t="shared" si="168"/>
        <v>12</v>
      </c>
      <c r="GG69" s="279" t="str">
        <f t="shared" si="169"/>
        <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G60</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1"/>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2"/>
        <v>0</v>
      </c>
      <c r="CU70" s="1317">
        <f t="shared" si="103"/>
        <v>0</v>
      </c>
      <c r="CV70" s="1311">
        <f t="shared" si="104"/>
        <v>671.5</v>
      </c>
      <c r="CW70" s="1311">
        <f t="shared" si="105"/>
        <v>7.5</v>
      </c>
      <c r="CX70" s="1311">
        <f t="shared" si="106"/>
        <v>7.5</v>
      </c>
      <c r="CY70" s="1313">
        <f t="shared" si="107"/>
        <v>0</v>
      </c>
      <c r="CZ70" s="1313">
        <f t="shared" si="108"/>
        <v>9</v>
      </c>
      <c r="DA70" s="1313">
        <f t="shared" si="109"/>
        <v>9</v>
      </c>
      <c r="DB70" s="1311">
        <f t="shared" si="173"/>
        <v>8.75</v>
      </c>
      <c r="DC70" s="1311">
        <f t="shared" si="110"/>
        <v>2.75</v>
      </c>
      <c r="DD70" s="875">
        <f t="shared" si="174"/>
        <v>2.75</v>
      </c>
      <c r="DE70" s="873">
        <f t="shared" si="111"/>
        <v>0</v>
      </c>
      <c r="DF70" s="874">
        <f t="shared" si="112"/>
        <v>9</v>
      </c>
      <c r="DG70" s="874">
        <f t="shared" si="113"/>
        <v>9</v>
      </c>
      <c r="DH70" s="1311">
        <f t="shared" si="175"/>
        <v>8.75</v>
      </c>
      <c r="DI70" s="1311">
        <f t="shared" si="114"/>
        <v>2.75</v>
      </c>
      <c r="DJ70" s="1312">
        <f t="shared" si="176"/>
        <v>2.75</v>
      </c>
      <c r="DK70" s="1311">
        <f t="shared" si="115"/>
        <v>666</v>
      </c>
      <c r="DL70" s="1311">
        <f t="shared" si="116"/>
        <v>-7.5</v>
      </c>
      <c r="DM70" s="1311">
        <f t="shared" si="117"/>
        <v>7.25</v>
      </c>
      <c r="DN70" s="1311">
        <f t="shared" si="118"/>
        <v>7.25</v>
      </c>
      <c r="DO70" s="889">
        <f t="shared" si="119"/>
        <v>7.25</v>
      </c>
      <c r="DP70" s="889">
        <f t="shared" si="120"/>
        <v>7.25</v>
      </c>
      <c r="DQ70" s="1311">
        <f t="shared" si="121"/>
        <v>7.25</v>
      </c>
      <c r="DR70" s="1311">
        <f t="shared" si="121"/>
        <v>7.25</v>
      </c>
      <c r="DS70" s="1311">
        <f t="shared" si="122"/>
        <v>-7.5</v>
      </c>
      <c r="DT70" s="1311">
        <f t="shared" si="123"/>
        <v>7.25</v>
      </c>
      <c r="DU70" s="1311">
        <f t="shared" si="124"/>
        <v>7.25</v>
      </c>
      <c r="DV70" s="889">
        <f t="shared" si="125"/>
        <v>7.25</v>
      </c>
      <c r="DW70" s="889">
        <f t="shared" si="126"/>
        <v>7.25</v>
      </c>
      <c r="DX70" s="873">
        <f t="shared" si="127"/>
        <v>7.25</v>
      </c>
      <c r="DY70" s="873">
        <f t="shared" si="127"/>
        <v>7.25</v>
      </c>
      <c r="DZ70" s="873">
        <f t="shared" si="128"/>
        <v>7.75</v>
      </c>
      <c r="EA70" s="873">
        <f t="shared" si="129"/>
        <v>7.75</v>
      </c>
      <c r="EB70" s="876">
        <f t="shared" si="130"/>
        <v>5</v>
      </c>
      <c r="EC70" s="877">
        <f t="shared" si="131"/>
        <v>5</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f t="shared" si="143"/>
        <v>0</v>
      </c>
      <c r="EP70" s="874">
        <f t="shared" si="144"/>
        <v>0</v>
      </c>
      <c r="EQ70" s="874">
        <f t="shared" si="145"/>
        <v>0</v>
      </c>
      <c r="ER70" s="874">
        <f t="shared" si="146"/>
        <v>0</v>
      </c>
      <c r="ES70" s="874" t="str">
        <f t="shared" si="147"/>
        <v/>
      </c>
      <c r="ET70" s="873">
        <f t="shared" si="148"/>
        <v>0</v>
      </c>
      <c r="EU70" s="873">
        <f t="shared" si="149"/>
        <v>0</v>
      </c>
      <c r="EV70" s="876">
        <f t="shared" si="150"/>
        <v>6</v>
      </c>
      <c r="EW70" s="876">
        <f t="shared" si="151"/>
        <v>6</v>
      </c>
      <c r="EX70" s="878" t="e">
        <f t="shared" si="152"/>
        <v>#VALUE!</v>
      </c>
      <c r="EY70" s="879" t="e">
        <f t="shared" si="153"/>
        <v>#VALUE!</v>
      </c>
      <c r="EZ70" s="959" t="e">
        <f t="shared" si="154"/>
        <v>#VALUE!</v>
      </c>
      <c r="FA70" s="960" t="e">
        <f t="shared" si="155"/>
        <v>#VALUE!</v>
      </c>
      <c r="FB70" s="880">
        <f t="shared" si="156"/>
        <v>0</v>
      </c>
      <c r="FC70" s="881">
        <f t="shared" si="157"/>
        <v>0</v>
      </c>
      <c r="FD70" s="890">
        <f t="shared" si="158"/>
        <v>2.75</v>
      </c>
      <c r="FE70" s="833">
        <f t="shared" si="159"/>
        <v>2.75</v>
      </c>
      <c r="FF70" s="755" t="b">
        <f t="shared" si="160"/>
        <v>0</v>
      </c>
      <c r="FG70" s="755" t="b">
        <f t="shared" si="161"/>
        <v>0</v>
      </c>
      <c r="FH70" s="755" t="b">
        <f t="shared" si="162"/>
        <v>0</v>
      </c>
      <c r="FI70" s="755" t="b">
        <f t="shared" si="163"/>
        <v>0</v>
      </c>
      <c r="FJ70" s="920" t="str">
        <f t="shared" si="177"/>
        <v/>
      </c>
      <c r="FK70" s="919" t="str">
        <f t="shared" si="178"/>
        <v>G60</v>
      </c>
      <c r="FL70" s="320">
        <f t="shared" si="179"/>
        <v>666</v>
      </c>
      <c r="FM70" s="312" t="str">
        <f t="shared" si="164"/>
        <v/>
      </c>
      <c r="FN70" s="272">
        <f t="shared" ca="1" si="180"/>
        <v>96</v>
      </c>
      <c r="FO70" s="273">
        <f t="shared" ca="1" si="181"/>
        <v>5</v>
      </c>
      <c r="FP70" s="274">
        <f t="shared" ca="1" si="182"/>
        <v>96</v>
      </c>
      <c r="FQ70" s="274">
        <f t="shared" ca="1" si="183"/>
        <v>96</v>
      </c>
      <c r="FR70" s="321">
        <f t="shared" ca="1" si="184"/>
        <v>0</v>
      </c>
      <c r="FS70" s="322">
        <f t="shared" ca="1" si="185"/>
        <v>672</v>
      </c>
      <c r="FT70" s="272">
        <f t="shared" ca="1" si="186"/>
        <v>666</v>
      </c>
      <c r="FU70" s="275">
        <f t="shared" ca="1" si="187"/>
        <v>1</v>
      </c>
      <c r="FV70" s="323">
        <f t="shared" ca="1" si="165"/>
        <v>93</v>
      </c>
      <c r="FW70" s="276">
        <f t="shared" ca="1" si="188"/>
        <v>93</v>
      </c>
      <c r="FX70" s="276">
        <f t="shared" ca="1" si="189"/>
        <v>96</v>
      </c>
      <c r="FY70" s="276">
        <f t="shared" ca="1" si="190"/>
        <v>93</v>
      </c>
      <c r="FZ70" s="276">
        <f t="shared" ca="1" si="191"/>
        <v>93</v>
      </c>
      <c r="GA70" s="276">
        <f t="shared" ca="1" si="192"/>
        <v>666</v>
      </c>
      <c r="GB70" s="277">
        <f ca="1">IF(FY70="","",2+SUM(FO70:OFFSET(FO70,(FU70-1)*-1,0)))</f>
        <v>7</v>
      </c>
      <c r="GC70" s="316">
        <f t="shared" si="193"/>
        <v>-0.25</v>
      </c>
      <c r="GD70" s="324">
        <f t="shared" si="166"/>
        <v>1.75</v>
      </c>
      <c r="GE70" s="325">
        <f t="shared" si="167"/>
        <v>1.75</v>
      </c>
      <c r="GF70" s="278" t="str">
        <f t="shared" si="168"/>
        <v>#5</v>
      </c>
      <c r="GG70" s="279" t="str">
        <f t="shared" si="169"/>
        <v>#6</v>
      </c>
      <c r="GH70" s="279">
        <f t="shared" si="170"/>
        <v>12</v>
      </c>
      <c r="GI70" s="280">
        <f t="shared" si="171"/>
        <v>660</v>
      </c>
      <c r="GJ70" s="530">
        <f t="shared" ca="1" si="172"/>
        <v>0</v>
      </c>
      <c r="GK70" s="895" t="str">
        <f t="shared" ca="1" si="194"/>
        <v/>
      </c>
    </row>
    <row r="71" spans="78:193" ht="12.6" hidden="1" customHeight="1" x14ac:dyDescent="0.2">
      <c r="BZ71" s="293"/>
      <c r="CA71" s="293"/>
      <c r="CB71" s="365" t="str">
        <f t="shared" si="100"/>
        <v>G61</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1"/>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2"/>
        <v>0</v>
      </c>
      <c r="CU71" s="1317">
        <f t="shared" si="103"/>
        <v>0</v>
      </c>
      <c r="CV71" s="1311">
        <f t="shared" si="104"/>
        <v>671.5</v>
      </c>
      <c r="CW71" s="1311">
        <f t="shared" si="105"/>
        <v>7.5</v>
      </c>
      <c r="CX71" s="1311">
        <f t="shared" si="106"/>
        <v>7.5</v>
      </c>
      <c r="CY71" s="1313">
        <f t="shared" si="107"/>
        <v>0</v>
      </c>
      <c r="CZ71" s="1313">
        <f t="shared" si="108"/>
        <v>9</v>
      </c>
      <c r="DA71" s="1313">
        <f t="shared" si="109"/>
        <v>9</v>
      </c>
      <c r="DB71" s="1311">
        <f t="shared" si="173"/>
        <v>8.75</v>
      </c>
      <c r="DC71" s="1311">
        <f t="shared" si="110"/>
        <v>2.75</v>
      </c>
      <c r="DD71" s="875">
        <f t="shared" si="174"/>
        <v>2.75</v>
      </c>
      <c r="DE71" s="873">
        <f t="shared" si="111"/>
        <v>0</v>
      </c>
      <c r="DF71" s="874">
        <f t="shared" si="112"/>
        <v>9</v>
      </c>
      <c r="DG71" s="874">
        <f t="shared" si="113"/>
        <v>9</v>
      </c>
      <c r="DH71" s="1311">
        <f t="shared" si="175"/>
        <v>8.75</v>
      </c>
      <c r="DI71" s="1311">
        <f t="shared" si="114"/>
        <v>2.75</v>
      </c>
      <c r="DJ71" s="1312">
        <f t="shared" si="176"/>
        <v>2.75</v>
      </c>
      <c r="DK71" s="1311">
        <f t="shared" si="115"/>
        <v>666</v>
      </c>
      <c r="DL71" s="1311">
        <f t="shared" si="116"/>
        <v>-7.5</v>
      </c>
      <c r="DM71" s="1311">
        <f t="shared" si="117"/>
        <v>7.25</v>
      </c>
      <c r="DN71" s="1311">
        <f t="shared" si="118"/>
        <v>7.25</v>
      </c>
      <c r="DO71" s="889">
        <f t="shared" si="119"/>
        <v>7.25</v>
      </c>
      <c r="DP71" s="889">
        <f t="shared" si="120"/>
        <v>7.25</v>
      </c>
      <c r="DQ71" s="1311">
        <f t="shared" si="121"/>
        <v>7.25</v>
      </c>
      <c r="DR71" s="1311">
        <f t="shared" si="121"/>
        <v>7.25</v>
      </c>
      <c r="DS71" s="1311">
        <f t="shared" si="122"/>
        <v>-7.5</v>
      </c>
      <c r="DT71" s="1311">
        <f t="shared" si="123"/>
        <v>7.25</v>
      </c>
      <c r="DU71" s="1311">
        <f t="shared" si="124"/>
        <v>7.25</v>
      </c>
      <c r="DV71" s="889">
        <f t="shared" si="125"/>
        <v>7.25</v>
      </c>
      <c r="DW71" s="889">
        <f t="shared" si="126"/>
        <v>7.25</v>
      </c>
      <c r="DX71" s="873">
        <f t="shared" si="127"/>
        <v>7.25</v>
      </c>
      <c r="DY71" s="873">
        <f t="shared" si="127"/>
        <v>7.25</v>
      </c>
      <c r="DZ71" s="873">
        <f t="shared" si="128"/>
        <v>7.75</v>
      </c>
      <c r="EA71" s="873">
        <f t="shared" si="129"/>
        <v>7.75</v>
      </c>
      <c r="EB71" s="876">
        <f t="shared" si="130"/>
        <v>5</v>
      </c>
      <c r="EC71" s="877">
        <f t="shared" si="131"/>
        <v>5</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f t="shared" si="143"/>
        <v>0</v>
      </c>
      <c r="EP71" s="874">
        <f t="shared" si="144"/>
        <v>0</v>
      </c>
      <c r="EQ71" s="874">
        <f t="shared" si="145"/>
        <v>0</v>
      </c>
      <c r="ER71" s="874">
        <f t="shared" si="146"/>
        <v>0</v>
      </c>
      <c r="ES71" s="874" t="str">
        <f t="shared" si="147"/>
        <v/>
      </c>
      <c r="ET71" s="873">
        <f t="shared" si="148"/>
        <v>0</v>
      </c>
      <c r="EU71" s="873">
        <f t="shared" si="149"/>
        <v>0</v>
      </c>
      <c r="EV71" s="876">
        <f t="shared" si="150"/>
        <v>6</v>
      </c>
      <c r="EW71" s="876">
        <f t="shared" si="151"/>
        <v>6</v>
      </c>
      <c r="EX71" s="878" t="e">
        <f t="shared" si="152"/>
        <v>#VALUE!</v>
      </c>
      <c r="EY71" s="879" t="e">
        <f t="shared" si="153"/>
        <v>#VALUE!</v>
      </c>
      <c r="EZ71" s="959" t="e">
        <f t="shared" si="154"/>
        <v>#VALUE!</v>
      </c>
      <c r="FA71" s="960" t="e">
        <f t="shared" si="155"/>
        <v>#VALUE!</v>
      </c>
      <c r="FB71" s="880">
        <f t="shared" si="156"/>
        <v>0</v>
      </c>
      <c r="FC71" s="881">
        <f t="shared" si="157"/>
        <v>0</v>
      </c>
      <c r="FD71" s="890">
        <f t="shared" si="158"/>
        <v>2.75</v>
      </c>
      <c r="FE71" s="833">
        <f t="shared" si="159"/>
        <v>2.75</v>
      </c>
      <c r="FF71" s="755" t="b">
        <f t="shared" si="160"/>
        <v>0</v>
      </c>
      <c r="FG71" s="755" t="b">
        <f t="shared" si="161"/>
        <v>0</v>
      </c>
      <c r="FH71" s="755" t="b">
        <f t="shared" si="162"/>
        <v>0</v>
      </c>
      <c r="FI71" s="755" t="b">
        <f t="shared" si="163"/>
        <v>0</v>
      </c>
      <c r="FJ71" s="920" t="str">
        <f t="shared" si="177"/>
        <v/>
      </c>
      <c r="FK71" s="919" t="str">
        <f t="shared" si="178"/>
        <v>G61</v>
      </c>
      <c r="FL71" s="320">
        <f t="shared" si="179"/>
        <v>666</v>
      </c>
      <c r="FM71" s="312" t="str">
        <f t="shared" si="164"/>
        <v/>
      </c>
      <c r="FN71" s="272">
        <f t="shared" ca="1" si="180"/>
        <v>96</v>
      </c>
      <c r="FO71" s="273">
        <f t="shared" ca="1" si="181"/>
        <v>5</v>
      </c>
      <c r="FP71" s="274">
        <f t="shared" ca="1" si="182"/>
        <v>96</v>
      </c>
      <c r="FQ71" s="274">
        <f t="shared" ca="1" si="183"/>
        <v>96</v>
      </c>
      <c r="FR71" s="321">
        <f t="shared" ca="1" si="184"/>
        <v>0</v>
      </c>
      <c r="FS71" s="322">
        <f t="shared" ca="1" si="185"/>
        <v>672</v>
      </c>
      <c r="FT71" s="272">
        <f t="shared" ca="1" si="186"/>
        <v>666</v>
      </c>
      <c r="FU71" s="275">
        <f t="shared" ca="1" si="187"/>
        <v>1</v>
      </c>
      <c r="FV71" s="323">
        <f t="shared" ca="1" si="165"/>
        <v>93</v>
      </c>
      <c r="FW71" s="276">
        <f t="shared" ca="1" si="188"/>
        <v>93</v>
      </c>
      <c r="FX71" s="276">
        <f t="shared" ca="1" si="189"/>
        <v>96</v>
      </c>
      <c r="FY71" s="276">
        <f t="shared" ca="1" si="190"/>
        <v>93</v>
      </c>
      <c r="FZ71" s="276">
        <f t="shared" ca="1" si="191"/>
        <v>93</v>
      </c>
      <c r="GA71" s="276">
        <f t="shared" ca="1" si="192"/>
        <v>666</v>
      </c>
      <c r="GB71" s="277">
        <f ca="1">IF(FY71="","",2+SUM(FO71:OFFSET(FO71,(FU71-1)*-1,0)))</f>
        <v>7</v>
      </c>
      <c r="GC71" s="316">
        <f t="shared" si="193"/>
        <v>-0.25</v>
      </c>
      <c r="GD71" s="324">
        <f t="shared" si="166"/>
        <v>1.75</v>
      </c>
      <c r="GE71" s="325">
        <f t="shared" si="167"/>
        <v>1.75</v>
      </c>
      <c r="GF71" s="278" t="str">
        <f t="shared" si="168"/>
        <v>#1</v>
      </c>
      <c r="GG71" s="279" t="str">
        <f t="shared" si="169"/>
        <v>#2</v>
      </c>
      <c r="GH71" s="279">
        <f t="shared" si="170"/>
        <v>12</v>
      </c>
      <c r="GI71" s="280">
        <f t="shared" si="171"/>
        <v>660</v>
      </c>
      <c r="GJ71" s="530">
        <f t="shared" ca="1" si="172"/>
        <v>0</v>
      </c>
      <c r="GK71" s="895" t="str">
        <f t="shared" ca="1" si="194"/>
        <v/>
      </c>
    </row>
    <row r="72" spans="78:193" ht="12.6" hidden="1" customHeight="1" x14ac:dyDescent="0.2">
      <c r="BZ72" s="293"/>
      <c r="CA72" s="293"/>
      <c r="CB72" s="365" t="str">
        <f t="shared" si="100"/>
        <v>G62</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1"/>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2"/>
        <v>0</v>
      </c>
      <c r="CU72" s="1317">
        <f t="shared" si="103"/>
        <v>0</v>
      </c>
      <c r="CV72" s="1311">
        <f t="shared" si="104"/>
        <v>671.5</v>
      </c>
      <c r="CW72" s="1311">
        <f t="shared" si="105"/>
        <v>7.5</v>
      </c>
      <c r="CX72" s="1311">
        <f t="shared" si="106"/>
        <v>7.5</v>
      </c>
      <c r="CY72" s="1313">
        <f t="shared" si="107"/>
        <v>0</v>
      </c>
      <c r="CZ72" s="1313">
        <f t="shared" si="108"/>
        <v>9</v>
      </c>
      <c r="DA72" s="1313">
        <f t="shared" si="109"/>
        <v>9</v>
      </c>
      <c r="DB72" s="1311">
        <f t="shared" si="173"/>
        <v>8.75</v>
      </c>
      <c r="DC72" s="1311">
        <f t="shared" si="110"/>
        <v>2.75</v>
      </c>
      <c r="DD72" s="875">
        <f t="shared" si="174"/>
        <v>2.75</v>
      </c>
      <c r="DE72" s="873">
        <f t="shared" si="111"/>
        <v>0</v>
      </c>
      <c r="DF72" s="874">
        <f t="shared" si="112"/>
        <v>9</v>
      </c>
      <c r="DG72" s="874">
        <f t="shared" si="113"/>
        <v>9</v>
      </c>
      <c r="DH72" s="1311">
        <f t="shared" si="175"/>
        <v>8.75</v>
      </c>
      <c r="DI72" s="1311">
        <f t="shared" si="114"/>
        <v>2.75</v>
      </c>
      <c r="DJ72" s="1312">
        <f t="shared" si="176"/>
        <v>2.75</v>
      </c>
      <c r="DK72" s="1311">
        <f t="shared" si="115"/>
        <v>666</v>
      </c>
      <c r="DL72" s="1311">
        <f t="shared" si="116"/>
        <v>-7.5</v>
      </c>
      <c r="DM72" s="1311">
        <f t="shared" si="117"/>
        <v>7.25</v>
      </c>
      <c r="DN72" s="1311">
        <f t="shared" si="118"/>
        <v>7.25</v>
      </c>
      <c r="DO72" s="889">
        <f t="shared" si="119"/>
        <v>7.25</v>
      </c>
      <c r="DP72" s="889">
        <f t="shared" si="120"/>
        <v>7.25</v>
      </c>
      <c r="DQ72" s="1311">
        <f t="shared" si="121"/>
        <v>7.25</v>
      </c>
      <c r="DR72" s="1311">
        <f t="shared" si="121"/>
        <v>7.25</v>
      </c>
      <c r="DS72" s="1311">
        <f t="shared" si="122"/>
        <v>-7.5</v>
      </c>
      <c r="DT72" s="1311">
        <f t="shared" si="123"/>
        <v>7.25</v>
      </c>
      <c r="DU72" s="1311">
        <f t="shared" si="124"/>
        <v>7.25</v>
      </c>
      <c r="DV72" s="889">
        <f t="shared" si="125"/>
        <v>7.25</v>
      </c>
      <c r="DW72" s="889">
        <f t="shared" si="126"/>
        <v>7.25</v>
      </c>
      <c r="DX72" s="873">
        <f t="shared" si="127"/>
        <v>7.25</v>
      </c>
      <c r="DY72" s="873">
        <f t="shared" si="127"/>
        <v>7.25</v>
      </c>
      <c r="DZ72" s="873">
        <f t="shared" si="128"/>
        <v>7.75</v>
      </c>
      <c r="EA72" s="873">
        <f t="shared" si="129"/>
        <v>7.75</v>
      </c>
      <c r="EB72" s="876">
        <f t="shared" si="130"/>
        <v>5</v>
      </c>
      <c r="EC72" s="877">
        <f t="shared" si="131"/>
        <v>5</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f t="shared" si="143"/>
        <v>0</v>
      </c>
      <c r="EP72" s="874">
        <f t="shared" si="144"/>
        <v>0</v>
      </c>
      <c r="EQ72" s="874">
        <f t="shared" si="145"/>
        <v>0</v>
      </c>
      <c r="ER72" s="874">
        <f t="shared" si="146"/>
        <v>0</v>
      </c>
      <c r="ES72" s="874" t="str">
        <f t="shared" si="147"/>
        <v/>
      </c>
      <c r="ET72" s="873">
        <f t="shared" si="148"/>
        <v>0</v>
      </c>
      <c r="EU72" s="873">
        <f t="shared" si="149"/>
        <v>0</v>
      </c>
      <c r="EV72" s="876">
        <f t="shared" si="150"/>
        <v>6</v>
      </c>
      <c r="EW72" s="876">
        <f t="shared" si="151"/>
        <v>6</v>
      </c>
      <c r="EX72" s="878" t="e">
        <f t="shared" si="152"/>
        <v>#VALUE!</v>
      </c>
      <c r="EY72" s="879" t="e">
        <f t="shared" si="153"/>
        <v>#VALUE!</v>
      </c>
      <c r="EZ72" s="959" t="e">
        <f t="shared" si="154"/>
        <v>#VALUE!</v>
      </c>
      <c r="FA72" s="960" t="e">
        <f t="shared" si="155"/>
        <v>#VALUE!</v>
      </c>
      <c r="FB72" s="880">
        <f t="shared" si="156"/>
        <v>0</v>
      </c>
      <c r="FC72" s="881">
        <f t="shared" si="157"/>
        <v>0</v>
      </c>
      <c r="FD72" s="890">
        <f t="shared" si="158"/>
        <v>2.75</v>
      </c>
      <c r="FE72" s="833">
        <f t="shared" si="159"/>
        <v>2.75</v>
      </c>
      <c r="FF72" s="754" t="b">
        <f t="shared" si="160"/>
        <v>0</v>
      </c>
      <c r="FG72" s="754" t="b">
        <f t="shared" si="161"/>
        <v>0</v>
      </c>
      <c r="FH72" s="754" t="b">
        <f t="shared" si="162"/>
        <v>0</v>
      </c>
      <c r="FI72" s="754" t="b">
        <f t="shared" si="163"/>
        <v>0</v>
      </c>
      <c r="FJ72" s="920" t="str">
        <f t="shared" si="177"/>
        <v/>
      </c>
      <c r="FK72" s="919" t="str">
        <f t="shared" si="178"/>
        <v>G62</v>
      </c>
      <c r="FL72" s="320">
        <f t="shared" si="179"/>
        <v>666</v>
      </c>
      <c r="FM72" s="312" t="str">
        <f t="shared" si="164"/>
        <v/>
      </c>
      <c r="FN72" s="272">
        <f t="shared" ca="1" si="180"/>
        <v>96</v>
      </c>
      <c r="FO72" s="273">
        <f t="shared" ca="1" si="181"/>
        <v>5</v>
      </c>
      <c r="FP72" s="274">
        <f t="shared" ca="1" si="182"/>
        <v>96</v>
      </c>
      <c r="FQ72" s="274">
        <f t="shared" ca="1" si="183"/>
        <v>96</v>
      </c>
      <c r="FR72" s="321">
        <f t="shared" ca="1" si="184"/>
        <v>0</v>
      </c>
      <c r="FS72" s="322">
        <f t="shared" ca="1" si="185"/>
        <v>672</v>
      </c>
      <c r="FT72" s="272">
        <f t="shared" ca="1" si="186"/>
        <v>666</v>
      </c>
      <c r="FU72" s="275">
        <f t="shared" ca="1" si="187"/>
        <v>1</v>
      </c>
      <c r="FV72" s="323">
        <f t="shared" ca="1" si="165"/>
        <v>93</v>
      </c>
      <c r="FW72" s="276">
        <f t="shared" ca="1" si="188"/>
        <v>93</v>
      </c>
      <c r="FX72" s="276">
        <f t="shared" ca="1" si="189"/>
        <v>96</v>
      </c>
      <c r="FY72" s="276">
        <f t="shared" ca="1" si="190"/>
        <v>93</v>
      </c>
      <c r="FZ72" s="276">
        <f t="shared" ca="1" si="191"/>
        <v>93</v>
      </c>
      <c r="GA72" s="276">
        <f t="shared" ca="1" si="192"/>
        <v>666</v>
      </c>
      <c r="GB72" s="277">
        <f ca="1">IF(FY72="","",2+SUM(FO72:OFFSET(FO72,(FU72-1)*-1,0)))</f>
        <v>7</v>
      </c>
      <c r="GC72" s="316">
        <f t="shared" si="193"/>
        <v>-0.25</v>
      </c>
      <c r="GD72" s="324">
        <f t="shared" si="166"/>
        <v>1.75</v>
      </c>
      <c r="GE72" s="325">
        <f t="shared" si="167"/>
        <v>1.75</v>
      </c>
      <c r="GF72" s="278">
        <f t="shared" si="168"/>
        <v>12</v>
      </c>
      <c r="GG72" s="279">
        <f t="shared" si="169"/>
        <v>660</v>
      </c>
      <c r="GH72" s="279" t="str">
        <f t="shared" si="170"/>
        <v/>
      </c>
      <c r="GI72" s="280" t="str">
        <f t="shared" si="171"/>
        <v/>
      </c>
      <c r="GJ72" s="530">
        <f t="shared" ca="1" si="172"/>
        <v>0</v>
      </c>
      <c r="GK72" s="895" t="str">
        <f t="shared" ca="1" si="194"/>
        <v/>
      </c>
    </row>
    <row r="73" spans="78:193" ht="12.6" hidden="1" customHeight="1" x14ac:dyDescent="0.2">
      <c r="BZ73" s="293"/>
      <c r="CA73" s="293"/>
      <c r="CB73" s="365" t="str">
        <f t="shared" si="100"/>
        <v>G63</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-8</v>
      </c>
      <c r="CH73" s="1306">
        <f>IF(CG33="","",IF(VLOOKUP(CG33,SectInfo!$B:$N,7,FALSE)="","",(VLOOKUP(CG33,SectInfo!$B:$N,7,FALSE)*-1)))</f>
        <v>-7.5</v>
      </c>
      <c r="CI73" s="1306">
        <f>IF(CG33="","",IF(VLOOKUP(CG33,SectInfo!$B:$N,8,FALSE)="",$FC$4,(VLOOKUP(CG33,SectInfo!$B:$N,8,FALSE))))</f>
        <v>5</v>
      </c>
      <c r="CJ73" s="1306">
        <f>IF(CG33="","",VLOOKUP(CG33,SectInfo!$B:$N,9,FALSE))</f>
        <v>9</v>
      </c>
      <c r="CK73" s="1307">
        <f t="shared" si="101"/>
        <v>0</v>
      </c>
      <c r="CL73" s="1305" t="str">
        <f>IF(CQ33="","",VLOOKUP(CQ33,SectInfo!$B:$N,12,FALSE))</f>
        <v>C</v>
      </c>
      <c r="CM73" s="1306">
        <f>IF(ISBLANK(CX33),IF(CQ33="","",VLOOKUP(CQ33,SectInfo!$B:$N,13,FALSE)),CX33)</f>
        <v>-8.375</v>
      </c>
      <c r="CN73" s="1306" t="str">
        <f>IF(CQ33="","",IF(VLOOKUP(CQ33,SectInfo!$B:$N,5,FALSE)="","R",UPPER(VLOOKUP(CQ33,SectInfo!$B:$N,5,FALSE))))</f>
        <v>R</v>
      </c>
      <c r="CO73" s="1306">
        <f>IF(ISBLANK(CZ33),IF(CQ33="","",VLOOKUP(CQ33,SectInfo!$B:$N,6,FALSE)),CZ33)</f>
        <v>7.5</v>
      </c>
      <c r="CP73" s="1306">
        <f>IF(CQ33="","",IF(VLOOKUP(CQ33,SectInfo!$B:$N,10,FALSE)="","",(VLOOKUP(CQ33,SectInfo!$B:$N,10,FALSE)*-1)))</f>
        <v>-9.375</v>
      </c>
      <c r="CQ73" s="1306">
        <f>IF(CQ33="","",IF(VLOOKUP(CQ33,SectInfo!$B:$N,7,FALSE)="","",(VLOOKUP(CQ33,SectInfo!$B:$N,7,FALSE)*-1)))</f>
        <v>-9.875</v>
      </c>
      <c r="CR73" s="1306">
        <f>IF(CQ33="","",IF(VLOOKUP(CQ33,SectInfo!$B:$N,8,FALSE)="",$FC$4,(VLOOKUP(CQ33,SectInfo!$B:$N,8,FALSE))))</f>
        <v>5</v>
      </c>
      <c r="CS73" s="1306">
        <f>IF(CQ33="","",VLOOKUP(CQ33,SectInfo!$B:$N,9,FALSE))</f>
        <v>13.375</v>
      </c>
      <c r="CT73" s="1307">
        <f t="shared" si="102"/>
        <v>0</v>
      </c>
      <c r="CU73" s="1317">
        <f t="shared" si="103"/>
        <v>0</v>
      </c>
      <c r="CV73" s="1311">
        <f t="shared" si="104"/>
        <v>663.375</v>
      </c>
      <c r="CW73" s="1311">
        <f t="shared" si="105"/>
        <v>7.5</v>
      </c>
      <c r="CX73" s="1311">
        <f t="shared" si="106"/>
        <v>7.5</v>
      </c>
      <c r="CY73" s="1313">
        <f t="shared" si="107"/>
        <v>0</v>
      </c>
      <c r="CZ73" s="1313">
        <f t="shared" si="108"/>
        <v>9</v>
      </c>
      <c r="DA73" s="1313">
        <f t="shared" si="109"/>
        <v>9</v>
      </c>
      <c r="DB73" s="1311">
        <f t="shared" si="173"/>
        <v>8.75</v>
      </c>
      <c r="DC73" s="1311">
        <f t="shared" si="110"/>
        <v>2.75</v>
      </c>
      <c r="DD73" s="875">
        <f t="shared" si="174"/>
        <v>2.75</v>
      </c>
      <c r="DE73" s="873">
        <f t="shared" si="111"/>
        <v>0</v>
      </c>
      <c r="DF73" s="874">
        <f t="shared" si="112"/>
        <v>13.375</v>
      </c>
      <c r="DG73" s="874">
        <f t="shared" si="113"/>
        <v>13.375</v>
      </c>
      <c r="DH73" s="1311">
        <f t="shared" si="175"/>
        <v>5</v>
      </c>
      <c r="DI73" s="1311">
        <f t="shared" si="114"/>
        <v>0</v>
      </c>
      <c r="DJ73" s="1312">
        <f t="shared" si="176"/>
        <v>0</v>
      </c>
      <c r="DK73" s="1311">
        <f t="shared" si="115"/>
        <v>660.625</v>
      </c>
      <c r="DL73" s="1311">
        <f t="shared" si="116"/>
        <v>-7.5</v>
      </c>
      <c r="DM73" s="1311">
        <f t="shared" si="117"/>
        <v>7.25</v>
      </c>
      <c r="DN73" s="1311">
        <f t="shared" si="118"/>
        <v>7.25</v>
      </c>
      <c r="DO73" s="889">
        <f t="shared" si="119"/>
        <v>7.25</v>
      </c>
      <c r="DP73" s="889">
        <f t="shared" si="120"/>
        <v>7.25</v>
      </c>
      <c r="DQ73" s="1311">
        <f t="shared" si="121"/>
        <v>7.25</v>
      </c>
      <c r="DR73" s="1311">
        <f t="shared" si="121"/>
        <v>7.25</v>
      </c>
      <c r="DS73" s="1311">
        <f t="shared" si="122"/>
        <v>-9.875</v>
      </c>
      <c r="DT73" s="1311">
        <f t="shared" si="123"/>
        <v>1.5</v>
      </c>
      <c r="DU73" s="1311">
        <f t="shared" si="124"/>
        <v>1.5</v>
      </c>
      <c r="DV73" s="889">
        <f t="shared" si="125"/>
        <v>1.5</v>
      </c>
      <c r="DW73" s="889">
        <f t="shared" si="126"/>
        <v>1.5</v>
      </c>
      <c r="DX73" s="873">
        <f t="shared" si="127"/>
        <v>1.5</v>
      </c>
      <c r="DY73" s="873">
        <f t="shared" si="127"/>
        <v>1.5</v>
      </c>
      <c r="DZ73" s="873">
        <f t="shared" si="128"/>
        <v>7.75</v>
      </c>
      <c r="EA73" s="873">
        <f t="shared" si="129"/>
        <v>1</v>
      </c>
      <c r="EB73" s="876">
        <f t="shared" si="130"/>
        <v>5</v>
      </c>
      <c r="EC73" s="877">
        <f t="shared" si="131"/>
        <v>5</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f t="shared" si="143"/>
        <v>0</v>
      </c>
      <c r="EP73" s="874">
        <f t="shared" si="144"/>
        <v>0</v>
      </c>
      <c r="EQ73" s="874">
        <f t="shared" si="145"/>
        <v>0</v>
      </c>
      <c r="ER73" s="874">
        <f t="shared" si="146"/>
        <v>0</v>
      </c>
      <c r="ES73" s="874" t="str">
        <f t="shared" si="147"/>
        <v/>
      </c>
      <c r="ET73" s="873">
        <f t="shared" si="148"/>
        <v>0</v>
      </c>
      <c r="EU73" s="873">
        <f t="shared" si="149"/>
        <v>0</v>
      </c>
      <c r="EV73" s="876">
        <f t="shared" si="150"/>
        <v>6</v>
      </c>
      <c r="EW73" s="876">
        <f t="shared" si="151"/>
        <v>5</v>
      </c>
      <c r="EX73" s="878" t="e">
        <f t="shared" si="152"/>
        <v>#VALUE!</v>
      </c>
      <c r="EY73" s="879" t="e">
        <f t="shared" si="153"/>
        <v>#VALUE!</v>
      </c>
      <c r="EZ73" s="959" t="e">
        <f t="shared" si="154"/>
        <v>#VALUE!</v>
      </c>
      <c r="FA73" s="960" t="e">
        <f t="shared" si="155"/>
        <v>#VALUE!</v>
      </c>
      <c r="FB73" s="880">
        <f t="shared" si="156"/>
        <v>0</v>
      </c>
      <c r="FC73" s="881">
        <f t="shared" si="157"/>
        <v>0</v>
      </c>
      <c r="FD73" s="890">
        <f t="shared" si="158"/>
        <v>2.75</v>
      </c>
      <c r="FE73" s="833">
        <f t="shared" si="159"/>
        <v>0</v>
      </c>
      <c r="FF73" s="754" t="b">
        <f t="shared" si="160"/>
        <v>0</v>
      </c>
      <c r="FG73" s="754" t="b">
        <f t="shared" si="161"/>
        <v>0</v>
      </c>
      <c r="FH73" s="754" t="b">
        <f t="shared" si="162"/>
        <v>0</v>
      </c>
      <c r="FI73" s="754" t="b">
        <f t="shared" si="163"/>
        <v>0</v>
      </c>
      <c r="FJ73" s="920" t="str">
        <f t="shared" si="177"/>
        <v/>
      </c>
      <c r="FK73" s="919" t="str">
        <f t="shared" si="178"/>
        <v>G63</v>
      </c>
      <c r="FL73" s="320">
        <f t="shared" si="179"/>
        <v>660.625</v>
      </c>
      <c r="FM73" s="312" t="str">
        <f t="shared" si="164"/>
        <v/>
      </c>
      <c r="FN73" s="272">
        <f t="shared" ca="1" si="180"/>
        <v>96</v>
      </c>
      <c r="FO73" s="273">
        <f t="shared" ca="1" si="181"/>
        <v>5</v>
      </c>
      <c r="FP73" s="274">
        <f t="shared" ca="1" si="182"/>
        <v>96</v>
      </c>
      <c r="FQ73" s="274">
        <f t="shared" ca="1" si="183"/>
        <v>96</v>
      </c>
      <c r="FR73" s="321">
        <f t="shared" ca="1" si="184"/>
        <v>0</v>
      </c>
      <c r="FS73" s="322">
        <f t="shared" ca="1" si="185"/>
        <v>672</v>
      </c>
      <c r="FT73" s="272">
        <f t="shared" ca="1" si="186"/>
        <v>660.625</v>
      </c>
      <c r="FU73" s="275">
        <f t="shared" ca="1" si="187"/>
        <v>1</v>
      </c>
      <c r="FV73" s="323">
        <f t="shared" ca="1" si="165"/>
        <v>93</v>
      </c>
      <c r="FW73" s="276">
        <f t="shared" ca="1" si="188"/>
        <v>93</v>
      </c>
      <c r="FX73" s="276">
        <f t="shared" ca="1" si="189"/>
        <v>96</v>
      </c>
      <c r="FY73" s="276">
        <f t="shared" ca="1" si="190"/>
        <v>87.625</v>
      </c>
      <c r="FZ73" s="276">
        <f t="shared" ca="1" si="191"/>
        <v>87.625</v>
      </c>
      <c r="GA73" s="276">
        <f t="shared" ca="1" si="192"/>
        <v>660.625</v>
      </c>
      <c r="GB73" s="277">
        <f ca="1">IF(FY73="","",2+SUM(FO73:OFFSET(FO73,(FU73-1)*-1,0)))</f>
        <v>7</v>
      </c>
      <c r="GC73" s="316">
        <f t="shared" si="193"/>
        <v>-0.25</v>
      </c>
      <c r="GD73" s="324">
        <f t="shared" si="166"/>
        <v>1.75</v>
      </c>
      <c r="GE73" s="325" t="str">
        <f t="shared" si="167"/>
        <v/>
      </c>
      <c r="GF73" s="278">
        <f t="shared" si="168"/>
        <v>12</v>
      </c>
      <c r="GG73" s="279" t="str">
        <f t="shared" si="169"/>
        <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G64</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-8</v>
      </c>
      <c r="CH74" s="1306">
        <f>IF(CG34="","",IF(VLOOKUP(CG34,SectInfo!$B:$N,7,FALSE)="","",(VLOOKUP(CG34,SectInfo!$B:$N,7,FALSE)*-1)))</f>
        <v>-7.5</v>
      </c>
      <c r="CI74" s="1306">
        <f>IF(CG34="","",IF(VLOOKUP(CG34,SectInfo!$B:$N,8,FALSE)="",$FC$4,(VLOOKUP(CG34,SectInfo!$B:$N,8,FALSE))))</f>
        <v>5</v>
      </c>
      <c r="CJ74" s="1306">
        <f>IF(CG34="","",VLOOKUP(CG34,SectInfo!$B:$N,9,FALSE))</f>
        <v>9</v>
      </c>
      <c r="CK74" s="1307">
        <f t="shared" si="101"/>
        <v>0</v>
      </c>
      <c r="CL74" s="1305" t="str">
        <f>IF(CQ34="","",VLOOKUP(CQ34,SectInfo!$B:$N,12,FALSE))</f>
        <v>C</v>
      </c>
      <c r="CM74" s="1306">
        <f>IF(ISBLANK(CX34),IF(CQ34="","",VLOOKUP(CQ34,SectInfo!$B:$N,13,FALSE)),CX34)</f>
        <v>-8.375</v>
      </c>
      <c r="CN74" s="1306" t="str">
        <f>IF(CQ34="","",IF(VLOOKUP(CQ34,SectInfo!$B:$N,5,FALSE)="","R",UPPER(VLOOKUP(CQ34,SectInfo!$B:$N,5,FALSE))))</f>
        <v>R</v>
      </c>
      <c r="CO74" s="1306">
        <f>IF(ISBLANK(CZ34),IF(CQ34="","",VLOOKUP(CQ34,SectInfo!$B:$N,6,FALSE)),CZ34)</f>
        <v>7.5</v>
      </c>
      <c r="CP74" s="1306">
        <f>IF(CQ34="","",IF(VLOOKUP(CQ34,SectInfo!$B:$N,10,FALSE)="","",(VLOOKUP(CQ34,SectInfo!$B:$N,10,FALSE)*-1)))</f>
        <v>-9.375</v>
      </c>
      <c r="CQ74" s="1306">
        <f>IF(CQ34="","",IF(VLOOKUP(CQ34,SectInfo!$B:$N,7,FALSE)="","",(VLOOKUP(CQ34,SectInfo!$B:$N,7,FALSE)*-1)))</f>
        <v>-9.875</v>
      </c>
      <c r="CR74" s="1306">
        <f>IF(CQ34="","",IF(VLOOKUP(CQ34,SectInfo!$B:$N,8,FALSE)="",$FC$4,(VLOOKUP(CQ34,SectInfo!$B:$N,8,FALSE))))</f>
        <v>5</v>
      </c>
      <c r="CS74" s="1306">
        <f>IF(CQ34="","",VLOOKUP(CQ34,SectInfo!$B:$N,9,FALSE))</f>
        <v>13.375</v>
      </c>
      <c r="CT74" s="1307">
        <f t="shared" si="102"/>
        <v>0</v>
      </c>
      <c r="CU74" s="1317">
        <f t="shared" si="103"/>
        <v>0</v>
      </c>
      <c r="CV74" s="1311">
        <f t="shared" si="104"/>
        <v>663.375</v>
      </c>
      <c r="CW74" s="1311">
        <f t="shared" si="105"/>
        <v>7.5</v>
      </c>
      <c r="CX74" s="1311">
        <f t="shared" si="106"/>
        <v>7.5</v>
      </c>
      <c r="CY74" s="1313">
        <f t="shared" si="107"/>
        <v>0</v>
      </c>
      <c r="CZ74" s="1313">
        <f t="shared" si="108"/>
        <v>9</v>
      </c>
      <c r="DA74" s="1313">
        <f t="shared" si="109"/>
        <v>9</v>
      </c>
      <c r="DB74" s="1311">
        <f t="shared" si="173"/>
        <v>8.75</v>
      </c>
      <c r="DC74" s="1311">
        <f t="shared" si="110"/>
        <v>2.75</v>
      </c>
      <c r="DD74" s="875">
        <f t="shared" si="174"/>
        <v>2.75</v>
      </c>
      <c r="DE74" s="873">
        <f t="shared" si="111"/>
        <v>0</v>
      </c>
      <c r="DF74" s="874">
        <f t="shared" si="112"/>
        <v>13.375</v>
      </c>
      <c r="DG74" s="874">
        <f t="shared" si="113"/>
        <v>13.375</v>
      </c>
      <c r="DH74" s="1311">
        <f t="shared" si="175"/>
        <v>5</v>
      </c>
      <c r="DI74" s="1311">
        <f t="shared" si="114"/>
        <v>0</v>
      </c>
      <c r="DJ74" s="1312">
        <f t="shared" si="176"/>
        <v>0</v>
      </c>
      <c r="DK74" s="1311">
        <f t="shared" si="115"/>
        <v>660.625</v>
      </c>
      <c r="DL74" s="1311">
        <f t="shared" si="116"/>
        <v>-7.5</v>
      </c>
      <c r="DM74" s="1311">
        <f t="shared" si="117"/>
        <v>7.25</v>
      </c>
      <c r="DN74" s="1311">
        <f t="shared" si="118"/>
        <v>7.25</v>
      </c>
      <c r="DO74" s="889">
        <f t="shared" si="119"/>
        <v>7.25</v>
      </c>
      <c r="DP74" s="889">
        <f t="shared" si="120"/>
        <v>7.25</v>
      </c>
      <c r="DQ74" s="1311">
        <f t="shared" si="121"/>
        <v>7.25</v>
      </c>
      <c r="DR74" s="1311">
        <f t="shared" si="121"/>
        <v>7.25</v>
      </c>
      <c r="DS74" s="1311">
        <f t="shared" si="122"/>
        <v>-9.875</v>
      </c>
      <c r="DT74" s="1311">
        <f t="shared" si="123"/>
        <v>1.5</v>
      </c>
      <c r="DU74" s="1311">
        <f t="shared" si="124"/>
        <v>1.5</v>
      </c>
      <c r="DV74" s="889">
        <f t="shared" si="125"/>
        <v>1.5</v>
      </c>
      <c r="DW74" s="889">
        <f t="shared" si="126"/>
        <v>1.5</v>
      </c>
      <c r="DX74" s="873">
        <f t="shared" si="127"/>
        <v>1.5</v>
      </c>
      <c r="DY74" s="873">
        <f t="shared" si="127"/>
        <v>1.5</v>
      </c>
      <c r="DZ74" s="873">
        <f t="shared" si="128"/>
        <v>7.75</v>
      </c>
      <c r="EA74" s="873">
        <f t="shared" si="129"/>
        <v>1</v>
      </c>
      <c r="EB74" s="876">
        <f t="shared" si="130"/>
        <v>5</v>
      </c>
      <c r="EC74" s="877">
        <f t="shared" si="131"/>
        <v>5</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f t="shared" si="143"/>
        <v>0</v>
      </c>
      <c r="EP74" s="874">
        <f t="shared" si="144"/>
        <v>0</v>
      </c>
      <c r="EQ74" s="874">
        <f t="shared" si="145"/>
        <v>0</v>
      </c>
      <c r="ER74" s="874">
        <f t="shared" si="146"/>
        <v>0</v>
      </c>
      <c r="ES74" s="874" t="str">
        <f t="shared" si="147"/>
        <v/>
      </c>
      <c r="ET74" s="873">
        <f t="shared" si="148"/>
        <v>0</v>
      </c>
      <c r="EU74" s="873">
        <f t="shared" si="149"/>
        <v>0</v>
      </c>
      <c r="EV74" s="876">
        <f t="shared" si="150"/>
        <v>6</v>
      </c>
      <c r="EW74" s="876">
        <f t="shared" si="151"/>
        <v>5</v>
      </c>
      <c r="EX74" s="878" t="e">
        <f t="shared" si="152"/>
        <v>#VALUE!</v>
      </c>
      <c r="EY74" s="879" t="e">
        <f t="shared" si="153"/>
        <v>#VALUE!</v>
      </c>
      <c r="EZ74" s="959" t="e">
        <f t="shared" si="154"/>
        <v>#VALUE!</v>
      </c>
      <c r="FA74" s="960" t="e">
        <f t="shared" si="155"/>
        <v>#VALUE!</v>
      </c>
      <c r="FB74" s="880">
        <f t="shared" si="156"/>
        <v>0</v>
      </c>
      <c r="FC74" s="881">
        <f t="shared" si="157"/>
        <v>0</v>
      </c>
      <c r="FD74" s="890">
        <f t="shared" si="158"/>
        <v>2.75</v>
      </c>
      <c r="FE74" s="833">
        <f t="shared" si="159"/>
        <v>0</v>
      </c>
      <c r="FF74" s="754" t="b">
        <f t="shared" si="160"/>
        <v>0</v>
      </c>
      <c r="FG74" s="754" t="b">
        <f t="shared" si="161"/>
        <v>0</v>
      </c>
      <c r="FH74" s="754" t="b">
        <f t="shared" si="162"/>
        <v>0</v>
      </c>
      <c r="FI74" s="754" t="b">
        <f t="shared" si="163"/>
        <v>0</v>
      </c>
      <c r="FJ74" s="920" t="str">
        <f t="shared" si="177"/>
        <v/>
      </c>
      <c r="FK74" s="919" t="str">
        <f t="shared" si="178"/>
        <v>G64</v>
      </c>
      <c r="FL74" s="320">
        <f t="shared" si="179"/>
        <v>660.625</v>
      </c>
      <c r="FM74" s="312" t="str">
        <f t="shared" si="164"/>
        <v/>
      </c>
      <c r="FN74" s="272">
        <f t="shared" ca="1" si="180"/>
        <v>96</v>
      </c>
      <c r="FO74" s="273">
        <f t="shared" ca="1" si="181"/>
        <v>5</v>
      </c>
      <c r="FP74" s="274">
        <f t="shared" ca="1" si="182"/>
        <v>96</v>
      </c>
      <c r="FQ74" s="274">
        <f t="shared" ca="1" si="183"/>
        <v>96</v>
      </c>
      <c r="FR74" s="321">
        <f t="shared" ca="1" si="184"/>
        <v>0</v>
      </c>
      <c r="FS74" s="322">
        <f t="shared" ca="1" si="185"/>
        <v>672</v>
      </c>
      <c r="FT74" s="272">
        <f t="shared" ca="1" si="186"/>
        <v>660.625</v>
      </c>
      <c r="FU74" s="275">
        <f t="shared" ca="1" si="187"/>
        <v>1</v>
      </c>
      <c r="FV74" s="323">
        <f t="shared" ca="1" si="165"/>
        <v>93</v>
      </c>
      <c r="FW74" s="276">
        <f t="shared" ca="1" si="188"/>
        <v>93</v>
      </c>
      <c r="FX74" s="276">
        <f t="shared" ca="1" si="189"/>
        <v>96</v>
      </c>
      <c r="FY74" s="276">
        <f t="shared" ca="1" si="190"/>
        <v>87.625</v>
      </c>
      <c r="FZ74" s="276">
        <f t="shared" ca="1" si="191"/>
        <v>87.625</v>
      </c>
      <c r="GA74" s="276">
        <f t="shared" ca="1" si="192"/>
        <v>660.625</v>
      </c>
      <c r="GB74" s="277">
        <f ca="1">IF(FY74="","",2+SUM(FO74:OFFSET(FO74,(FU74-1)*-1,0)))</f>
        <v>7</v>
      </c>
      <c r="GC74" s="316">
        <f t="shared" si="193"/>
        <v>-0.25</v>
      </c>
      <c r="GD74" s="324">
        <f t="shared" si="166"/>
        <v>1.75</v>
      </c>
      <c r="GE74" s="325" t="str">
        <f t="shared" si="167"/>
        <v/>
      </c>
      <c r="GF74" s="278">
        <f t="shared" si="168"/>
        <v>12</v>
      </c>
      <c r="GG74" s="279" t="str">
        <f t="shared" si="169"/>
        <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G65</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-8</v>
      </c>
      <c r="CH75" s="1306">
        <f>IF(CG35="","",IF(VLOOKUP(CG35,SectInfo!$B:$N,7,FALSE)="","",(VLOOKUP(CG35,SectInfo!$B:$N,7,FALSE)*-1)))</f>
        <v>-7.5</v>
      </c>
      <c r="CI75" s="1306">
        <f>IF(CG35="","",IF(VLOOKUP(CG35,SectInfo!$B:$N,8,FALSE)="",$FC$4,(VLOOKUP(CG35,SectInfo!$B:$N,8,FALSE))))</f>
        <v>5</v>
      </c>
      <c r="CJ75" s="1306">
        <f>IF(CG35="","",VLOOKUP(CG35,SectInfo!$B:$N,9,FALSE))</f>
        <v>9</v>
      </c>
      <c r="CK75" s="1307">
        <f t="shared" si="101"/>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-8</v>
      </c>
      <c r="CQ75" s="1306">
        <f>IF(CQ35="","",IF(VLOOKUP(CQ35,SectInfo!$B:$N,7,FALSE)="","",(VLOOKUP(CQ35,SectInfo!$B:$N,7,FALSE)*-1)))</f>
        <v>-7.5</v>
      </c>
      <c r="CR75" s="1306">
        <f>IF(CQ35="","",IF(VLOOKUP(CQ35,SectInfo!$B:$N,8,FALSE)="",$FC$4,(VLOOKUP(CQ35,SectInfo!$B:$N,8,FALSE))))</f>
        <v>5</v>
      </c>
      <c r="CS75" s="1306">
        <f>IF(CQ35="","",VLOOKUP(CQ35,SectInfo!$B:$N,9,FALSE))</f>
        <v>9</v>
      </c>
      <c r="CT75" s="1307">
        <f t="shared" si="102"/>
        <v>0</v>
      </c>
      <c r="CU75" s="1317">
        <f t="shared" si="103"/>
        <v>0</v>
      </c>
      <c r="CV75" s="1311">
        <f t="shared" si="104"/>
        <v>671.5</v>
      </c>
      <c r="CW75" s="1311">
        <f t="shared" si="105"/>
        <v>7.5</v>
      </c>
      <c r="CX75" s="1311">
        <f t="shared" si="106"/>
        <v>7.5</v>
      </c>
      <c r="CY75" s="1313">
        <f t="shared" si="107"/>
        <v>0</v>
      </c>
      <c r="CZ75" s="1313">
        <f t="shared" si="108"/>
        <v>9</v>
      </c>
      <c r="DA75" s="1313">
        <f t="shared" si="109"/>
        <v>9</v>
      </c>
      <c r="DB75" s="1311">
        <f t="shared" si="173"/>
        <v>8.75</v>
      </c>
      <c r="DC75" s="1311">
        <f t="shared" si="110"/>
        <v>2.75</v>
      </c>
      <c r="DD75" s="875">
        <f t="shared" si="174"/>
        <v>2.75</v>
      </c>
      <c r="DE75" s="873">
        <f t="shared" si="111"/>
        <v>0</v>
      </c>
      <c r="DF75" s="874">
        <f t="shared" si="112"/>
        <v>9</v>
      </c>
      <c r="DG75" s="874">
        <f t="shared" si="113"/>
        <v>9</v>
      </c>
      <c r="DH75" s="1311">
        <f t="shared" si="175"/>
        <v>8.75</v>
      </c>
      <c r="DI75" s="1311">
        <f t="shared" si="114"/>
        <v>2.75</v>
      </c>
      <c r="DJ75" s="1312">
        <f t="shared" si="176"/>
        <v>2.75</v>
      </c>
      <c r="DK75" s="1311">
        <f t="shared" si="115"/>
        <v>666</v>
      </c>
      <c r="DL75" s="1311">
        <f t="shared" si="116"/>
        <v>-7.5</v>
      </c>
      <c r="DM75" s="1311">
        <f t="shared" si="117"/>
        <v>7.25</v>
      </c>
      <c r="DN75" s="1311">
        <f t="shared" si="118"/>
        <v>7.25</v>
      </c>
      <c r="DO75" s="889">
        <f t="shared" si="119"/>
        <v>7.25</v>
      </c>
      <c r="DP75" s="889">
        <f t="shared" si="120"/>
        <v>7.25</v>
      </c>
      <c r="DQ75" s="1311">
        <f t="shared" si="121"/>
        <v>7.25</v>
      </c>
      <c r="DR75" s="1311">
        <f t="shared" si="121"/>
        <v>7.25</v>
      </c>
      <c r="DS75" s="1311">
        <f t="shared" si="122"/>
        <v>-7.5</v>
      </c>
      <c r="DT75" s="1311">
        <f t="shared" si="123"/>
        <v>7.25</v>
      </c>
      <c r="DU75" s="1311">
        <f t="shared" si="124"/>
        <v>7.25</v>
      </c>
      <c r="DV75" s="889">
        <f t="shared" si="125"/>
        <v>7.25</v>
      </c>
      <c r="DW75" s="889">
        <f t="shared" si="126"/>
        <v>7.25</v>
      </c>
      <c r="DX75" s="873">
        <f t="shared" ref="DX75:DY85" si="195">IF(ISERROR(DT75),"ERR",IF(DT75="","",IF(DV75="ERR","ERR",CEILING(DV75-0.0625,0.125))))</f>
        <v>7.25</v>
      </c>
      <c r="DY75" s="873">
        <f t="shared" si="195"/>
        <v>7.25</v>
      </c>
      <c r="DZ75" s="873">
        <f t="shared" si="128"/>
        <v>7.75</v>
      </c>
      <c r="EA75" s="873">
        <f t="shared" si="129"/>
        <v>7.75</v>
      </c>
      <c r="EB75" s="876">
        <f t="shared" si="130"/>
        <v>5</v>
      </c>
      <c r="EC75" s="877">
        <f t="shared" si="131"/>
        <v>5</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f t="shared" si="143"/>
        <v>0</v>
      </c>
      <c r="EP75" s="874">
        <f t="shared" si="144"/>
        <v>0</v>
      </c>
      <c r="EQ75" s="874">
        <f t="shared" si="145"/>
        <v>0</v>
      </c>
      <c r="ER75" s="874">
        <f t="shared" si="146"/>
        <v>0</v>
      </c>
      <c r="ES75" s="874" t="str">
        <f t="shared" si="147"/>
        <v/>
      </c>
      <c r="ET75" s="873">
        <f t="shared" si="148"/>
        <v>0</v>
      </c>
      <c r="EU75" s="873">
        <f t="shared" si="149"/>
        <v>0</v>
      </c>
      <c r="EV75" s="876">
        <f t="shared" si="150"/>
        <v>6</v>
      </c>
      <c r="EW75" s="876">
        <f t="shared" si="151"/>
        <v>6</v>
      </c>
      <c r="EX75" s="878" t="e">
        <f t="shared" si="152"/>
        <v>#VALUE!</v>
      </c>
      <c r="EY75" s="879" t="e">
        <f t="shared" si="153"/>
        <v>#VALUE!</v>
      </c>
      <c r="EZ75" s="959" t="e">
        <f t="shared" si="154"/>
        <v>#VALUE!</v>
      </c>
      <c r="FA75" s="960" t="e">
        <f t="shared" si="155"/>
        <v>#VALUE!</v>
      </c>
      <c r="FB75" s="880">
        <f t="shared" si="156"/>
        <v>0</v>
      </c>
      <c r="FC75" s="881">
        <f t="shared" si="157"/>
        <v>0</v>
      </c>
      <c r="FD75" s="890">
        <f t="shared" si="158"/>
        <v>2.75</v>
      </c>
      <c r="FE75" s="833">
        <f t="shared" si="159"/>
        <v>2.75</v>
      </c>
      <c r="FF75" s="754" t="b">
        <f t="shared" si="160"/>
        <v>0</v>
      </c>
      <c r="FG75" s="754" t="b">
        <f t="shared" si="161"/>
        <v>0</v>
      </c>
      <c r="FH75" s="754" t="b">
        <f t="shared" si="162"/>
        <v>0</v>
      </c>
      <c r="FI75" s="754" t="b">
        <f t="shared" si="163"/>
        <v>0</v>
      </c>
      <c r="FJ75" s="920" t="str">
        <f t="shared" si="177"/>
        <v/>
      </c>
      <c r="FK75" s="919" t="str">
        <f t="shared" si="178"/>
        <v>G65</v>
      </c>
      <c r="FL75" s="320">
        <f t="shared" si="179"/>
        <v>666</v>
      </c>
      <c r="FM75" s="312" t="str">
        <f t="shared" si="164"/>
        <v/>
      </c>
      <c r="FN75" s="272">
        <f t="shared" ca="1" si="180"/>
        <v>96</v>
      </c>
      <c r="FO75" s="273">
        <f t="shared" ca="1" si="181"/>
        <v>5</v>
      </c>
      <c r="FP75" s="274">
        <f t="shared" ca="1" si="182"/>
        <v>96</v>
      </c>
      <c r="FQ75" s="274">
        <f t="shared" ca="1" si="183"/>
        <v>96</v>
      </c>
      <c r="FR75" s="321">
        <f t="shared" ca="1" si="184"/>
        <v>0</v>
      </c>
      <c r="FS75" s="322">
        <f t="shared" ca="1" si="185"/>
        <v>672</v>
      </c>
      <c r="FT75" s="272">
        <f t="shared" ca="1" si="186"/>
        <v>666</v>
      </c>
      <c r="FU75" s="275">
        <f t="shared" ca="1" si="187"/>
        <v>1</v>
      </c>
      <c r="FV75" s="323">
        <f t="shared" ca="1" si="165"/>
        <v>93</v>
      </c>
      <c r="FW75" s="276">
        <f t="shared" ca="1" si="188"/>
        <v>93</v>
      </c>
      <c r="FX75" s="276">
        <f t="shared" ca="1" si="189"/>
        <v>96</v>
      </c>
      <c r="FY75" s="276">
        <f t="shared" ca="1" si="190"/>
        <v>93</v>
      </c>
      <c r="FZ75" s="276">
        <f t="shared" ca="1" si="191"/>
        <v>93</v>
      </c>
      <c r="GA75" s="276">
        <f t="shared" ca="1" si="192"/>
        <v>666</v>
      </c>
      <c r="GB75" s="277">
        <f ca="1">IF(FY75="","",2+SUM(FO75:OFFSET(FO75,(FU75-1)*-1,0)))</f>
        <v>7</v>
      </c>
      <c r="GC75" s="316">
        <f t="shared" si="193"/>
        <v>-0.25</v>
      </c>
      <c r="GD75" s="324">
        <f t="shared" si="166"/>
        <v>1.75</v>
      </c>
      <c r="GE75" s="325">
        <f t="shared" si="167"/>
        <v>1.75</v>
      </c>
      <c r="GF75" s="278">
        <f t="shared" si="168"/>
        <v>12</v>
      </c>
      <c r="GG75" s="279">
        <f t="shared" si="169"/>
        <v>660</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G66</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-8</v>
      </c>
      <c r="CH76" s="1306">
        <f>IF(CG36="","",IF(VLOOKUP(CG36,SectInfo!$B:$N,7,FALSE)="","",(VLOOKUP(CG36,SectInfo!$B:$N,7,FALSE)*-1)))</f>
        <v>-7.5</v>
      </c>
      <c r="CI76" s="1306">
        <f>IF(CG36="","",IF(VLOOKUP(CG36,SectInfo!$B:$N,8,FALSE)="",$FC$4,(VLOOKUP(CG36,SectInfo!$B:$N,8,FALSE))))</f>
        <v>5</v>
      </c>
      <c r="CJ76" s="1306">
        <f>IF(CG36="","",VLOOKUP(CG36,SectInfo!$B:$N,9,FALSE))</f>
        <v>9</v>
      </c>
      <c r="CK76" s="1307">
        <f t="shared" si="101"/>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-8</v>
      </c>
      <c r="CQ76" s="1306">
        <f>IF(CQ36="","",IF(VLOOKUP(CQ36,SectInfo!$B:$N,7,FALSE)="","",(VLOOKUP(CQ36,SectInfo!$B:$N,7,FALSE)*-1)))</f>
        <v>-7.5</v>
      </c>
      <c r="CR76" s="1306">
        <f>IF(CQ36="","",IF(VLOOKUP(CQ36,SectInfo!$B:$N,8,FALSE)="",$FC$4,(VLOOKUP(CQ36,SectInfo!$B:$N,8,FALSE))))</f>
        <v>5</v>
      </c>
      <c r="CS76" s="1306">
        <f>IF(CQ36="","",VLOOKUP(CQ36,SectInfo!$B:$N,9,FALSE))</f>
        <v>9</v>
      </c>
      <c r="CT76" s="1307">
        <f t="shared" si="102"/>
        <v>0</v>
      </c>
      <c r="CU76" s="1317">
        <f t="shared" si="103"/>
        <v>0</v>
      </c>
      <c r="CV76" s="1311">
        <f t="shared" si="104"/>
        <v>671.5</v>
      </c>
      <c r="CW76" s="1311">
        <f t="shared" si="105"/>
        <v>7.5</v>
      </c>
      <c r="CX76" s="1311">
        <f t="shared" si="106"/>
        <v>7.5</v>
      </c>
      <c r="CY76" s="1313">
        <f t="shared" si="107"/>
        <v>0</v>
      </c>
      <c r="CZ76" s="1313">
        <f t="shared" si="108"/>
        <v>9</v>
      </c>
      <c r="DA76" s="1313">
        <f t="shared" si="109"/>
        <v>9</v>
      </c>
      <c r="DB76" s="1311">
        <f t="shared" si="173"/>
        <v>8.75</v>
      </c>
      <c r="DC76" s="1311">
        <f t="shared" si="110"/>
        <v>2.75</v>
      </c>
      <c r="DD76" s="875">
        <f t="shared" si="174"/>
        <v>2.75</v>
      </c>
      <c r="DE76" s="873">
        <f t="shared" si="111"/>
        <v>0</v>
      </c>
      <c r="DF76" s="874">
        <f t="shared" si="112"/>
        <v>9</v>
      </c>
      <c r="DG76" s="874">
        <f t="shared" si="113"/>
        <v>9</v>
      </c>
      <c r="DH76" s="1311">
        <f t="shared" si="175"/>
        <v>8.75</v>
      </c>
      <c r="DI76" s="1311">
        <f t="shared" si="114"/>
        <v>2.75</v>
      </c>
      <c r="DJ76" s="1312">
        <f t="shared" si="176"/>
        <v>2.75</v>
      </c>
      <c r="DK76" s="1311">
        <f t="shared" si="115"/>
        <v>666</v>
      </c>
      <c r="DL76" s="1311">
        <f t="shared" si="116"/>
        <v>-7.5</v>
      </c>
      <c r="DM76" s="1311">
        <f t="shared" si="117"/>
        <v>7.25</v>
      </c>
      <c r="DN76" s="1311">
        <f t="shared" si="118"/>
        <v>7.25</v>
      </c>
      <c r="DO76" s="889">
        <f t="shared" si="119"/>
        <v>7.25</v>
      </c>
      <c r="DP76" s="889">
        <f t="shared" si="120"/>
        <v>7.25</v>
      </c>
      <c r="DQ76" s="1311">
        <f t="shared" si="121"/>
        <v>7.25</v>
      </c>
      <c r="DR76" s="1311">
        <f t="shared" si="121"/>
        <v>7.25</v>
      </c>
      <c r="DS76" s="1311">
        <f t="shared" si="122"/>
        <v>-7.5</v>
      </c>
      <c r="DT76" s="1311">
        <f t="shared" si="123"/>
        <v>7.25</v>
      </c>
      <c r="DU76" s="1311">
        <f t="shared" si="124"/>
        <v>7.25</v>
      </c>
      <c r="DV76" s="889">
        <f t="shared" si="125"/>
        <v>7.25</v>
      </c>
      <c r="DW76" s="889">
        <f t="shared" si="126"/>
        <v>7.25</v>
      </c>
      <c r="DX76" s="873">
        <f t="shared" si="195"/>
        <v>7.25</v>
      </c>
      <c r="DY76" s="873">
        <f t="shared" si="195"/>
        <v>7.25</v>
      </c>
      <c r="DZ76" s="873">
        <f t="shared" si="128"/>
        <v>7.75</v>
      </c>
      <c r="EA76" s="873">
        <f t="shared" si="129"/>
        <v>7.75</v>
      </c>
      <c r="EB76" s="876">
        <f t="shared" si="130"/>
        <v>5</v>
      </c>
      <c r="EC76" s="877">
        <f t="shared" si="131"/>
        <v>5</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f t="shared" si="143"/>
        <v>0</v>
      </c>
      <c r="EP76" s="874">
        <f t="shared" si="144"/>
        <v>0</v>
      </c>
      <c r="EQ76" s="874">
        <f t="shared" si="145"/>
        <v>0</v>
      </c>
      <c r="ER76" s="874">
        <f t="shared" si="146"/>
        <v>0</v>
      </c>
      <c r="ES76" s="874" t="str">
        <f t="shared" si="147"/>
        <v/>
      </c>
      <c r="ET76" s="873">
        <f t="shared" si="148"/>
        <v>0</v>
      </c>
      <c r="EU76" s="873">
        <f t="shared" si="149"/>
        <v>0</v>
      </c>
      <c r="EV76" s="876">
        <f t="shared" si="150"/>
        <v>6</v>
      </c>
      <c r="EW76" s="876">
        <f t="shared" si="151"/>
        <v>6</v>
      </c>
      <c r="EX76" s="878" t="e">
        <f t="shared" si="152"/>
        <v>#VALUE!</v>
      </c>
      <c r="EY76" s="879" t="e">
        <f t="shared" si="153"/>
        <v>#VALUE!</v>
      </c>
      <c r="EZ76" s="959" t="e">
        <f t="shared" si="154"/>
        <v>#VALUE!</v>
      </c>
      <c r="FA76" s="960" t="e">
        <f t="shared" si="155"/>
        <v>#VALUE!</v>
      </c>
      <c r="FB76" s="880">
        <f t="shared" si="156"/>
        <v>0</v>
      </c>
      <c r="FC76" s="881">
        <f t="shared" si="157"/>
        <v>0</v>
      </c>
      <c r="FD76" s="890">
        <f t="shared" si="158"/>
        <v>2.75</v>
      </c>
      <c r="FE76" s="833">
        <f t="shared" si="159"/>
        <v>2.75</v>
      </c>
      <c r="FF76" s="754" t="b">
        <f t="shared" si="160"/>
        <v>0</v>
      </c>
      <c r="FG76" s="754" t="b">
        <f t="shared" si="161"/>
        <v>0</v>
      </c>
      <c r="FH76" s="754" t="b">
        <f t="shared" si="162"/>
        <v>0</v>
      </c>
      <c r="FI76" s="754" t="b">
        <f t="shared" si="163"/>
        <v>0</v>
      </c>
      <c r="FJ76" s="920" t="str">
        <f t="shared" si="177"/>
        <v/>
      </c>
      <c r="FK76" s="919" t="str">
        <f t="shared" si="178"/>
        <v>G66</v>
      </c>
      <c r="FL76" s="320">
        <f t="shared" si="179"/>
        <v>666</v>
      </c>
      <c r="FM76" s="312" t="str">
        <f t="shared" si="164"/>
        <v/>
      </c>
      <c r="FN76" s="272">
        <f t="shared" ca="1" si="180"/>
        <v>96</v>
      </c>
      <c r="FO76" s="273">
        <f t="shared" ca="1" si="181"/>
        <v>5</v>
      </c>
      <c r="FP76" s="274">
        <f t="shared" ca="1" si="182"/>
        <v>96</v>
      </c>
      <c r="FQ76" s="274">
        <f t="shared" ca="1" si="183"/>
        <v>96</v>
      </c>
      <c r="FR76" s="321">
        <f t="shared" ca="1" si="184"/>
        <v>0</v>
      </c>
      <c r="FS76" s="322">
        <f t="shared" ca="1" si="185"/>
        <v>672</v>
      </c>
      <c r="FT76" s="272">
        <f t="shared" ca="1" si="186"/>
        <v>666</v>
      </c>
      <c r="FU76" s="275">
        <f t="shared" ca="1" si="187"/>
        <v>1</v>
      </c>
      <c r="FV76" s="323">
        <f t="shared" ca="1" si="165"/>
        <v>93</v>
      </c>
      <c r="FW76" s="276">
        <f t="shared" ca="1" si="188"/>
        <v>93</v>
      </c>
      <c r="FX76" s="276">
        <f t="shared" ca="1" si="189"/>
        <v>96</v>
      </c>
      <c r="FY76" s="276">
        <f t="shared" ca="1" si="190"/>
        <v>93</v>
      </c>
      <c r="FZ76" s="276">
        <f t="shared" ca="1" si="191"/>
        <v>93</v>
      </c>
      <c r="GA76" s="276">
        <f t="shared" ca="1" si="192"/>
        <v>666</v>
      </c>
      <c r="GB76" s="277">
        <f ca="1">IF(FY76="","",2+SUM(FO76:OFFSET(FO76,(FU76-1)*-1,0)))</f>
        <v>7</v>
      </c>
      <c r="GC76" s="316">
        <f t="shared" si="193"/>
        <v>-0.25</v>
      </c>
      <c r="GD76" s="324">
        <f t="shared" si="166"/>
        <v>1.75</v>
      </c>
      <c r="GE76" s="325">
        <f t="shared" si="167"/>
        <v>1.75</v>
      </c>
      <c r="GF76" s="278">
        <f t="shared" si="168"/>
        <v>12</v>
      </c>
      <c r="GG76" s="279">
        <f t="shared" si="169"/>
        <v>660</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G67</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-8</v>
      </c>
      <c r="CH77" s="1306">
        <f>IF(CG37="","",IF(VLOOKUP(CG37,SectInfo!$B:$N,7,FALSE)="","",(VLOOKUP(CG37,SectInfo!$B:$N,7,FALSE)*-1)))</f>
        <v>-7.5</v>
      </c>
      <c r="CI77" s="1306">
        <f>IF(CG37="","",IF(VLOOKUP(CG37,SectInfo!$B:$N,8,FALSE)="",$FC$4,(VLOOKUP(CG37,SectInfo!$B:$N,8,FALSE))))</f>
        <v>5</v>
      </c>
      <c r="CJ77" s="1306">
        <f>IF(CG37="","",VLOOKUP(CG37,SectInfo!$B:$N,9,FALSE))</f>
        <v>9</v>
      </c>
      <c r="CK77" s="1307">
        <f t="shared" si="101"/>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-8</v>
      </c>
      <c r="CQ77" s="1306">
        <f>IF(CQ37="","",IF(VLOOKUP(CQ37,SectInfo!$B:$N,7,FALSE)="","",(VLOOKUP(CQ37,SectInfo!$B:$N,7,FALSE)*-1)))</f>
        <v>-7.5</v>
      </c>
      <c r="CR77" s="1306">
        <f>IF(CQ37="","",IF(VLOOKUP(CQ37,SectInfo!$B:$N,8,FALSE)="",$FC$4,(VLOOKUP(CQ37,SectInfo!$B:$N,8,FALSE))))</f>
        <v>5</v>
      </c>
      <c r="CS77" s="1306">
        <f>IF(CQ37="","",VLOOKUP(CQ37,SectInfo!$B:$N,9,FALSE))</f>
        <v>9</v>
      </c>
      <c r="CT77" s="1307">
        <f t="shared" si="102"/>
        <v>0</v>
      </c>
      <c r="CU77" s="1317">
        <f t="shared" si="103"/>
        <v>0</v>
      </c>
      <c r="CV77" s="1311">
        <f t="shared" si="104"/>
        <v>719.5</v>
      </c>
      <c r="CW77" s="1311">
        <f t="shared" si="105"/>
        <v>7.5</v>
      </c>
      <c r="CX77" s="1311">
        <f t="shared" si="106"/>
        <v>7.5</v>
      </c>
      <c r="CY77" s="1313">
        <f t="shared" si="107"/>
        <v>0</v>
      </c>
      <c r="CZ77" s="1313">
        <f t="shared" si="108"/>
        <v>9</v>
      </c>
      <c r="DA77" s="1313">
        <f t="shared" si="109"/>
        <v>9</v>
      </c>
      <c r="DB77" s="1311">
        <f t="shared" si="173"/>
        <v>8.75</v>
      </c>
      <c r="DC77" s="1311">
        <f t="shared" si="110"/>
        <v>2.75</v>
      </c>
      <c r="DD77" s="875">
        <f t="shared" si="174"/>
        <v>2.75</v>
      </c>
      <c r="DE77" s="873">
        <f t="shared" si="111"/>
        <v>0</v>
      </c>
      <c r="DF77" s="874">
        <f t="shared" si="112"/>
        <v>9</v>
      </c>
      <c r="DG77" s="874">
        <f t="shared" si="113"/>
        <v>9</v>
      </c>
      <c r="DH77" s="1311">
        <f t="shared" si="175"/>
        <v>8.75</v>
      </c>
      <c r="DI77" s="1311">
        <f t="shared" si="114"/>
        <v>2.75</v>
      </c>
      <c r="DJ77" s="1312">
        <f t="shared" si="176"/>
        <v>2.75</v>
      </c>
      <c r="DK77" s="1311">
        <f t="shared" si="115"/>
        <v>714</v>
      </c>
      <c r="DL77" s="1311">
        <f t="shared" si="116"/>
        <v>-7.5</v>
      </c>
      <c r="DM77" s="1311">
        <f t="shared" si="117"/>
        <v>7.25</v>
      </c>
      <c r="DN77" s="1311">
        <f t="shared" si="118"/>
        <v>7.25</v>
      </c>
      <c r="DO77" s="889">
        <f t="shared" si="119"/>
        <v>7.25</v>
      </c>
      <c r="DP77" s="889">
        <f t="shared" si="120"/>
        <v>7.25</v>
      </c>
      <c r="DQ77" s="1311">
        <f t="shared" si="121"/>
        <v>7.25</v>
      </c>
      <c r="DR77" s="1311">
        <f t="shared" si="121"/>
        <v>7.25</v>
      </c>
      <c r="DS77" s="1311">
        <f t="shared" si="122"/>
        <v>-7.5</v>
      </c>
      <c r="DT77" s="1311">
        <f t="shared" si="123"/>
        <v>7.25</v>
      </c>
      <c r="DU77" s="1311">
        <f t="shared" si="124"/>
        <v>7.25</v>
      </c>
      <c r="DV77" s="889">
        <f t="shared" si="125"/>
        <v>7.25</v>
      </c>
      <c r="DW77" s="889">
        <f t="shared" si="126"/>
        <v>7.25</v>
      </c>
      <c r="DX77" s="873">
        <f t="shared" si="195"/>
        <v>7.25</v>
      </c>
      <c r="DY77" s="873">
        <f t="shared" si="195"/>
        <v>7.25</v>
      </c>
      <c r="DZ77" s="873">
        <f t="shared" si="128"/>
        <v>7.75</v>
      </c>
      <c r="EA77" s="873">
        <f t="shared" si="129"/>
        <v>7.75</v>
      </c>
      <c r="EB77" s="876">
        <f t="shared" si="130"/>
        <v>5</v>
      </c>
      <c r="EC77" s="877">
        <f t="shared" si="131"/>
        <v>5</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f t="shared" si="143"/>
        <v>0</v>
      </c>
      <c r="EP77" s="874">
        <f t="shared" si="144"/>
        <v>0</v>
      </c>
      <c r="EQ77" s="874">
        <f t="shared" si="145"/>
        <v>0</v>
      </c>
      <c r="ER77" s="874">
        <f t="shared" si="146"/>
        <v>0</v>
      </c>
      <c r="ES77" s="874" t="str">
        <f t="shared" si="147"/>
        <v/>
      </c>
      <c r="ET77" s="873">
        <f t="shared" si="148"/>
        <v>0</v>
      </c>
      <c r="EU77" s="873">
        <f t="shared" si="149"/>
        <v>0</v>
      </c>
      <c r="EV77" s="876">
        <f t="shared" si="150"/>
        <v>6</v>
      </c>
      <c r="EW77" s="876">
        <f t="shared" si="151"/>
        <v>6</v>
      </c>
      <c r="EX77" s="878" t="e">
        <f t="shared" si="152"/>
        <v>#VALUE!</v>
      </c>
      <c r="EY77" s="879" t="e">
        <f t="shared" si="153"/>
        <v>#VALUE!</v>
      </c>
      <c r="EZ77" s="959" t="e">
        <f t="shared" si="154"/>
        <v>#VALUE!</v>
      </c>
      <c r="FA77" s="960" t="e">
        <f t="shared" si="155"/>
        <v>#VALUE!</v>
      </c>
      <c r="FB77" s="880">
        <f t="shared" si="156"/>
        <v>0</v>
      </c>
      <c r="FC77" s="881">
        <f t="shared" si="157"/>
        <v>0</v>
      </c>
      <c r="FD77" s="890">
        <f t="shared" si="158"/>
        <v>2.75</v>
      </c>
      <c r="FE77" s="833">
        <f t="shared" si="159"/>
        <v>2.75</v>
      </c>
      <c r="FF77" s="754" t="b">
        <f t="shared" si="160"/>
        <v>0</v>
      </c>
      <c r="FG77" s="754" t="b">
        <f t="shared" si="161"/>
        <v>0</v>
      </c>
      <c r="FH77" s="754" t="b">
        <f t="shared" si="162"/>
        <v>0</v>
      </c>
      <c r="FI77" s="754" t="b">
        <f t="shared" si="163"/>
        <v>0</v>
      </c>
      <c r="FJ77" s="920" t="str">
        <f t="shared" si="177"/>
        <v/>
      </c>
      <c r="FK77" s="919" t="str">
        <f t="shared" si="178"/>
        <v>G67</v>
      </c>
      <c r="FL77" s="320">
        <f t="shared" si="179"/>
        <v>714</v>
      </c>
      <c r="FM77" s="312" t="str">
        <f t="shared" si="164"/>
        <v/>
      </c>
      <c r="FN77" s="272">
        <f t="shared" ca="1" si="180"/>
        <v>96</v>
      </c>
      <c r="FO77" s="273">
        <f t="shared" ca="1" si="181"/>
        <v>6</v>
      </c>
      <c r="FP77" s="274">
        <f t="shared" ca="1" si="182"/>
        <v>96</v>
      </c>
      <c r="FQ77" s="274">
        <f t="shared" ca="1" si="183"/>
        <v>48</v>
      </c>
      <c r="FR77" s="321">
        <f t="shared" ca="1" si="184"/>
        <v>0</v>
      </c>
      <c r="FS77" s="322">
        <f t="shared" ca="1" si="185"/>
        <v>720</v>
      </c>
      <c r="FT77" s="272">
        <f t="shared" ca="1" si="186"/>
        <v>714</v>
      </c>
      <c r="FU77" s="275">
        <f t="shared" ca="1" si="187"/>
        <v>1</v>
      </c>
      <c r="FV77" s="323">
        <f t="shared" ca="1" si="165"/>
        <v>93</v>
      </c>
      <c r="FW77" s="276">
        <f t="shared" ca="1" si="188"/>
        <v>93</v>
      </c>
      <c r="FX77" s="276">
        <f t="shared" ca="1" si="189"/>
        <v>96</v>
      </c>
      <c r="FY77" s="276">
        <f t="shared" ca="1" si="190"/>
        <v>45</v>
      </c>
      <c r="FZ77" s="276">
        <f t="shared" ca="1" si="191"/>
        <v>45</v>
      </c>
      <c r="GA77" s="276">
        <f t="shared" ca="1" si="192"/>
        <v>714</v>
      </c>
      <c r="GB77" s="277">
        <f ca="1">IF(FY77="","",2+SUM(FO77:OFFSET(FO77,(FU77-1)*-1,0)))</f>
        <v>8</v>
      </c>
      <c r="GC77" s="316">
        <f t="shared" si="193"/>
        <v>-0.25</v>
      </c>
      <c r="GD77" s="324">
        <f t="shared" si="166"/>
        <v>1.75</v>
      </c>
      <c r="GE77" s="325" t="str">
        <f t="shared" si="167"/>
        <v/>
      </c>
      <c r="GF77" s="278" t="str">
        <f t="shared" si="168"/>
        <v>#7</v>
      </c>
      <c r="GG77" s="279">
        <f t="shared" si="169"/>
        <v>12</v>
      </c>
      <c r="GH77" s="279" t="str">
        <f t="shared" si="170"/>
        <v/>
      </c>
      <c r="GI77" s="280" t="str">
        <f t="shared" si="171"/>
        <v/>
      </c>
      <c r="GJ77" s="530">
        <f t="shared" ca="1" si="172"/>
        <v>0</v>
      </c>
      <c r="GK77" s="895" t="str">
        <f t="shared" ca="1" si="194"/>
        <v>B</v>
      </c>
    </row>
    <row r="78" spans="78:193" ht="12.6" hidden="1" customHeight="1" x14ac:dyDescent="0.2">
      <c r="BZ78" s="293"/>
      <c r="CA78" s="293"/>
      <c r="CB78" s="365" t="str">
        <f t="shared" si="100"/>
        <v>G68</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1"/>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2"/>
        <v>0</v>
      </c>
      <c r="CU78" s="1317">
        <f t="shared" si="103"/>
        <v>0</v>
      </c>
      <c r="CV78" s="1311">
        <f t="shared" si="104"/>
        <v>709</v>
      </c>
      <c r="CW78" s="1311">
        <f t="shared" si="105"/>
        <v>7.5</v>
      </c>
      <c r="CX78" s="1311">
        <f t="shared" si="106"/>
        <v>7.5</v>
      </c>
      <c r="CY78" s="1313">
        <f t="shared" si="107"/>
        <v>0</v>
      </c>
      <c r="CZ78" s="1313">
        <f t="shared" si="108"/>
        <v>9</v>
      </c>
      <c r="DA78" s="1313">
        <f t="shared" si="109"/>
        <v>9</v>
      </c>
      <c r="DB78" s="1311">
        <f t="shared" si="173"/>
        <v>8.75</v>
      </c>
      <c r="DC78" s="1311">
        <f t="shared" si="110"/>
        <v>2.75</v>
      </c>
      <c r="DD78" s="875">
        <f t="shared" si="174"/>
        <v>2.75</v>
      </c>
      <c r="DE78" s="873">
        <f t="shared" si="111"/>
        <v>0</v>
      </c>
      <c r="DF78" s="874">
        <f t="shared" si="112"/>
        <v>6</v>
      </c>
      <c r="DG78" s="874">
        <f t="shared" si="113"/>
        <v>6</v>
      </c>
      <c r="DH78" s="1311">
        <f t="shared" si="175"/>
        <v>5</v>
      </c>
      <c r="DI78" s="1311">
        <f t="shared" si="114"/>
        <v>0</v>
      </c>
      <c r="DJ78" s="1312">
        <f t="shared" si="176"/>
        <v>0</v>
      </c>
      <c r="DK78" s="1311">
        <f t="shared" si="115"/>
        <v>706.25</v>
      </c>
      <c r="DL78" s="1311">
        <f t="shared" si="116"/>
        <v>-7.5</v>
      </c>
      <c r="DM78" s="1311">
        <f t="shared" si="117"/>
        <v>7.25</v>
      </c>
      <c r="DN78" s="1311">
        <f t="shared" si="118"/>
        <v>7.25</v>
      </c>
      <c r="DO78" s="889">
        <f t="shared" si="119"/>
        <v>7.25</v>
      </c>
      <c r="DP78" s="889">
        <f t="shared" si="120"/>
        <v>7.25</v>
      </c>
      <c r="DQ78" s="1311">
        <f t="shared" si="121"/>
        <v>7.25</v>
      </c>
      <c r="DR78" s="1311">
        <f t="shared" si="121"/>
        <v>7.25</v>
      </c>
      <c r="DS78" s="1311">
        <f t="shared" si="122"/>
        <v>-4.5</v>
      </c>
      <c r="DT78" s="1311">
        <f t="shared" si="123"/>
        <v>3.5</v>
      </c>
      <c r="DU78" s="1311">
        <f t="shared" si="124"/>
        <v>3.5</v>
      </c>
      <c r="DV78" s="889">
        <f t="shared" si="125"/>
        <v>3.5</v>
      </c>
      <c r="DW78" s="889">
        <f t="shared" si="126"/>
        <v>3.5</v>
      </c>
      <c r="DX78" s="873">
        <f t="shared" si="195"/>
        <v>3.5</v>
      </c>
      <c r="DY78" s="873">
        <f t="shared" si="195"/>
        <v>3.5</v>
      </c>
      <c r="DZ78" s="873">
        <f t="shared" si="128"/>
        <v>7.75</v>
      </c>
      <c r="EA78" s="873">
        <f t="shared" si="129"/>
        <v>1</v>
      </c>
      <c r="EB78" s="876">
        <f t="shared" si="130"/>
        <v>5</v>
      </c>
      <c r="EC78" s="877">
        <f t="shared" si="131"/>
        <v>5</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f t="shared" si="143"/>
        <v>0</v>
      </c>
      <c r="EP78" s="874">
        <f t="shared" si="144"/>
        <v>0</v>
      </c>
      <c r="EQ78" s="874">
        <f t="shared" si="145"/>
        <v>0</v>
      </c>
      <c r="ER78" s="874">
        <f t="shared" si="146"/>
        <v>0</v>
      </c>
      <c r="ES78" s="874" t="str">
        <f t="shared" si="147"/>
        <v/>
      </c>
      <c r="ET78" s="873">
        <f t="shared" si="148"/>
        <v>0</v>
      </c>
      <c r="EU78" s="873">
        <f t="shared" si="149"/>
        <v>0</v>
      </c>
      <c r="EV78" s="876">
        <f t="shared" si="150"/>
        <v>6</v>
      </c>
      <c r="EW78" s="876">
        <f t="shared" si="151"/>
        <v>5</v>
      </c>
      <c r="EX78" s="878" t="e">
        <f t="shared" si="152"/>
        <v>#VALUE!</v>
      </c>
      <c r="EY78" s="879" t="e">
        <f t="shared" si="153"/>
        <v>#VALUE!</v>
      </c>
      <c r="EZ78" s="959" t="e">
        <f t="shared" si="154"/>
        <v>#VALUE!</v>
      </c>
      <c r="FA78" s="960" t="e">
        <f t="shared" si="155"/>
        <v>#VALUE!</v>
      </c>
      <c r="FB78" s="880">
        <f t="shared" si="156"/>
        <v>0</v>
      </c>
      <c r="FC78" s="881">
        <f t="shared" si="157"/>
        <v>0</v>
      </c>
      <c r="FD78" s="890">
        <f t="shared" si="158"/>
        <v>2.75</v>
      </c>
      <c r="FE78" s="833">
        <f t="shared" si="159"/>
        <v>0</v>
      </c>
      <c r="FF78" s="754" t="b">
        <f t="shared" si="160"/>
        <v>0</v>
      </c>
      <c r="FG78" s="754" t="b">
        <f t="shared" si="161"/>
        <v>0</v>
      </c>
      <c r="FH78" s="754" t="b">
        <f t="shared" si="162"/>
        <v>0</v>
      </c>
      <c r="FI78" s="754" t="b">
        <f t="shared" si="163"/>
        <v>0</v>
      </c>
      <c r="FJ78" s="920" t="str">
        <f t="shared" si="177"/>
        <v/>
      </c>
      <c r="FK78" s="919" t="str">
        <f t="shared" si="178"/>
        <v>G68</v>
      </c>
      <c r="FL78" s="320">
        <f t="shared" si="179"/>
        <v>706.25</v>
      </c>
      <c r="FM78" s="312" t="str">
        <f t="shared" si="164"/>
        <v/>
      </c>
      <c r="FN78" s="272">
        <f t="shared" ca="1" si="180"/>
        <v>48</v>
      </c>
      <c r="FO78" s="273">
        <f t="shared" ca="1" si="181"/>
        <v>6</v>
      </c>
      <c r="FP78" s="274">
        <f t="shared" ca="1" si="182"/>
        <v>96</v>
      </c>
      <c r="FQ78" s="274">
        <f t="shared" ca="1" si="183"/>
        <v>86.25</v>
      </c>
      <c r="FR78" s="321">
        <f t="shared" ca="1" si="184"/>
        <v>0</v>
      </c>
      <c r="FS78" s="322">
        <f t="shared" ca="1" si="185"/>
        <v>710.25</v>
      </c>
      <c r="FT78" s="272">
        <f t="shared" ca="1" si="186"/>
        <v>706.25</v>
      </c>
      <c r="FU78" s="275">
        <f t="shared" ca="1" si="187"/>
        <v>1</v>
      </c>
      <c r="FV78" s="323">
        <f t="shared" ca="1" si="165"/>
        <v>45</v>
      </c>
      <c r="FW78" s="276">
        <f t="shared" ca="1" si="188"/>
        <v>45</v>
      </c>
      <c r="FX78" s="276">
        <f t="shared" ca="1" si="189"/>
        <v>96</v>
      </c>
      <c r="FY78" s="276">
        <f t="shared" ca="1" si="190"/>
        <v>85.25</v>
      </c>
      <c r="FZ78" s="276">
        <f t="shared" ca="1" si="191"/>
        <v>85.25</v>
      </c>
      <c r="GA78" s="276">
        <f t="shared" ca="1" si="192"/>
        <v>706.25</v>
      </c>
      <c r="GB78" s="277">
        <f ca="1">IF(FY78="","",2+SUM(FO78:OFFSET(FO78,(FU78-1)*-1,0)))</f>
        <v>8</v>
      </c>
      <c r="GC78" s="316">
        <f t="shared" si="193"/>
        <v>-0.25</v>
      </c>
      <c r="GD78" s="324" t="str">
        <f t="shared" si="166"/>
        <v/>
      </c>
      <c r="GE78" s="325" t="str">
        <f t="shared" si="167"/>
        <v/>
      </c>
      <c r="GF78" s="278" t="str">
        <f t="shared" si="168"/>
        <v>#1</v>
      </c>
      <c r="GG78" s="279" t="str">
        <f t="shared" si="169"/>
        <v/>
      </c>
      <c r="GH78" s="279" t="str">
        <f t="shared" si="170"/>
        <v/>
      </c>
      <c r="GI78" s="280" t="str">
        <f t="shared" si="171"/>
        <v/>
      </c>
      <c r="GJ78" s="530">
        <f t="shared" ca="1" si="172"/>
        <v>0</v>
      </c>
      <c r="GK78" s="895" t="str">
        <f t="shared" ca="1" si="194"/>
        <v>A</v>
      </c>
    </row>
    <row r="79" spans="78:193" ht="12.6" hidden="1" customHeight="1" x14ac:dyDescent="0.2">
      <c r="BZ79" s="293"/>
      <c r="CA79" s="293"/>
      <c r="CB79" s="365" t="str">
        <f t="shared" si="100"/>
        <v>G69</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1"/>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2"/>
        <v>0</v>
      </c>
      <c r="CU79" s="1317">
        <f t="shared" si="103"/>
        <v>0</v>
      </c>
      <c r="CV79" s="1311">
        <f t="shared" si="104"/>
        <v>708.25</v>
      </c>
      <c r="CW79" s="1311">
        <f t="shared" si="105"/>
        <v>7.5</v>
      </c>
      <c r="CX79" s="1311">
        <f t="shared" si="106"/>
        <v>7.5</v>
      </c>
      <c r="CY79" s="1313">
        <f t="shared" si="107"/>
        <v>0</v>
      </c>
      <c r="CZ79" s="1313">
        <f t="shared" si="108"/>
        <v>9</v>
      </c>
      <c r="DA79" s="1313">
        <f t="shared" si="109"/>
        <v>9</v>
      </c>
      <c r="DB79" s="1311">
        <f t="shared" si="173"/>
        <v>8.75</v>
      </c>
      <c r="DC79" s="1311">
        <f t="shared" si="110"/>
        <v>2.75</v>
      </c>
      <c r="DD79" s="875">
        <f t="shared" si="174"/>
        <v>2.75</v>
      </c>
      <c r="DE79" s="873">
        <f t="shared" si="111"/>
        <v>0</v>
      </c>
      <c r="DF79" s="874">
        <f t="shared" si="112"/>
        <v>12</v>
      </c>
      <c r="DG79" s="874">
        <f t="shared" si="113"/>
        <v>12</v>
      </c>
      <c r="DH79" s="1311">
        <f t="shared" si="175"/>
        <v>5.5</v>
      </c>
      <c r="DI79" s="1311">
        <f t="shared" si="114"/>
        <v>0</v>
      </c>
      <c r="DJ79" s="1312">
        <f t="shared" si="176"/>
        <v>0</v>
      </c>
      <c r="DK79" s="1311">
        <f t="shared" si="115"/>
        <v>705.5</v>
      </c>
      <c r="DL79" s="1311">
        <f t="shared" si="116"/>
        <v>-7.5</v>
      </c>
      <c r="DM79" s="1311">
        <f t="shared" si="117"/>
        <v>7.25</v>
      </c>
      <c r="DN79" s="1311">
        <f t="shared" si="118"/>
        <v>7.25</v>
      </c>
      <c r="DO79" s="889">
        <f t="shared" si="119"/>
        <v>7.25</v>
      </c>
      <c r="DP79" s="889">
        <f t="shared" si="120"/>
        <v>7.25</v>
      </c>
      <c r="DQ79" s="1311">
        <f t="shared" si="121"/>
        <v>7.25</v>
      </c>
      <c r="DR79" s="1311">
        <f t="shared" si="121"/>
        <v>7.25</v>
      </c>
      <c r="DS79" s="1311">
        <f t="shared" si="122"/>
        <v>-9.5</v>
      </c>
      <c r="DT79" s="1311">
        <f t="shared" si="123"/>
        <v>3</v>
      </c>
      <c r="DU79" s="1311">
        <f t="shared" si="124"/>
        <v>3</v>
      </c>
      <c r="DV79" s="889">
        <f t="shared" si="125"/>
        <v>3</v>
      </c>
      <c r="DW79" s="889">
        <f t="shared" si="126"/>
        <v>3</v>
      </c>
      <c r="DX79" s="873">
        <f t="shared" si="195"/>
        <v>3</v>
      </c>
      <c r="DY79" s="873">
        <f t="shared" si="195"/>
        <v>3</v>
      </c>
      <c r="DZ79" s="873">
        <f t="shared" si="128"/>
        <v>7.75</v>
      </c>
      <c r="EA79" s="873">
        <f t="shared" si="129"/>
        <v>1.5</v>
      </c>
      <c r="EB79" s="876">
        <f t="shared" si="130"/>
        <v>5</v>
      </c>
      <c r="EC79" s="877">
        <f t="shared" si="131"/>
        <v>5</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f t="shared" si="143"/>
        <v>0</v>
      </c>
      <c r="EP79" s="874">
        <f t="shared" si="144"/>
        <v>0</v>
      </c>
      <c r="EQ79" s="874">
        <f t="shared" si="145"/>
        <v>0</v>
      </c>
      <c r="ER79" s="874">
        <f t="shared" si="146"/>
        <v>0</v>
      </c>
      <c r="ES79" s="874" t="str">
        <f t="shared" si="147"/>
        <v/>
      </c>
      <c r="ET79" s="873">
        <f t="shared" si="148"/>
        <v>0</v>
      </c>
      <c r="EU79" s="873">
        <f t="shared" si="149"/>
        <v>0</v>
      </c>
      <c r="EV79" s="876">
        <f t="shared" si="150"/>
        <v>6</v>
      </c>
      <c r="EW79" s="876">
        <f t="shared" si="151"/>
        <v>5.5</v>
      </c>
      <c r="EX79" s="878" t="e">
        <f t="shared" si="152"/>
        <v>#VALUE!</v>
      </c>
      <c r="EY79" s="879" t="e">
        <f t="shared" si="153"/>
        <v>#VALUE!</v>
      </c>
      <c r="EZ79" s="959" t="e">
        <f t="shared" si="154"/>
        <v>#VALUE!</v>
      </c>
      <c r="FA79" s="960" t="e">
        <f t="shared" si="155"/>
        <v>#VALUE!</v>
      </c>
      <c r="FB79" s="880">
        <f t="shared" si="156"/>
        <v>0</v>
      </c>
      <c r="FC79" s="881">
        <f t="shared" si="157"/>
        <v>0</v>
      </c>
      <c r="FD79" s="890">
        <f t="shared" si="158"/>
        <v>2.75</v>
      </c>
      <c r="FE79" s="833">
        <f t="shared" si="159"/>
        <v>0</v>
      </c>
      <c r="FF79" s="754" t="b">
        <f t="shared" si="160"/>
        <v>0</v>
      </c>
      <c r="FG79" s="754" t="b">
        <f t="shared" si="161"/>
        <v>0</v>
      </c>
      <c r="FH79" s="754" t="b">
        <f t="shared" si="162"/>
        <v>0</v>
      </c>
      <c r="FI79" s="754" t="b">
        <f t="shared" si="163"/>
        <v>0</v>
      </c>
      <c r="FJ79" s="920" t="str">
        <f t="shared" si="177"/>
        <v/>
      </c>
      <c r="FK79" s="919" t="str">
        <f t="shared" si="178"/>
        <v>G69</v>
      </c>
      <c r="FL79" s="320">
        <f t="shared" si="179"/>
        <v>705.5</v>
      </c>
      <c r="FM79" s="312" t="str">
        <f t="shared" si="164"/>
        <v/>
      </c>
      <c r="FN79" s="272">
        <f t="shared" ca="1" si="180"/>
        <v>48</v>
      </c>
      <c r="FO79" s="273">
        <f t="shared" ca="1" si="181"/>
        <v>6</v>
      </c>
      <c r="FP79" s="274">
        <f t="shared" ca="1" si="182"/>
        <v>96</v>
      </c>
      <c r="FQ79" s="274">
        <f t="shared" ca="1" si="183"/>
        <v>91</v>
      </c>
      <c r="FR79" s="321">
        <f t="shared" ca="1" si="184"/>
        <v>0</v>
      </c>
      <c r="FS79" s="322">
        <f t="shared" ca="1" si="185"/>
        <v>715</v>
      </c>
      <c r="FT79" s="272">
        <f t="shared" ca="1" si="186"/>
        <v>705.5</v>
      </c>
      <c r="FU79" s="275">
        <f t="shared" ca="1" si="187"/>
        <v>1</v>
      </c>
      <c r="FV79" s="323">
        <f t="shared" ca="1" si="165"/>
        <v>45</v>
      </c>
      <c r="FW79" s="276">
        <f t="shared" ca="1" si="188"/>
        <v>45</v>
      </c>
      <c r="FX79" s="276">
        <f t="shared" ca="1" si="189"/>
        <v>96</v>
      </c>
      <c r="FY79" s="276">
        <f t="shared" ca="1" si="190"/>
        <v>84.5</v>
      </c>
      <c r="FZ79" s="276">
        <f t="shared" ca="1" si="191"/>
        <v>84.5</v>
      </c>
      <c r="GA79" s="276">
        <f t="shared" ca="1" si="192"/>
        <v>705.5</v>
      </c>
      <c r="GB79" s="277">
        <f ca="1">IF(FY79="","",2+SUM(FO79:OFFSET(FO79,(FU79-1)*-1,0)))</f>
        <v>8</v>
      </c>
      <c r="GC79" s="316">
        <f t="shared" si="193"/>
        <v>-0.25</v>
      </c>
      <c r="GD79" s="324" t="str">
        <f t="shared" si="166"/>
        <v/>
      </c>
      <c r="GE79" s="325" t="str">
        <f t="shared" si="167"/>
        <v/>
      </c>
      <c r="GF79" s="278" t="str">
        <f t="shared" si="168"/>
        <v>#1</v>
      </c>
      <c r="GG79" s="279" t="str">
        <f t="shared" si="169"/>
        <v/>
      </c>
      <c r="GH79" s="279" t="str">
        <f t="shared" si="170"/>
        <v/>
      </c>
      <c r="GI79" s="280" t="str">
        <f t="shared" si="171"/>
        <v/>
      </c>
      <c r="GJ79" s="530">
        <f t="shared" ca="1" si="172"/>
        <v>0</v>
      </c>
      <c r="GK79" s="895" t="str">
        <f t="shared" ca="1" si="194"/>
        <v>A</v>
      </c>
    </row>
    <row r="80" spans="78:193" ht="12.6" hidden="1" customHeight="1" x14ac:dyDescent="0.2">
      <c r="BZ80" s="293"/>
      <c r="CA80" s="293"/>
      <c r="CB80" s="365" t="str">
        <f t="shared" si="100"/>
        <v>G70</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1"/>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2"/>
        <v>0</v>
      </c>
      <c r="CU80" s="1317">
        <f t="shared" si="103"/>
        <v>0</v>
      </c>
      <c r="CV80" s="1311">
        <f t="shared" si="104"/>
        <v>670.25</v>
      </c>
      <c r="CW80" s="1311">
        <f t="shared" si="105"/>
        <v>7.5</v>
      </c>
      <c r="CX80" s="1311">
        <f t="shared" si="106"/>
        <v>7.5</v>
      </c>
      <c r="CY80" s="1313">
        <f t="shared" si="107"/>
        <v>0</v>
      </c>
      <c r="CZ80" s="1313">
        <f t="shared" si="108"/>
        <v>9</v>
      </c>
      <c r="DA80" s="1313">
        <f t="shared" si="109"/>
        <v>9</v>
      </c>
      <c r="DB80" s="1311">
        <f t="shared" si="173"/>
        <v>8.75</v>
      </c>
      <c r="DC80" s="1311">
        <f t="shared" si="110"/>
        <v>2.75</v>
      </c>
      <c r="DD80" s="875">
        <f t="shared" si="174"/>
        <v>2.75</v>
      </c>
      <c r="DE80" s="873">
        <f t="shared" si="111"/>
        <v>0</v>
      </c>
      <c r="DF80" s="874">
        <f t="shared" si="112"/>
        <v>12</v>
      </c>
      <c r="DG80" s="874">
        <f t="shared" si="113"/>
        <v>12</v>
      </c>
      <c r="DH80" s="1311">
        <f t="shared" si="175"/>
        <v>5.5</v>
      </c>
      <c r="DI80" s="1311">
        <f t="shared" si="114"/>
        <v>0</v>
      </c>
      <c r="DJ80" s="1312">
        <f t="shared" si="176"/>
        <v>0</v>
      </c>
      <c r="DK80" s="1311">
        <f t="shared" si="115"/>
        <v>667.5</v>
      </c>
      <c r="DL80" s="1311">
        <f t="shared" si="116"/>
        <v>-7.5</v>
      </c>
      <c r="DM80" s="1311">
        <f t="shared" si="117"/>
        <v>7.25</v>
      </c>
      <c r="DN80" s="1311">
        <f t="shared" si="118"/>
        <v>7.25</v>
      </c>
      <c r="DO80" s="889">
        <f t="shared" si="119"/>
        <v>7.25</v>
      </c>
      <c r="DP80" s="889">
        <f t="shared" si="120"/>
        <v>7.25</v>
      </c>
      <c r="DQ80" s="1311">
        <f t="shared" si="121"/>
        <v>7.25</v>
      </c>
      <c r="DR80" s="1311">
        <f t="shared" si="121"/>
        <v>7.25</v>
      </c>
      <c r="DS80" s="1311">
        <f t="shared" si="122"/>
        <v>-9.5</v>
      </c>
      <c r="DT80" s="1311">
        <f t="shared" si="123"/>
        <v>3</v>
      </c>
      <c r="DU80" s="1311">
        <f t="shared" si="124"/>
        <v>3</v>
      </c>
      <c r="DV80" s="889">
        <f t="shared" si="125"/>
        <v>3</v>
      </c>
      <c r="DW80" s="889">
        <f t="shared" si="126"/>
        <v>3</v>
      </c>
      <c r="DX80" s="873">
        <f t="shared" si="195"/>
        <v>3</v>
      </c>
      <c r="DY80" s="873">
        <f t="shared" si="195"/>
        <v>3</v>
      </c>
      <c r="DZ80" s="873">
        <f t="shared" si="128"/>
        <v>7.75</v>
      </c>
      <c r="EA80" s="873">
        <f t="shared" si="129"/>
        <v>1.5</v>
      </c>
      <c r="EB80" s="876">
        <f t="shared" si="130"/>
        <v>5</v>
      </c>
      <c r="EC80" s="877">
        <f t="shared" si="131"/>
        <v>5</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f t="shared" si="143"/>
        <v>0</v>
      </c>
      <c r="EP80" s="874">
        <f t="shared" si="144"/>
        <v>0</v>
      </c>
      <c r="EQ80" s="874">
        <f t="shared" si="145"/>
        <v>0</v>
      </c>
      <c r="ER80" s="874">
        <f t="shared" si="146"/>
        <v>0</v>
      </c>
      <c r="ES80" s="874" t="str">
        <f t="shared" si="147"/>
        <v/>
      </c>
      <c r="ET80" s="873">
        <f t="shared" si="148"/>
        <v>0</v>
      </c>
      <c r="EU80" s="873">
        <f t="shared" si="149"/>
        <v>0</v>
      </c>
      <c r="EV80" s="876">
        <f t="shared" si="150"/>
        <v>6</v>
      </c>
      <c r="EW80" s="876">
        <f t="shared" si="151"/>
        <v>5.5</v>
      </c>
      <c r="EX80" s="878" t="e">
        <f t="shared" si="152"/>
        <v>#VALUE!</v>
      </c>
      <c r="EY80" s="879" t="e">
        <f t="shared" si="153"/>
        <v>#VALUE!</v>
      </c>
      <c r="EZ80" s="959" t="e">
        <f t="shared" si="154"/>
        <v>#VALUE!</v>
      </c>
      <c r="FA80" s="960" t="e">
        <f t="shared" si="155"/>
        <v>#VALUE!</v>
      </c>
      <c r="FB80" s="880">
        <f t="shared" si="156"/>
        <v>0</v>
      </c>
      <c r="FC80" s="881">
        <f t="shared" si="157"/>
        <v>0</v>
      </c>
      <c r="FD80" s="890">
        <f t="shared" si="158"/>
        <v>2.75</v>
      </c>
      <c r="FE80" s="833">
        <f t="shared" si="159"/>
        <v>0</v>
      </c>
      <c r="FF80" s="754" t="b">
        <f t="shared" si="160"/>
        <v>0</v>
      </c>
      <c r="FG80" s="754" t="b">
        <f t="shared" si="161"/>
        <v>0</v>
      </c>
      <c r="FH80" s="754" t="b">
        <f t="shared" si="162"/>
        <v>0</v>
      </c>
      <c r="FI80" s="754" t="b">
        <f t="shared" si="163"/>
        <v>0</v>
      </c>
      <c r="FJ80" s="920" t="str">
        <f t="shared" si="177"/>
        <v/>
      </c>
      <c r="FK80" s="919" t="str">
        <f t="shared" si="178"/>
        <v>G70</v>
      </c>
      <c r="FL80" s="320">
        <f t="shared" si="179"/>
        <v>667.5</v>
      </c>
      <c r="FM80" s="312" t="str">
        <f t="shared" si="164"/>
        <v/>
      </c>
      <c r="FN80" s="272">
        <f t="shared" ca="1" si="180"/>
        <v>96</v>
      </c>
      <c r="FO80" s="273">
        <f t="shared" ca="1" si="181"/>
        <v>5</v>
      </c>
      <c r="FP80" s="274">
        <f t="shared" ca="1" si="182"/>
        <v>96</v>
      </c>
      <c r="FQ80" s="274">
        <f t="shared" ca="1" si="183"/>
        <v>101</v>
      </c>
      <c r="FR80" s="321">
        <f t="shared" ca="1" si="184"/>
        <v>0</v>
      </c>
      <c r="FS80" s="322">
        <f t="shared" ca="1" si="185"/>
        <v>677</v>
      </c>
      <c r="FT80" s="272">
        <f t="shared" ca="1" si="186"/>
        <v>667.5</v>
      </c>
      <c r="FU80" s="275">
        <f t="shared" ca="1" si="187"/>
        <v>1</v>
      </c>
      <c r="FV80" s="323">
        <f t="shared" ca="1" si="165"/>
        <v>93</v>
      </c>
      <c r="FW80" s="276">
        <f t="shared" ca="1" si="188"/>
        <v>93</v>
      </c>
      <c r="FX80" s="276">
        <f t="shared" ca="1" si="189"/>
        <v>96</v>
      </c>
      <c r="FY80" s="276">
        <f t="shared" ca="1" si="190"/>
        <v>94.5</v>
      </c>
      <c r="FZ80" s="276">
        <f t="shared" ca="1" si="191"/>
        <v>94.5</v>
      </c>
      <c r="GA80" s="276">
        <f t="shared" ca="1" si="192"/>
        <v>667.5</v>
      </c>
      <c r="GB80" s="277">
        <f ca="1">IF(FY80="","",2+SUM(FO80:OFFSET(FO80,(FU80-1)*-1,0)))</f>
        <v>7</v>
      </c>
      <c r="GC80" s="316">
        <f t="shared" si="193"/>
        <v>-0.25</v>
      </c>
      <c r="GD80" s="324">
        <f t="shared" si="166"/>
        <v>1.75</v>
      </c>
      <c r="GE80" s="325" t="str">
        <f t="shared" si="167"/>
        <v/>
      </c>
      <c r="GF80" s="278">
        <f t="shared" si="168"/>
        <v>12</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1"/>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2"/>
        <v>0</v>
      </c>
      <c r="CU81" s="1317">
        <f t="shared" si="103"/>
        <v>0</v>
      </c>
      <c r="CV81" s="1311" t="str">
        <f t="shared" si="104"/>
        <v/>
      </c>
      <c r="CW81" s="1311" t="str">
        <f t="shared" si="105"/>
        <v/>
      </c>
      <c r="CX81" s="1311" t="str">
        <f t="shared" si="106"/>
        <v/>
      </c>
      <c r="CY81" s="1313">
        <f t="shared" si="107"/>
        <v>0</v>
      </c>
      <c r="CZ81" s="1313">
        <f t="shared" si="108"/>
        <v>0</v>
      </c>
      <c r="DA81" s="1313" t="str">
        <f t="shared" si="109"/>
        <v/>
      </c>
      <c r="DB81" s="1311" t="str">
        <f t="shared" si="173"/>
        <v/>
      </c>
      <c r="DC81" s="1311" t="str">
        <f t="shared" si="110"/>
        <v/>
      </c>
      <c r="DD81" s="875">
        <f t="shared" si="174"/>
        <v>0</v>
      </c>
      <c r="DE81" s="873">
        <f t="shared" si="111"/>
        <v>0</v>
      </c>
      <c r="DF81" s="874">
        <f t="shared" si="112"/>
        <v>0</v>
      </c>
      <c r="DG81" s="874" t="str">
        <f t="shared" si="113"/>
        <v/>
      </c>
      <c r="DH81" s="1311" t="str">
        <f t="shared" si="175"/>
        <v/>
      </c>
      <c r="DI81" s="1311" t="str">
        <f t="shared" si="114"/>
        <v/>
      </c>
      <c r="DJ81" s="1312">
        <f t="shared" si="176"/>
        <v>0</v>
      </c>
      <c r="DK81" s="1311" t="str">
        <f t="shared" si="115"/>
        <v/>
      </c>
      <c r="DL81" s="1311" t="str">
        <f t="shared" si="116"/>
        <v/>
      </c>
      <c r="DM81" s="1311" t="str">
        <f t="shared" si="117"/>
        <v/>
      </c>
      <c r="DN81" s="1311" t="str">
        <f t="shared" si="118"/>
        <v/>
      </c>
      <c r="DO81" s="889" t="str">
        <f t="shared" si="119"/>
        <v>ERR</v>
      </c>
      <c r="DP81" s="889" t="str">
        <f t="shared" si="120"/>
        <v>ERR</v>
      </c>
      <c r="DQ81" s="1311" t="str">
        <f t="shared" si="121"/>
        <v/>
      </c>
      <c r="DR81" s="1311" t="str">
        <f t="shared" si="121"/>
        <v/>
      </c>
      <c r="DS81" s="1311" t="str">
        <f t="shared" si="122"/>
        <v/>
      </c>
      <c r="DT81" s="1311" t="str">
        <f t="shared" si="123"/>
        <v/>
      </c>
      <c r="DU81" s="1311"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G70</v>
      </c>
      <c r="FL81" s="320">
        <f t="shared" si="179"/>
        <v>667.5</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f t="shared" si="193"/>
        <v>-0.25</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1"/>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2"/>
        <v>0</v>
      </c>
      <c r="CU82" s="1317">
        <f t="shared" si="103"/>
        <v>0</v>
      </c>
      <c r="CV82" s="1311" t="str">
        <f t="shared" si="104"/>
        <v/>
      </c>
      <c r="CW82" s="1311" t="str">
        <f t="shared" si="105"/>
        <v/>
      </c>
      <c r="CX82" s="1311" t="str">
        <f t="shared" si="106"/>
        <v/>
      </c>
      <c r="CY82" s="1313">
        <f t="shared" si="107"/>
        <v>0</v>
      </c>
      <c r="CZ82" s="1313">
        <f t="shared" si="108"/>
        <v>0</v>
      </c>
      <c r="DA82" s="1313" t="str">
        <f t="shared" si="109"/>
        <v/>
      </c>
      <c r="DB82" s="1311" t="str">
        <f t="shared" si="173"/>
        <v/>
      </c>
      <c r="DC82" s="1311" t="str">
        <f t="shared" si="110"/>
        <v/>
      </c>
      <c r="DD82" s="875">
        <f t="shared" si="174"/>
        <v>0</v>
      </c>
      <c r="DE82" s="873">
        <f t="shared" si="111"/>
        <v>0</v>
      </c>
      <c r="DF82" s="874">
        <f t="shared" si="112"/>
        <v>0</v>
      </c>
      <c r="DG82" s="874" t="str">
        <f t="shared" si="113"/>
        <v/>
      </c>
      <c r="DH82" s="1311" t="str">
        <f t="shared" si="175"/>
        <v/>
      </c>
      <c r="DI82" s="1311" t="str">
        <f t="shared" si="114"/>
        <v/>
      </c>
      <c r="DJ82" s="1312">
        <f t="shared" si="176"/>
        <v>0</v>
      </c>
      <c r="DK82" s="1311" t="str">
        <f t="shared" si="115"/>
        <v/>
      </c>
      <c r="DL82" s="1311" t="str">
        <f t="shared" si="116"/>
        <v/>
      </c>
      <c r="DM82" s="1311" t="str">
        <f t="shared" si="117"/>
        <v/>
      </c>
      <c r="DN82" s="1311" t="str">
        <f t="shared" si="118"/>
        <v/>
      </c>
      <c r="DO82" s="889" t="str">
        <f t="shared" si="119"/>
        <v>ERR</v>
      </c>
      <c r="DP82" s="889" t="str">
        <f t="shared" si="120"/>
        <v>ERR</v>
      </c>
      <c r="DQ82" s="1311" t="str">
        <f t="shared" si="121"/>
        <v/>
      </c>
      <c r="DR82" s="1311" t="str">
        <f t="shared" si="121"/>
        <v/>
      </c>
      <c r="DS82" s="1311" t="str">
        <f t="shared" si="122"/>
        <v/>
      </c>
      <c r="DT82" s="1311" t="str">
        <f t="shared" si="123"/>
        <v/>
      </c>
      <c r="DU82" s="1311"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G70</v>
      </c>
      <c r="FL82" s="320">
        <f t="shared" si="179"/>
        <v>667.5</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f t="shared" si="193"/>
        <v>-0.25</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1"/>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2"/>
        <v>0</v>
      </c>
      <c r="CU83" s="1317">
        <f t="shared" si="103"/>
        <v>0</v>
      </c>
      <c r="CV83" s="1311" t="str">
        <f t="shared" si="104"/>
        <v/>
      </c>
      <c r="CW83" s="1311" t="str">
        <f t="shared" si="105"/>
        <v/>
      </c>
      <c r="CX83" s="1311" t="str">
        <f t="shared" si="106"/>
        <v/>
      </c>
      <c r="CY83" s="1313">
        <f t="shared" si="107"/>
        <v>0</v>
      </c>
      <c r="CZ83" s="1313">
        <f t="shared" si="108"/>
        <v>0</v>
      </c>
      <c r="DA83" s="1313" t="str">
        <f t="shared" si="109"/>
        <v/>
      </c>
      <c r="DB83" s="1311" t="str">
        <f t="shared" si="173"/>
        <v/>
      </c>
      <c r="DC83" s="1311" t="str">
        <f t="shared" si="110"/>
        <v/>
      </c>
      <c r="DD83" s="875">
        <f t="shared" si="174"/>
        <v>0</v>
      </c>
      <c r="DE83" s="873">
        <f t="shared" si="111"/>
        <v>0</v>
      </c>
      <c r="DF83" s="874">
        <f t="shared" si="112"/>
        <v>0</v>
      </c>
      <c r="DG83" s="874" t="str">
        <f t="shared" si="113"/>
        <v/>
      </c>
      <c r="DH83" s="1311" t="str">
        <f t="shared" si="175"/>
        <v/>
      </c>
      <c r="DI83" s="1311" t="str">
        <f t="shared" si="114"/>
        <v/>
      </c>
      <c r="DJ83" s="1312">
        <f t="shared" si="176"/>
        <v>0</v>
      </c>
      <c r="DK83" s="1311" t="str">
        <f t="shared" si="115"/>
        <v/>
      </c>
      <c r="DL83" s="1311" t="str">
        <f t="shared" si="116"/>
        <v/>
      </c>
      <c r="DM83" s="1311" t="str">
        <f t="shared" si="117"/>
        <v/>
      </c>
      <c r="DN83" s="1311" t="str">
        <f t="shared" si="118"/>
        <v/>
      </c>
      <c r="DO83" s="889" t="str">
        <f t="shared" si="119"/>
        <v>ERR</v>
      </c>
      <c r="DP83" s="889" t="str">
        <f t="shared" si="120"/>
        <v>ERR</v>
      </c>
      <c r="DQ83" s="1311" t="str">
        <f t="shared" si="121"/>
        <v/>
      </c>
      <c r="DR83" s="1311" t="str">
        <f t="shared" si="121"/>
        <v/>
      </c>
      <c r="DS83" s="1311" t="str">
        <f t="shared" si="122"/>
        <v/>
      </c>
      <c r="DT83" s="1311" t="str">
        <f t="shared" si="123"/>
        <v/>
      </c>
      <c r="DU83" s="1311"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G70</v>
      </c>
      <c r="FL83" s="320">
        <f t="shared" si="179"/>
        <v>667.5</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f t="shared" si="193"/>
        <v>-0.25</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1"/>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2"/>
        <v>0</v>
      </c>
      <c r="CU84" s="1317">
        <f t="shared" si="103"/>
        <v>0</v>
      </c>
      <c r="CV84" s="1311" t="str">
        <f t="shared" si="104"/>
        <v/>
      </c>
      <c r="CW84" s="1311" t="str">
        <f t="shared" si="105"/>
        <v/>
      </c>
      <c r="CX84" s="1311" t="str">
        <f t="shared" si="106"/>
        <v/>
      </c>
      <c r="CY84" s="1313">
        <f t="shared" si="107"/>
        <v>0</v>
      </c>
      <c r="CZ84" s="1313">
        <f t="shared" si="108"/>
        <v>0</v>
      </c>
      <c r="DA84" s="1313" t="str">
        <f t="shared" si="109"/>
        <v/>
      </c>
      <c r="DB84" s="1311" t="str">
        <f t="shared" si="173"/>
        <v/>
      </c>
      <c r="DC84" s="1311" t="str">
        <f t="shared" si="110"/>
        <v/>
      </c>
      <c r="DD84" s="875">
        <f t="shared" si="174"/>
        <v>0</v>
      </c>
      <c r="DE84" s="873">
        <f t="shared" si="111"/>
        <v>0</v>
      </c>
      <c r="DF84" s="874">
        <f t="shared" si="112"/>
        <v>0</v>
      </c>
      <c r="DG84" s="874" t="str">
        <f t="shared" si="113"/>
        <v/>
      </c>
      <c r="DH84" s="1311" t="str">
        <f t="shared" si="175"/>
        <v/>
      </c>
      <c r="DI84" s="1311" t="str">
        <f t="shared" si="114"/>
        <v/>
      </c>
      <c r="DJ84" s="1312">
        <f t="shared" si="176"/>
        <v>0</v>
      </c>
      <c r="DK84" s="1311" t="str">
        <f t="shared" si="115"/>
        <v/>
      </c>
      <c r="DL84" s="1311" t="str">
        <f t="shared" si="116"/>
        <v/>
      </c>
      <c r="DM84" s="1311" t="str">
        <f t="shared" si="117"/>
        <v/>
      </c>
      <c r="DN84" s="1311" t="str">
        <f t="shared" si="118"/>
        <v/>
      </c>
      <c r="DO84" s="889" t="str">
        <f t="shared" si="119"/>
        <v>ERR</v>
      </c>
      <c r="DP84" s="889" t="str">
        <f t="shared" si="120"/>
        <v>ERR</v>
      </c>
      <c r="DQ84" s="1311" t="str">
        <f t="shared" si="121"/>
        <v/>
      </c>
      <c r="DR84" s="1311" t="str">
        <f t="shared" si="121"/>
        <v/>
      </c>
      <c r="DS84" s="1311" t="str">
        <f t="shared" si="122"/>
        <v/>
      </c>
      <c r="DT84" s="1311" t="str">
        <f t="shared" si="123"/>
        <v/>
      </c>
      <c r="DU84" s="1311"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G70</v>
      </c>
      <c r="FL84" s="320">
        <f t="shared" si="179"/>
        <v>667.5</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f t="shared" si="193"/>
        <v>-0.25</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1"/>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2"/>
        <v>0</v>
      </c>
      <c r="CU85" s="1317">
        <f t="shared" si="103"/>
        <v>0</v>
      </c>
      <c r="CV85" s="1311" t="str">
        <f t="shared" si="104"/>
        <v/>
      </c>
      <c r="CW85" s="1311" t="str">
        <f t="shared" si="105"/>
        <v/>
      </c>
      <c r="CX85" s="1311" t="str">
        <f t="shared" si="106"/>
        <v/>
      </c>
      <c r="CY85" s="1313">
        <f t="shared" si="107"/>
        <v>0</v>
      </c>
      <c r="CZ85" s="1313">
        <f t="shared" si="108"/>
        <v>0</v>
      </c>
      <c r="DA85" s="1313" t="str">
        <f t="shared" si="109"/>
        <v/>
      </c>
      <c r="DB85" s="1311" t="str">
        <f t="shared" si="173"/>
        <v/>
      </c>
      <c r="DC85" s="1311" t="str">
        <f t="shared" si="110"/>
        <v/>
      </c>
      <c r="DD85" s="875">
        <f t="shared" si="174"/>
        <v>0</v>
      </c>
      <c r="DE85" s="873">
        <f t="shared" si="111"/>
        <v>0</v>
      </c>
      <c r="DF85" s="874">
        <f t="shared" si="112"/>
        <v>0</v>
      </c>
      <c r="DG85" s="874" t="str">
        <f t="shared" si="113"/>
        <v/>
      </c>
      <c r="DH85" s="1311" t="str">
        <f t="shared" si="175"/>
        <v/>
      </c>
      <c r="DI85" s="1311" t="str">
        <f t="shared" si="114"/>
        <v/>
      </c>
      <c r="DJ85" s="1312">
        <f t="shared" si="176"/>
        <v>0</v>
      </c>
      <c r="DK85" s="1311" t="str">
        <f t="shared" si="115"/>
        <v/>
      </c>
      <c r="DL85" s="1311" t="str">
        <f t="shared" si="116"/>
        <v/>
      </c>
      <c r="DM85" s="1311" t="str">
        <f t="shared" si="117"/>
        <v/>
      </c>
      <c r="DN85" s="1311" t="str">
        <f t="shared" si="118"/>
        <v/>
      </c>
      <c r="DO85" s="889" t="str">
        <f t="shared" si="119"/>
        <v>ERR</v>
      </c>
      <c r="DP85" s="889" t="str">
        <f t="shared" si="120"/>
        <v>ERR</v>
      </c>
      <c r="DQ85" s="1311" t="str">
        <f t="shared" si="121"/>
        <v/>
      </c>
      <c r="DR85" s="1311" t="str">
        <f t="shared" si="121"/>
        <v/>
      </c>
      <c r="DS85" s="1311" t="str">
        <f t="shared" si="122"/>
        <v/>
      </c>
      <c r="DT85" s="1311" t="str">
        <f t="shared" si="123"/>
        <v/>
      </c>
      <c r="DU85" s="1311"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G70</v>
      </c>
      <c r="FL85" s="327">
        <f t="shared" si="179"/>
        <v>667.5</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f t="shared" si="193"/>
        <v>-0.25</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1"/>
      <c r="AA86" s="947"/>
      <c r="AB86" s="948"/>
    </row>
    <row r="87" spans="1:193" ht="15" hidden="1" customHeight="1" x14ac:dyDescent="0.25">
      <c r="A87" s="1215" t="str">
        <f>IF(ISBLANK(CB87),"",CB87)</f>
        <v/>
      </c>
      <c r="B87" s="1679" t="str">
        <f t="shared" ref="B87" si="196">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9BQSHEcthFOOUggTokegwtMFOMDVIoiRrgzUkg03lzUyU/t+KJgatcOx1j1VRxHG38NdFFpzMjiQpfR7sIP1NQ==" saltValue="tFSOI3qu2GH0gvnGQhthjA==" spinCount="100000" sheet="1" objects="1" scenarios="1" selectLockedCells="1"/>
  <mergeCells count="314">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IT12:IT13"/>
    <mergeCell ref="IU12:IU13"/>
    <mergeCell ref="IV12:IV13"/>
    <mergeCell ref="IW12:IW13"/>
    <mergeCell ref="IL12:IL13"/>
    <mergeCell ref="IM12:IM13"/>
    <mergeCell ref="IN12:IN13"/>
    <mergeCell ref="IO12:IO13"/>
    <mergeCell ref="IP12:IP13"/>
    <mergeCell ref="IQ12:IQ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GF12:GF13"/>
    <mergeCell ref="GG12:GH12"/>
    <mergeCell ref="GI12:GJ12"/>
    <mergeCell ref="GK12:GK13"/>
    <mergeCell ref="GL12:GL13"/>
    <mergeCell ref="GM12:GM13"/>
    <mergeCell ref="EN12:EP12"/>
    <mergeCell ref="EQ12:EQ13"/>
    <mergeCell ref="ER12:ES12"/>
    <mergeCell ref="GA12:GB12"/>
    <mergeCell ref="GC12:GD12"/>
    <mergeCell ref="GE12:GE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DL12:DL13"/>
    <mergeCell ref="DM12:DN13"/>
    <mergeCell ref="DQ12:DQ13"/>
    <mergeCell ref="DS12:DS13"/>
    <mergeCell ref="DT12:DU12"/>
    <mergeCell ref="DV12:DW12"/>
    <mergeCell ref="CX12:CZ12"/>
    <mergeCell ref="DA12:DA13"/>
    <mergeCell ref="DD12:DD13"/>
    <mergeCell ref="DE12:DE13"/>
    <mergeCell ref="DI12:DI13"/>
    <mergeCell ref="DJ12:D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S12:W12"/>
    <mergeCell ref="X12:Y12"/>
    <mergeCell ref="AA12:AA13"/>
    <mergeCell ref="B12:B13"/>
    <mergeCell ref="C12:C13"/>
    <mergeCell ref="D12:E13"/>
    <mergeCell ref="F12:F13"/>
    <mergeCell ref="G12:I12"/>
    <mergeCell ref="J12:L12"/>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s>
  <conditionalFormatting sqref="FQ54:FR85">
    <cfRule type="cellIs" dxfId="547" priority="58" stopIfTrue="1" operator="lessThan">
      <formula>0</formula>
    </cfRule>
  </conditionalFormatting>
  <conditionalFormatting sqref="DI14">
    <cfRule type="expression" dxfId="546" priority="48">
      <formula>UPPER(#REF!)="X"</formula>
    </cfRule>
  </conditionalFormatting>
  <conditionalFormatting sqref="DJ14">
    <cfRule type="expression" dxfId="545" priority="59">
      <formula>OR(UPPER(#REF!)="X",UPPER(#REF!="X"))</formula>
    </cfRule>
  </conditionalFormatting>
  <conditionalFormatting sqref="DK14">
    <cfRule type="expression" dxfId="544" priority="60">
      <formula>OR(UPPER(#REF!)="X",UPPER(#REF!="X"))</formula>
    </cfRule>
  </conditionalFormatting>
  <conditionalFormatting sqref="Q2:T4 AU2:AX4">
    <cfRule type="cellIs" dxfId="543" priority="62" stopIfTrue="1" operator="equal">
      <formula>""</formula>
    </cfRule>
  </conditionalFormatting>
  <conditionalFormatting sqref="DM54:DM85">
    <cfRule type="cellIs" dxfId="542" priority="57" stopIfTrue="1" operator="notEqual">
      <formula>DN54</formula>
    </cfRule>
  </conditionalFormatting>
  <conditionalFormatting sqref="DT54:DT85">
    <cfRule type="cellIs" dxfId="541" priority="56" stopIfTrue="1" operator="notEqual">
      <formula>DU54</formula>
    </cfRule>
  </conditionalFormatting>
  <conditionalFormatting sqref="DA4">
    <cfRule type="expression" dxfId="540" priority="55" stopIfTrue="1">
      <formula>NOT(ISBLANK($DA$4))</formula>
    </cfRule>
  </conditionalFormatting>
  <conditionalFormatting sqref="M7">
    <cfRule type="expression" dxfId="539" priority="53" stopIfTrue="1">
      <formula>OR(ISBLANK($M$7),$M$7="")</formula>
    </cfRule>
    <cfRule type="expression" dxfId="538" priority="54" stopIfTrue="1">
      <formula>NOT(OR(COUNTIF(masterFinishList, $M$7) &gt; 0, COUNTIF($M$7, "Other:*") &gt; 0))</formula>
    </cfRule>
  </conditionalFormatting>
  <conditionalFormatting sqref="A14:B45 A87:B87">
    <cfRule type="expression" dxfId="537" priority="40" stopIfTrue="1">
      <formula>AND(NOT($BK$1),$B14=0,OR($BJ$1="",$BJ$1="M"))</formula>
    </cfRule>
  </conditionalFormatting>
  <conditionalFormatting sqref="C14:C45">
    <cfRule type="expression" dxfId="536" priority="46">
      <formula>AND(NOT($BK14),NOT(BR14))</formula>
    </cfRule>
  </conditionalFormatting>
  <conditionalFormatting sqref="U14:U45">
    <cfRule type="expression" dxfId="535" priority="51">
      <formula>AND(NOT($BK14),BV14="No")</formula>
    </cfRule>
  </conditionalFormatting>
  <conditionalFormatting sqref="V14:V45">
    <cfRule type="expression" dxfId="534" priority="52">
      <formula>AND(NOT($BK14),BV14="No")</formula>
    </cfRule>
  </conditionalFormatting>
  <conditionalFormatting sqref="S14:S45">
    <cfRule type="expression" dxfId="533" priority="49">
      <formula>AND(NOT($BK14),BT14="No")</formula>
    </cfRule>
  </conditionalFormatting>
  <conditionalFormatting sqref="T14:T45">
    <cfRule type="expression" dxfId="532" priority="50">
      <formula>AND(NOT($BK14),BT14="No")</formula>
    </cfRule>
  </conditionalFormatting>
  <conditionalFormatting sqref="W14:W45">
    <cfRule type="expression" dxfId="531" priority="36">
      <formula>$W14=0</formula>
    </cfRule>
  </conditionalFormatting>
  <conditionalFormatting sqref="DI15:DI45">
    <cfRule type="expression" dxfId="530" priority="61">
      <formula>FM54="X"</formula>
    </cfRule>
  </conditionalFormatting>
  <conditionalFormatting sqref="DJ15:DJ45">
    <cfRule type="expression" dxfId="529" priority="63">
      <formula>FM54="X"</formula>
    </cfRule>
  </conditionalFormatting>
  <conditionalFormatting sqref="DK15:DK45">
    <cfRule type="expression" dxfId="528" priority="64">
      <formula>FM54="X"</formula>
    </cfRule>
  </conditionalFormatting>
  <conditionalFormatting sqref="DT14:DU45">
    <cfRule type="expression" dxfId="527" priority="65">
      <formula>GD54=0</formula>
    </cfRule>
  </conditionalFormatting>
  <conditionalFormatting sqref="DH14:DH45">
    <cfRule type="expression" dxfId="526" priority="15">
      <formula>NOT($FQ14)</formula>
    </cfRule>
    <cfRule type="expression" dxfId="525" priority="66">
      <formula>FJ54="G"</formula>
    </cfRule>
  </conditionalFormatting>
  <conditionalFormatting sqref="DM14:DN45">
    <cfRule type="expression" dxfId="524" priority="67">
      <formula>FIND("B",$GK54)</formula>
    </cfRule>
  </conditionalFormatting>
  <conditionalFormatting sqref="DJ14:DK45">
    <cfRule type="expression" dxfId="523" priority="68">
      <formula>FIND("A",$GK54)</formula>
    </cfRule>
  </conditionalFormatting>
  <conditionalFormatting sqref="DL14:DL45">
    <cfRule type="expression" dxfId="522" priority="3">
      <formula>AND(NOT(ISBLANK($DH14)),ISBLANK($DL14))</formula>
    </cfRule>
    <cfRule type="expression" dxfId="521" priority="47">
      <formula>FIND("B",$GK54)</formula>
    </cfRule>
  </conditionalFormatting>
  <conditionalFormatting sqref="DI14:DI45">
    <cfRule type="expression" dxfId="520" priority="69">
      <formula>NOT($EY14)</formula>
    </cfRule>
  </conditionalFormatting>
  <conditionalFormatting sqref="DQ14:DQ45">
    <cfRule type="expression" dxfId="519" priority="39">
      <formula>DQ14&lt;&gt;EZ14</formula>
    </cfRule>
  </conditionalFormatting>
  <conditionalFormatting sqref="AD87:AE87 AD14:AE45">
    <cfRule type="expression" dxfId="518" priority="43">
      <formula>AND(NOT($BZ14),FIND("A",$GK54))</formula>
    </cfRule>
  </conditionalFormatting>
  <conditionalFormatting sqref="AI87:AJ87 AI14:AJ45">
    <cfRule type="expression" dxfId="517" priority="44">
      <formula>AND(NOT($BZ14),FIND("B",$GK54))</formula>
    </cfRule>
  </conditionalFormatting>
  <conditionalFormatting sqref="AC14:AC45">
    <cfRule type="expression" dxfId="516" priority="45">
      <formula>AND(NOT($BZ14),NOT($EY14))</formula>
    </cfRule>
  </conditionalFormatting>
  <conditionalFormatting sqref="AM14:AM45">
    <cfRule type="expression" dxfId="515" priority="41">
      <formula>AND(NOT($BZ14),AM14&lt;&gt;EZ14)</formula>
    </cfRule>
  </conditionalFormatting>
  <conditionalFormatting sqref="FF14:FF45">
    <cfRule type="expression" dxfId="514" priority="42">
      <formula>$FC14=0</formula>
    </cfRule>
  </conditionalFormatting>
  <conditionalFormatting sqref="AD14:AJ45">
    <cfRule type="expression" dxfId="513" priority="38">
      <formula>AND(NOT($BZ14),NOT($FA14))</formula>
    </cfRule>
  </conditionalFormatting>
  <conditionalFormatting sqref="DB14:DC45">
    <cfRule type="expression" dxfId="512" priority="37">
      <formula>AND(NOT($BK14),LEN($Z14)&gt;27)</formula>
    </cfRule>
  </conditionalFormatting>
  <conditionalFormatting sqref="C87">
    <cfRule type="expression" dxfId="511" priority="30" stopIfTrue="1">
      <formula>AND(NOT($BK87),NOT(BR87))</formula>
    </cfRule>
  </conditionalFormatting>
  <conditionalFormatting sqref="U87">
    <cfRule type="expression" dxfId="510" priority="34" stopIfTrue="1">
      <formula>AND(NOT($BK87),BV87="No")</formula>
    </cfRule>
  </conditionalFormatting>
  <conditionalFormatting sqref="V87">
    <cfRule type="expression" dxfId="509" priority="35" stopIfTrue="1">
      <formula>AND(NOT($BK87),BV87="No")</formula>
    </cfRule>
  </conditionalFormatting>
  <conditionalFormatting sqref="S87">
    <cfRule type="expression" dxfId="508" priority="32" stopIfTrue="1">
      <formula>AND(NOT($BK87),BT87="No")</formula>
    </cfRule>
  </conditionalFormatting>
  <conditionalFormatting sqref="T87">
    <cfRule type="expression" dxfId="507" priority="33" stopIfTrue="1">
      <formula>AND(NOT($BK87),BT87="No")</formula>
    </cfRule>
  </conditionalFormatting>
  <conditionalFormatting sqref="W87">
    <cfRule type="expression" dxfId="506" priority="22">
      <formula>$W87=0</formula>
    </cfRule>
  </conditionalFormatting>
  <conditionalFormatting sqref="AR87:AS87 AR14:AS45">
    <cfRule type="expression" dxfId="505" priority="25">
      <formula>AND(NOT($BZ14),$FF54)</formula>
    </cfRule>
  </conditionalFormatting>
  <conditionalFormatting sqref="AV87:AW87 AV14:AW45">
    <cfRule type="expression" dxfId="504" priority="26">
      <formula>AND(NOT($BZ14),$FG54)</formula>
    </cfRule>
  </conditionalFormatting>
  <conditionalFormatting sqref="AZ87:BA87 AZ14:BA45">
    <cfRule type="expression" dxfId="503" priority="27">
      <formula>AND(NOT($BZ14),$FH54)</formula>
    </cfRule>
  </conditionalFormatting>
  <conditionalFormatting sqref="BD87:BE87 BD14:BE45">
    <cfRule type="expression" dxfId="502" priority="28">
      <formula>AND(NOT($BZ14),$FI54)</formula>
    </cfRule>
  </conditionalFormatting>
  <conditionalFormatting sqref="AC87">
    <cfRule type="expression" dxfId="501" priority="29">
      <formula>AND(NOT($BZ87),NOT($EY87))</formula>
    </cfRule>
  </conditionalFormatting>
  <conditionalFormatting sqref="AM87">
    <cfRule type="expression" dxfId="500" priority="24">
      <formula>AND(NOT($BZ87),AM87&lt;&gt;EZ87)</formula>
    </cfRule>
  </conditionalFormatting>
  <conditionalFormatting sqref="AD87:AJ87">
    <cfRule type="expression" dxfId="499" priority="23">
      <formula>AND(NOT($BZ87),NOT($FA87))</formula>
    </cfRule>
  </conditionalFormatting>
  <conditionalFormatting sqref="AA87 A87:Y87">
    <cfRule type="expression" dxfId="498" priority="31">
      <formula>$BI87</formula>
    </cfRule>
  </conditionalFormatting>
  <conditionalFormatting sqref="AB87:BG87">
    <cfRule type="expression" dxfId="497" priority="21">
      <formula>$CA87</formula>
    </cfRule>
  </conditionalFormatting>
  <conditionalFormatting sqref="CD14:CD45">
    <cfRule type="expression" dxfId="496" priority="16">
      <formula>AND(NOT($BK14),NOT($BR14))</formula>
    </cfRule>
  </conditionalFormatting>
  <conditionalFormatting sqref="DD14:DD45">
    <cfRule type="cellIs" dxfId="495" priority="17" operator="greaterThan">
      <formula>EY54</formula>
    </cfRule>
    <cfRule type="expression" dxfId="494" priority="18">
      <formula>AND(ISBLANK(DD14),EY54&gt;0)</formula>
    </cfRule>
  </conditionalFormatting>
  <conditionalFormatting sqref="DE14:DE45">
    <cfRule type="cellIs" dxfId="493" priority="19" operator="lessThan">
      <formula>EX54</formula>
    </cfRule>
    <cfRule type="expression" dxfId="492" priority="20">
      <formula>AND(ISBLANK(DE14),EX54&lt;&gt;"")</formula>
    </cfRule>
  </conditionalFormatting>
  <conditionalFormatting sqref="AB14:AO45 DH14:EK45 BF14:BG45">
    <cfRule type="expression" dxfId="491" priority="70">
      <formula>$FP14</formula>
    </cfRule>
  </conditionalFormatting>
  <conditionalFormatting sqref="A14:Y45 AA14:AA45 DA14:DE45 CB14:CY45">
    <cfRule type="expression" dxfId="490" priority="71">
      <formula>$FN14</formula>
    </cfRule>
  </conditionalFormatting>
  <conditionalFormatting sqref="AB14:AB45">
    <cfRule type="expression" dxfId="489" priority="14">
      <formula>NOT($FQ14)</formula>
    </cfRule>
  </conditionalFormatting>
  <conditionalFormatting sqref="CB14:CB45">
    <cfRule type="expression" dxfId="488" priority="4">
      <formula>NOT($FO14)</formula>
    </cfRule>
  </conditionalFormatting>
  <conditionalFormatting sqref="A14:A45">
    <cfRule type="expression" dxfId="487" priority="12">
      <formula>NOT($FO14)</formula>
    </cfRule>
  </conditionalFormatting>
  <conditionalFormatting sqref="CZ14:CZ45">
    <cfRule type="expression" dxfId="486" priority="11">
      <formula>$FN14</formula>
    </cfRule>
  </conditionalFormatting>
  <conditionalFormatting sqref="Z87">
    <cfRule type="expression" dxfId="485" priority="9">
      <formula>$FN87</formula>
    </cfRule>
  </conditionalFormatting>
  <conditionalFormatting sqref="Z87">
    <cfRule type="expression" dxfId="484" priority="10">
      <formula>AND(NOT($BK87),LEN($Z87)&gt;27)</formula>
    </cfRule>
  </conditionalFormatting>
  <conditionalFormatting sqref="Z14:Z45">
    <cfRule type="expression" dxfId="483" priority="7">
      <formula>$FN14</formula>
    </cfRule>
  </conditionalFormatting>
  <conditionalFormatting sqref="Z14:Z45">
    <cfRule type="expression" dxfId="482" priority="8">
      <formula>AND(NOT($BK14),LEN($Z14)&gt;27)</formula>
    </cfRule>
  </conditionalFormatting>
  <conditionalFormatting sqref="AP14:AQ45">
    <cfRule type="expression" dxfId="481" priority="6">
      <formula>$FP14</formula>
    </cfRule>
  </conditionalFormatting>
  <conditionalFormatting sqref="AR14:BE45">
    <cfRule type="expression" dxfId="480" priority="5">
      <formula>$FP14</formula>
    </cfRule>
  </conditionalFormatting>
  <conditionalFormatting sqref="CB14:CC45">
    <cfRule type="expression" dxfId="479" priority="13">
      <formula>AND(NOT($BK$1),$B14=0,OR($BJ$1="",$BJ$1="M"))</formula>
    </cfRule>
  </conditionalFormatting>
  <conditionalFormatting sqref="CJ14:CJ45">
    <cfRule type="expression" dxfId="478" priority="72">
      <formula>AND(NOT($BK14),OR($CC54="M",$CC54="C",$CC54="G"))</formula>
    </cfRule>
    <cfRule type="expression" dxfId="477" priority="73">
      <formula>AND(NOT($BK14),AND(OR($CC54="B",$CC54="G"),CJ14="",CK14=""))</formula>
    </cfRule>
    <cfRule type="expression" dxfId="476" priority="74">
      <formula>AND(NOT($BK14),EG54="ERR")</formula>
    </cfRule>
  </conditionalFormatting>
  <conditionalFormatting sqref="CK14:CK45">
    <cfRule type="expression" dxfId="475" priority="75">
      <formula>AND(NOT($BK14),OR($CC54="M",$CC54="C",$CC54="G"))</formula>
    </cfRule>
    <cfRule type="expression" dxfId="474" priority="76">
      <formula>AND(NOT($BK14),AND(OR($CC54="B",$CC54="G"),CJ14="",CK14=""))</formula>
    </cfRule>
    <cfRule type="expression" dxfId="473" priority="77">
      <formula>AND(NOT($BK14),EG54="ERR")</formula>
    </cfRule>
  </conditionalFormatting>
  <conditionalFormatting sqref="CH14:CH45">
    <cfRule type="expression" dxfId="472" priority="78">
      <formula>AND(NOT($BK14),OR($CC54="M",$CC54="C"))</formula>
    </cfRule>
    <cfRule type="expression" dxfId="471" priority="79">
      <formula>AND(NOT($BK14),AND(CH14="",CI14="",OR($CC54="B",$CC54="G")))</formula>
    </cfRule>
    <cfRule type="expression" dxfId="470" priority="80">
      <formula>AND(NOT($BK14),(CH14/2)/COS(RADIANS(CL14))+CD54-DC54&lt;$FB$4)</formula>
    </cfRule>
  </conditionalFormatting>
  <conditionalFormatting sqref="CI14:CI45">
    <cfRule type="expression" dxfId="469" priority="81">
      <formula>AND(NOT($BK14),OR($CC54="M",$CC54="C"))</formula>
    </cfRule>
    <cfRule type="expression" dxfId="468" priority="82">
      <formula>AND(NOT($BK14),AND(CH14="",CI14="",OR($CC54="B",$CC54="G")))</formula>
    </cfRule>
    <cfRule type="expression" dxfId="467" priority="83">
      <formula>AND(NOT($BK14),(CI14/2)/COS(RADIANS(CL14))+CD54-DC54&lt;$FB$4)</formula>
    </cfRule>
  </conditionalFormatting>
  <conditionalFormatting sqref="CT14:CT45">
    <cfRule type="expression" dxfId="466" priority="84">
      <formula>AND(NOT($BK14),OR($CL54="M",$CL54="C",$CL54="G"))</formula>
    </cfRule>
    <cfRule type="expression" dxfId="465" priority="85">
      <formula>AND(NOT($BK14),AND(OR($CL54="B",$CL54="G"),CT14="",CU14=""))</formula>
    </cfRule>
    <cfRule type="expression" dxfId="464" priority="86">
      <formula>AND(NOT($BK14),EJ54="ERR")</formula>
    </cfRule>
  </conditionalFormatting>
  <conditionalFormatting sqref="CU14:CU45">
    <cfRule type="expression" dxfId="463" priority="87">
      <formula>AND(NOT($BK14),OR($CL54="M",$CL54="C",$CL54="G"))</formula>
    </cfRule>
    <cfRule type="expression" dxfId="462" priority="88">
      <formula>AND(NOT($BK14),AND(OR($CL54="B",$CL54="G"),CT14="",CU14=""))</formula>
    </cfRule>
    <cfRule type="expression" dxfId="461" priority="89">
      <formula>AND(NOT($BK14),EJ54="ERR")</formula>
    </cfRule>
  </conditionalFormatting>
  <conditionalFormatting sqref="CR14:CR45">
    <cfRule type="expression" dxfId="460" priority="90">
      <formula>AND(NOT($BK14),OR($CL54="M",$CL54="C"))</formula>
    </cfRule>
    <cfRule type="expression" dxfId="459" priority="91">
      <formula>AND(NOT($BK14),AND(CR14="",CS14="",OR($CL54="B",$CL54="G")))</formula>
    </cfRule>
    <cfRule type="expression" dxfId="458" priority="92">
      <formula>AND(NOT($BK14),(CR14/2)/COS(RADIANS(CV14))+CM54-DI54&lt;$FB$4)</formula>
    </cfRule>
  </conditionalFormatting>
  <conditionalFormatting sqref="CS14:CS45">
    <cfRule type="expression" dxfId="457" priority="93">
      <formula>AND(NOT($BK14),OR($CL54="M",$CL54="C"))</formula>
    </cfRule>
    <cfRule type="expression" dxfId="456" priority="94">
      <formula>AND(NOT($BK14),AND(CR14="",CS14="",OR($CL54="B",$CL54="G")))</formula>
    </cfRule>
    <cfRule type="expression" dxfId="455" priority="95">
      <formula>AND(NOT($BK14),(CS14/2)/COS(RADIANS(CV14))+CM54-DI54&lt;$FB$4)</formula>
    </cfRule>
  </conditionalFormatting>
  <conditionalFormatting sqref="CW14:CW45 CM14:CM45">
    <cfRule type="expression" dxfId="454" priority="96">
      <formula>AND(NOT($BK14),AND(ISBLANK(CM14),AND(NOT(ISBLANK(CL14)),$DA14&lt;&gt;0)))</formula>
    </cfRule>
  </conditionalFormatting>
  <conditionalFormatting sqref="GA48:GB48">
    <cfRule type="expression" dxfId="453" priority="2" stopIfTrue="1">
      <formula>$GM50&gt;=0.125</formula>
    </cfRule>
  </conditionalFormatting>
  <conditionalFormatting sqref="CO14:CO45">
    <cfRule type="expression" dxfId="452" priority="97">
      <formula>ET14&lt;&gt;""</formula>
    </cfRule>
  </conditionalFormatting>
  <conditionalFormatting sqref="CY14:CY45">
    <cfRule type="expression" dxfId="451" priority="98">
      <formula>EU14&lt;&gt;""</formula>
    </cfRule>
  </conditionalFormatting>
  <conditionalFormatting sqref="CG14:CG45">
    <cfRule type="expression" dxfId="450" priority="99">
      <formula>AND(NOT($BK14),ISERROR(CC54))</formula>
    </cfRule>
    <cfRule type="expression" dxfId="449" priority="100">
      <formula>AND(NOT($BK14),OR(ISERROR(CC54),CC54="", ET14&lt;&gt;""))</formula>
    </cfRule>
  </conditionalFormatting>
  <conditionalFormatting sqref="CQ14:CQ45">
    <cfRule type="expression" dxfId="448" priority="101">
      <formula>AND(NOT($BK14),ISERROR(CL54))</formula>
    </cfRule>
    <cfRule type="expression" dxfId="447" priority="102">
      <formula>AND(NOT($BK14),OR(CL54="", EU14&lt;&gt;""))</formula>
    </cfRule>
  </conditionalFormatting>
  <conditionalFormatting sqref="DC14:DC45">
    <cfRule type="expression" dxfId="446" priority="103">
      <formula>OR(EN14&lt;&gt;"",EO14&lt;&gt;"",EP14&lt;&gt;"",EQ14&lt;&gt;"",ER14&lt;&gt;"",ES14&lt;&gt;"",ET14&lt;&gt;"",EU14&lt;&gt;"")</formula>
    </cfRule>
  </conditionalFormatting>
  <conditionalFormatting sqref="B87">
    <cfRule type="expression" dxfId="445" priority="1">
      <formula>$FN87</formula>
    </cfRule>
  </conditionalFormatting>
  <conditionalFormatting sqref="GA14:GB45">
    <cfRule type="expression" dxfId="444" priority="104" stopIfTrue="1">
      <formula xml:space="preserve"> $GM14 &gt;= 0.125</formula>
    </cfRule>
  </conditionalFormatting>
  <dataValidations disablePrompts="1" count="21">
    <dataValidation type="decimal" allowBlank="1" showInputMessage="1" showErrorMessage="1" error="Load must be blank or a number." sqref="DO14:DO45" xr:uid="{B9085A78-C3E4-4EBB-8014-8E34E34CD730}">
      <formula1>0</formula1>
      <formula2>99</formula2>
    </dataValidation>
    <dataValidation type="whole" operator="greaterThan" allowBlank="1" showInputMessage="1" showErrorMessage="1" errorTitle="Quantity Error" error="Value must be an integer greater than -1000." sqref="B14:B45 CC14:CC45" xr:uid="{46ECF136-DACD-490D-958C-A689AB266B75}">
      <formula1>-1001</formula1>
    </dataValidation>
    <dataValidation type="whole" operator="notBetween" allowBlank="1" showInputMessage="1" showErrorMessage="1" sqref="B87" xr:uid="{7F341F4B-464D-416D-838A-D412824B1597}">
      <formula1>-10001</formula1>
      <formula2>-10000</formula2>
    </dataValidation>
    <dataValidation type="decimal" operator="greaterThan" allowBlank="1" showInputMessage="1" showErrorMessage="1" errorTitle="Input Error" error="Positive Numeric Values Only!" sqref="CP14:CP45 CZ14:CZ45" xr:uid="{3296EA0A-CA70-46D3-94AA-80C623DD652F}">
      <formula1>0</formula1>
    </dataValidation>
    <dataValidation type="decimal" allowBlank="1" showInputMessage="1" showErrorMessage="1" errorTitle="Input Error" error="Numbers from 0&quot; to 11 7/8&quot; only!" sqref="GB15" xr:uid="{A4CC2A5F-5599-4CB6-8ACE-36FB46EF421E}">
      <formula1>0</formula1>
      <formula2>11.875</formula2>
    </dataValidation>
    <dataValidation type="decimal" allowBlank="1" showInputMessage="1" showErrorMessage="1" errorTitle="Input Error" error="Positive numbers from 0&quot; to 11 7/8&quot; only!" sqref="GB14 GB16:GB45 GB48" xr:uid="{0FD68C76-6052-4304-9977-E660B91EB4FC}">
      <formula1>0</formula1>
      <formula2>11.875</formula2>
    </dataValidation>
    <dataValidation type="whole" operator="greaterThanOrEqual" allowBlank="1" showInputMessage="1" showErrorMessage="1" errorTitle="Input Error" error="Positive Integers Only!" sqref="GA14:GA45 GA48" xr:uid="{721E9363-58F4-4702-B328-E60F3B1D449B}">
      <formula1>0</formula1>
    </dataValidation>
    <dataValidation type="decimal" allowBlank="1" showInputMessage="1" showErrorMessage="1" errorTitle="Input Error" error="Numeric Values Only!" sqref="GC14:GD45 GC48:GD48 CN14:CN45 CX14:CX45" xr:uid="{97A2F633-5C0D-44FD-A09E-9334F4DBA880}">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A1CA74DC-CD7B-43C4-9E51-9F83DDA02331}">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DCD229E-C19C-477F-A904-18B5510929A1}">
      <formula1>9</formula1>
      <formula2>17</formula2>
    </dataValidation>
    <dataValidation type="decimal" operator="greaterThanOrEqual" allowBlank="1" showInputMessage="1" showErrorMessage="1" errorTitle="Input Error" error="Enter a numeric value greater than 1/2&quot;." sqref="AP14:AQ45" xr:uid="{4C4E30B3-CE14-424B-9F78-E17ABFD9E0D2}">
      <formula1>0.75</formula1>
    </dataValidation>
    <dataValidation type="decimal" operator="lessThanOrEqual" allowBlank="1" showInputMessage="1" showErrorMessage="1" errorTitle="BL Over-Ride Error!" error="Base Length can't be past Girder Overall Length!  See section for Maximum Over-Ride Dimension." sqref="CO14:CO45" xr:uid="{418CD448-7659-4DA8-A849-6BD265798035}">
      <formula1>$CD54</formula1>
    </dataValidation>
    <dataValidation type="decimal" operator="lessThanOrEqual" allowBlank="1" showInputMessage="1" showErrorMessage="1" errorTitle="BL Over-Ride Error!" error="Base Length can't be past Girder Overall Length!  See section for Maximum Over-Ride Dimension." sqref="CY14:CY45" xr:uid="{19359023-56A0-48AB-8E9C-ED0F3D4AD26F}">
      <formula1>$CM54</formula1>
    </dataValidation>
    <dataValidation type="decimal" operator="greaterThan" allowBlank="1" showInputMessage="1" showErrorMessage="1" errorTitle="Dimensional Error" error="Only positive numeric values permitted here." sqref="M14:N45 M87:N87" xr:uid="{FACD6DEF-ACB5-41FE-A7C5-0E4017BE9704}">
      <formula1>0</formula1>
    </dataValidation>
    <dataValidation type="decimal" operator="notEqual" allowBlank="1" showInputMessage="1" showErrorMessage="1" errorTitle="Input Error" error="Enter + or - Numbers Only._x000a_Do NOT use &quot;&lt;&quot; or &quot;&gt;&quot;." sqref="X14:Y45 X87:Y87" xr:uid="{A0F3F672-7E09-4C1F-9C51-D09C3E87F443}">
      <formula1>0</formula1>
    </dataValidation>
    <dataValidation type="decimal" operator="greaterThanOrEqual" allowBlank="1" showInputMessage="1" showErrorMessage="1" errorTitle="Dimensional Error" error="&quot;Inches&quot; must be a number." sqref="CH14:CK45 CR14:CU45" xr:uid="{9D8D39F5-FEE8-4D82-B2D2-224EECEBED7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7F67D6B6-63B4-40F4-BE26-415A4B2EF9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C1A1927F-80BC-42FF-9F99-DC303E31C4DC}">
      <formula1>IF(ISERROR(INT(AR14)),AR14="P",INT(AR14)=AR14)</formula1>
    </dataValidation>
    <dataValidation type="whole" operator="greaterThanOrEqual" allowBlank="1" showErrorMessage="1" errorTitle="Error" error="&quot;Number of Panels&quot; can only be whole numbers." sqref="DL14:DL45 AF87 AF14:AF45" xr:uid="{176E6CCC-765F-4364-A0DA-ED6A0E37117B}">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D5262641-1FF2-4ED6-A92A-30A3CABEA335}">
      <formula1>0</formula1>
    </dataValidation>
    <dataValidation type="list" allowBlank="1" showInputMessage="1" sqref="M7:S7 DA4:DB4" xr:uid="{83F55AD0-6F5B-42E2-9720-AFA3D4BCEFDC}">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014B8-B992-4D05-A922-254EE7B5724D}">
  <sheetPr codeName="Sheet36">
    <tabColor indexed="42"/>
  </sheetPr>
  <dimension ref="A1:AAD111"/>
  <sheetViews>
    <sheetView showGridLines="0" topLeftCell="CN6" zoomScale="166" zoomScaleNormal="166" zoomScaleSheetLayoutView="75" workbookViewId="0">
      <selection activeCell="GG15" sqref="GG1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02" t="str">
        <f>IF(BJ1="","",VLOOKUP(BJ1,'Job Info.'!X:AA,4,FALSE))</f>
        <v>Master</v>
      </c>
      <c r="R1" s="1802"/>
      <c r="S1" s="1802"/>
      <c r="T1" s="1802"/>
      <c r="U1" s="382"/>
      <c r="V1" s="375"/>
      <c r="W1" s="2117" t="s">
        <v>95</v>
      </c>
      <c r="X1" s="2117"/>
      <c r="Y1" s="2117"/>
      <c r="Z1" s="1099" t="s">
        <v>91</v>
      </c>
      <c r="AA1" s="374"/>
      <c r="AB1" s="382"/>
      <c r="AC1" s="382"/>
      <c r="AD1" s="382"/>
      <c r="AE1" s="382"/>
      <c r="AF1" s="382"/>
      <c r="AG1" s="382"/>
      <c r="AH1" s="382"/>
      <c r="AI1" s="382"/>
      <c r="AJ1" s="382"/>
      <c r="AK1" s="382"/>
      <c r="AL1" s="382"/>
      <c r="AM1" s="382"/>
      <c r="AN1" s="382"/>
      <c r="AO1" s="382"/>
      <c r="AP1" s="382"/>
      <c r="AQ1" s="374"/>
      <c r="AR1" s="382"/>
      <c r="AS1" s="382"/>
      <c r="AT1" s="382"/>
      <c r="AU1" s="1802" t="str">
        <f>Q1</f>
        <v>Master</v>
      </c>
      <c r="AV1" s="1802"/>
      <c r="AW1" s="1802"/>
      <c r="AX1" s="1802"/>
      <c r="AY1" s="382"/>
      <c r="AZ1" s="382"/>
      <c r="BA1" s="2117" t="s">
        <v>95</v>
      </c>
      <c r="BB1" s="2117"/>
      <c r="BC1" s="2117"/>
      <c r="BD1" s="1805" t="str">
        <f ca="1">'Job Info.'!D12</f>
        <v>775-428-0600</v>
      </c>
      <c r="BE1" s="1805"/>
      <c r="BF1" s="180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07" t="str">
        <f>IF(BJ1="","",IF(VLOOKUP(BJ1,'Job Info.'!X:Z,2,FALSE),"Released for Fabrication",""))</f>
        <v/>
      </c>
      <c r="R2" s="1808"/>
      <c r="S2" s="1808"/>
      <c r="T2" s="1809"/>
      <c r="U2" s="382"/>
      <c r="V2" s="375"/>
      <c r="W2" s="2117" t="s">
        <v>96</v>
      </c>
      <c r="X2" s="2117"/>
      <c r="Y2" s="2117"/>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07" t="str">
        <f>Q2</f>
        <v/>
      </c>
      <c r="AV2" s="1808"/>
      <c r="AW2" s="1808"/>
      <c r="AX2" s="1809"/>
      <c r="AY2" s="382"/>
      <c r="AZ2" s="382"/>
      <c r="BA2" s="2117" t="s">
        <v>96</v>
      </c>
      <c r="BB2" s="2117"/>
      <c r="BC2" s="2117"/>
      <c r="BD2" s="1805" t="str">
        <f ca="1">'Job Info.'!D13</f>
        <v>775-867-2140</v>
      </c>
      <c r="BE2" s="1805"/>
      <c r="BF2" s="180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10"/>
      <c r="R3" s="1811"/>
      <c r="S3" s="1811"/>
      <c r="T3" s="1812"/>
      <c r="U3" s="382"/>
      <c r="V3" s="375"/>
      <c r="W3" s="2117" t="s">
        <v>98</v>
      </c>
      <c r="X3" s="2117"/>
      <c r="Y3" s="2117"/>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10"/>
      <c r="AV3" s="1811"/>
      <c r="AW3" s="1811"/>
      <c r="AX3" s="1812"/>
      <c r="AY3" s="382"/>
      <c r="AZ3" s="382"/>
      <c r="BA3" s="2117" t="s">
        <v>98</v>
      </c>
      <c r="BB3" s="2117"/>
      <c r="BC3" s="2117"/>
      <c r="BD3" s="1805" t="str">
        <f ca="1">'Job Info.'!D14</f>
        <v>775-867-2169</v>
      </c>
      <c r="BE3" s="1805"/>
      <c r="BF3" s="180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66" t="s">
        <v>1107</v>
      </c>
      <c r="FH3" s="2167"/>
      <c r="FI3" s="2168"/>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13" t="str">
        <f>IF(BJ1="","",IF(VLOOKUP(BJ1,'Job Info.'!X:Z,2,FALSE),VLOOKUP(BJ1,'Job Info.'!X:Z,3,FALSE),""))</f>
        <v/>
      </c>
      <c r="R4" s="1814"/>
      <c r="S4" s="1814"/>
      <c r="T4" s="1815"/>
      <c r="U4" s="374"/>
      <c r="V4" s="375"/>
      <c r="W4" s="2117" t="s">
        <v>97</v>
      </c>
      <c r="X4" s="2117"/>
      <c r="Y4" s="2117"/>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13" t="str">
        <f>Q4</f>
        <v/>
      </c>
      <c r="AV4" s="2261"/>
      <c r="AW4" s="2261"/>
      <c r="AX4" s="2262"/>
      <c r="AY4" s="382"/>
      <c r="AZ4" s="382"/>
      <c r="BA4" s="2117" t="s">
        <v>97</v>
      </c>
      <c r="BB4" s="2117"/>
      <c r="BC4" s="2117"/>
      <c r="BD4" s="1805" t="str">
        <f ca="1">'Job Info.'!D15</f>
        <v>775-867-2060</v>
      </c>
      <c r="BE4" s="1805"/>
      <c r="BF4" s="180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13" t="s">
        <v>1389</v>
      </c>
      <c r="DB4" s="221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126" t="str">
        <f ca="1">'Job Info.'!D11</f>
        <v>8200 Woolery Way | Fallon, NV 89406 | www.newmill.com</v>
      </c>
      <c r="B5" s="2127"/>
      <c r="C5" s="2127"/>
      <c r="D5" s="2127"/>
      <c r="E5" s="2127"/>
      <c r="F5" s="2127"/>
      <c r="G5" s="2127"/>
      <c r="H5" s="2127"/>
      <c r="I5" s="2127"/>
      <c r="J5" s="2127"/>
      <c r="K5" s="2127"/>
      <c r="L5" s="2127"/>
      <c r="M5" s="374"/>
      <c r="N5" s="374"/>
      <c r="O5" s="374"/>
      <c r="P5" s="374"/>
      <c r="Q5" s="374"/>
      <c r="R5" s="374"/>
      <c r="S5" s="374"/>
      <c r="T5" s="374"/>
      <c r="U5" s="374"/>
      <c r="V5" s="374"/>
      <c r="W5" s="374"/>
      <c r="X5" s="374"/>
      <c r="Y5" s="1089"/>
      <c r="Z5" s="1089"/>
      <c r="AA5" s="374"/>
      <c r="AB5" s="2118" t="str">
        <f ca="1">'Job Info.'!D11</f>
        <v>8200 Woolery Way | Fallon, NV 89406 | www.newmill.com</v>
      </c>
      <c r="AC5" s="2260"/>
      <c r="AD5" s="2260"/>
      <c r="AE5" s="2260"/>
      <c r="AF5" s="2260"/>
      <c r="AG5" s="2260"/>
      <c r="AH5" s="2260"/>
      <c r="AI5" s="2260"/>
      <c r="AJ5" s="2260"/>
      <c r="AK5" s="2260"/>
      <c r="AL5" s="2260"/>
      <c r="AM5" s="2260"/>
      <c r="AN5" s="2260"/>
      <c r="AO5" s="2260"/>
      <c r="AP5" s="2260"/>
      <c r="AQ5" s="2260"/>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129" t="str">
        <f>IF(NOT(ISERROR(FIND("galv",LOWER($M$7)))),"**USE STEEL TAGS**  **NO A490 BOLTS**","")</f>
        <v/>
      </c>
      <c r="N6" s="1971"/>
      <c r="O6" s="1971"/>
      <c r="P6" s="1971"/>
      <c r="Q6" s="1971"/>
      <c r="R6" s="1971"/>
      <c r="S6" s="1971"/>
      <c r="T6" s="1971"/>
      <c r="U6" s="1092"/>
      <c r="V6" s="2125" t="s">
        <v>20</v>
      </c>
      <c r="W6" s="2125"/>
      <c r="X6" s="1799">
        <f>IF(ISBLANK('Job Info.'!D8),"",'Job Info.'!D8)</f>
        <v>44909</v>
      </c>
      <c r="Y6" s="179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25" t="s">
        <v>20</v>
      </c>
      <c r="BA6" s="2125"/>
      <c r="BB6" s="1799">
        <f>X6</f>
        <v>44909</v>
      </c>
      <c r="BC6" s="1799"/>
      <c r="BD6" s="179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3" t="s">
        <v>639</v>
      </c>
      <c r="DI6" s="2157"/>
      <c r="DJ6" s="2157"/>
      <c r="DK6" s="2157"/>
      <c r="DL6" s="2157"/>
      <c r="DM6" s="2157"/>
      <c r="DN6" s="2157"/>
      <c r="DO6" s="2157"/>
      <c r="DP6" s="2157"/>
      <c r="DQ6" s="2157"/>
      <c r="DR6" s="2157"/>
      <c r="DS6" s="2157"/>
      <c r="DT6" s="2157"/>
      <c r="DU6" s="2157"/>
      <c r="DV6" s="2157"/>
      <c r="DW6" s="2157"/>
      <c r="DX6" s="2157"/>
      <c r="DY6" s="2157"/>
      <c r="DZ6" s="2157"/>
      <c r="EA6" s="2157"/>
      <c r="EB6" s="2157"/>
      <c r="EC6" s="2157"/>
      <c r="ED6" s="2157"/>
      <c r="EE6" s="2157"/>
      <c r="EF6" s="2157"/>
      <c r="EG6" s="2157"/>
      <c r="EH6" s="2157"/>
      <c r="EI6" s="2157"/>
      <c r="EJ6" s="2157"/>
      <c r="EK6" s="2158"/>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125" t="s">
        <v>26</v>
      </c>
      <c r="L7" s="2134"/>
      <c r="M7" s="2746" t="str">
        <f>IF(ISBLANK(DA4),"",DA4)</f>
        <v>Gray Primer</v>
      </c>
      <c r="N7" s="2747"/>
      <c r="O7" s="2747"/>
      <c r="P7" s="2747"/>
      <c r="Q7" s="2747"/>
      <c r="R7" s="2747"/>
      <c r="S7" s="2747"/>
      <c r="T7"/>
      <c r="U7" s="1092"/>
      <c r="V7" s="2125" t="s">
        <v>21</v>
      </c>
      <c r="W7" s="2125"/>
      <c r="X7" s="1176" t="str">
        <f>CONCATENATE(BI7, " of ",IF(ISBLANK('Job Info.'!D9),"",'Job Info.'!D9))</f>
        <v>21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25" t="s">
        <v>21</v>
      </c>
      <c r="BA7" s="2125"/>
      <c r="BB7" s="1100" t="str">
        <f>CONCATENATE(IF(ISBLANK(BI7),"",BI7+1), " of ",IF(ISBLANK('Job Info.'!D9),"",'Job Info.'!D9))</f>
        <v>22 of 28</v>
      </c>
      <c r="BC7" s="658"/>
      <c r="BD7" s="658"/>
      <c r="BE7" s="374"/>
      <c r="BF7" s="374"/>
      <c r="BG7" s="374"/>
      <c r="BH7" s="261"/>
      <c r="BI7" s="1083">
        <v>21</v>
      </c>
      <c r="CA7" s="246"/>
      <c r="CB7" s="2155" t="s">
        <v>638</v>
      </c>
      <c r="CC7" s="2191"/>
      <c r="CD7" s="2191"/>
      <c r="CE7" s="2191"/>
      <c r="CF7" s="2191"/>
      <c r="CG7" s="2191"/>
      <c r="CH7" s="2191"/>
      <c r="CI7" s="2191"/>
      <c r="CJ7" s="2191"/>
      <c r="CK7" s="2191"/>
      <c r="CL7" s="2191"/>
      <c r="CM7" s="2191"/>
      <c r="CN7" s="2191"/>
      <c r="CO7" s="2191"/>
      <c r="CP7" s="2191"/>
      <c r="CQ7" s="2191"/>
      <c r="CR7" s="2191"/>
      <c r="CS7" s="2191"/>
      <c r="CT7" s="2191"/>
      <c r="CU7" s="2191"/>
      <c r="CV7" s="2191"/>
      <c r="CW7" s="2191"/>
      <c r="CX7" s="2191"/>
      <c r="CY7" s="2191"/>
      <c r="CZ7" s="2157"/>
      <c r="DA7" s="2157"/>
      <c r="DB7" s="2157"/>
      <c r="DC7" s="2157"/>
      <c r="DD7" s="2157"/>
      <c r="DE7" s="2158"/>
      <c r="DF7" s="244"/>
      <c r="DG7" s="244"/>
      <c r="DH7" s="2234"/>
      <c r="DI7" s="1971"/>
      <c r="DJ7" s="1971"/>
      <c r="DK7" s="1971"/>
      <c r="DL7" s="1971"/>
      <c r="DM7" s="1971"/>
      <c r="DN7" s="1971"/>
      <c r="DO7" s="1971"/>
      <c r="DP7" s="1971"/>
      <c r="DQ7" s="1971"/>
      <c r="DR7" s="1971"/>
      <c r="DS7" s="1971"/>
      <c r="DT7" s="1971"/>
      <c r="DU7" s="1971"/>
      <c r="DV7" s="1971"/>
      <c r="DW7" s="1971"/>
      <c r="DX7" s="1971"/>
      <c r="DY7" s="1971"/>
      <c r="DZ7" s="1971"/>
      <c r="EA7" s="1971"/>
      <c r="EB7" s="1971"/>
      <c r="EC7" s="1971"/>
      <c r="ED7" s="1971"/>
      <c r="EE7" s="1971"/>
      <c r="EF7" s="1971"/>
      <c r="EG7" s="1971"/>
      <c r="EH7" s="1971"/>
      <c r="EI7" s="1971"/>
      <c r="EJ7" s="1971"/>
      <c r="EK7" s="2161"/>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57"/>
      <c r="B8" s="2257"/>
      <c r="C8" s="2257"/>
      <c r="D8" s="2257"/>
      <c r="E8" s="2257"/>
      <c r="F8" s="2257"/>
      <c r="G8" s="2257"/>
      <c r="H8" s="2257"/>
      <c r="I8" s="2257"/>
      <c r="J8" s="2257"/>
      <c r="K8" s="2257"/>
      <c r="L8" s="2257"/>
      <c r="M8" s="2257"/>
      <c r="N8" s="2257"/>
      <c r="O8" s="2257"/>
      <c r="P8" s="2257"/>
      <c r="Q8" s="2257"/>
      <c r="R8" s="2257"/>
      <c r="S8" s="2257"/>
      <c r="T8" s="2257"/>
      <c r="U8" s="2257"/>
      <c r="V8" s="2257"/>
      <c r="W8" s="2257"/>
      <c r="X8" s="2257"/>
      <c r="Y8" s="2257"/>
      <c r="Z8" s="2257"/>
      <c r="AA8" s="2257"/>
      <c r="AB8" s="2124"/>
      <c r="AC8" s="2124"/>
      <c r="AD8" s="2124"/>
      <c r="AE8" s="2124"/>
      <c r="AF8" s="2124"/>
      <c r="AG8" s="2124"/>
      <c r="AH8" s="2124"/>
      <c r="AI8" s="2124"/>
      <c r="AJ8" s="2124"/>
      <c r="AK8" s="2124"/>
      <c r="AL8" s="2124"/>
      <c r="AM8" s="2124"/>
      <c r="AN8" s="2124"/>
      <c r="AO8" s="2124"/>
      <c r="AP8" s="2124"/>
      <c r="AQ8" s="2124"/>
      <c r="AR8" s="2124"/>
      <c r="AS8" s="2124"/>
      <c r="AT8" s="2124"/>
      <c r="AU8" s="2124"/>
      <c r="AV8" s="2124"/>
      <c r="AW8" s="2124"/>
      <c r="AX8" s="2124"/>
      <c r="AY8" s="2124"/>
      <c r="AZ8" s="2124"/>
      <c r="BA8" s="2124"/>
      <c r="BB8" s="2124"/>
      <c r="BC8" s="2124"/>
      <c r="BD8" s="2124"/>
      <c r="BE8" s="2124"/>
      <c r="BF8" s="2124"/>
      <c r="BG8" s="2124"/>
      <c r="BH8" s="261"/>
      <c r="BI8" s="245"/>
      <c r="CA8" s="246"/>
      <c r="CB8" s="2193"/>
      <c r="CC8" s="2194"/>
      <c r="CD8" s="2194"/>
      <c r="CE8" s="2194"/>
      <c r="CF8" s="2194"/>
      <c r="CG8" s="2194"/>
      <c r="CH8" s="2194"/>
      <c r="CI8" s="2194"/>
      <c r="CJ8" s="2194"/>
      <c r="CK8" s="2194"/>
      <c r="CL8" s="2194"/>
      <c r="CM8" s="2194"/>
      <c r="CN8" s="2194"/>
      <c r="CO8" s="2194"/>
      <c r="CP8" s="2194"/>
      <c r="CQ8" s="2194"/>
      <c r="CR8" s="2194"/>
      <c r="CS8" s="2194"/>
      <c r="CT8" s="2194"/>
      <c r="CU8" s="2194"/>
      <c r="CV8" s="2194"/>
      <c r="CW8" s="2194"/>
      <c r="CX8" s="2194"/>
      <c r="CY8" s="2194"/>
      <c r="CZ8" s="1971"/>
      <c r="DA8" s="1971"/>
      <c r="DB8" s="1971"/>
      <c r="DC8" s="1971"/>
      <c r="DD8" s="1971"/>
      <c r="DE8" s="2161"/>
      <c r="DF8" s="141"/>
      <c r="DG8" s="141"/>
      <c r="DH8" s="2264"/>
      <c r="DI8" s="2231"/>
      <c r="DJ8" s="2231"/>
      <c r="DK8" s="2231"/>
      <c r="DL8" s="2231"/>
      <c r="DM8" s="2231"/>
      <c r="DN8" s="2231"/>
      <c r="DO8" s="2231"/>
      <c r="DP8" s="2231"/>
      <c r="DQ8" s="2231"/>
      <c r="DR8" s="2231"/>
      <c r="DS8" s="2231"/>
      <c r="DT8" s="2231"/>
      <c r="DU8" s="2231"/>
      <c r="DV8" s="2231"/>
      <c r="DW8" s="2231"/>
      <c r="DX8" s="2231"/>
      <c r="DY8" s="2231"/>
      <c r="DZ8" s="2231"/>
      <c r="EA8" s="2231"/>
      <c r="EB8" s="2231"/>
      <c r="EC8" s="2231"/>
      <c r="ED8" s="2231"/>
      <c r="EE8" s="2231"/>
      <c r="EF8" s="2231"/>
      <c r="EG8" s="2231"/>
      <c r="EH8" s="2231"/>
      <c r="EI8" s="2231"/>
      <c r="EJ8" s="2231"/>
      <c r="EK8" s="2232"/>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78" t="s">
        <v>1</v>
      </c>
      <c r="B9" s="1847"/>
      <c r="C9" s="1796" t="str">
        <f>IF(ISBLANK('Job Info.'!D3),"",'Job Info.'!D3)</f>
        <v>SUNCAP CHEYENNE&amp;COMMERCE BLDG A&amp;B PP</v>
      </c>
      <c r="D9" s="1796"/>
      <c r="E9" s="1796"/>
      <c r="F9" s="1796"/>
      <c r="G9" s="1796"/>
      <c r="H9" s="1796"/>
      <c r="I9" s="1796"/>
      <c r="J9" s="1796"/>
      <c r="K9" s="1796"/>
      <c r="L9" s="1796"/>
      <c r="M9" s="1796"/>
      <c r="N9" s="1796"/>
      <c r="O9" s="1796"/>
      <c r="P9" s="1797"/>
      <c r="Q9" s="1878" t="s">
        <v>2</v>
      </c>
      <c r="R9" s="1847"/>
      <c r="S9" s="1847"/>
      <c r="T9" s="1797" t="str">
        <f>IF(ISBLANK('Job Info.'!D5),"",'Job Info.'!D5)</f>
        <v>9122-0050</v>
      </c>
      <c r="U9" s="2119"/>
      <c r="V9" s="2119"/>
      <c r="W9" s="2119"/>
      <c r="X9" s="2119"/>
      <c r="Y9" s="2119"/>
      <c r="Z9" s="2119"/>
      <c r="AA9" s="2119"/>
      <c r="AB9" s="2133" t="s">
        <v>1</v>
      </c>
      <c r="AC9" s="2258"/>
      <c r="AD9" s="2259"/>
      <c r="AE9" s="1796" t="str">
        <f>C9</f>
        <v>SUNCAP CHEYENNE&amp;COMMERCE BLDG A&amp;B PP</v>
      </c>
      <c r="AF9" s="1796"/>
      <c r="AG9" s="1796"/>
      <c r="AH9" s="1796"/>
      <c r="AI9" s="1796"/>
      <c r="AJ9" s="1796"/>
      <c r="AK9" s="1796"/>
      <c r="AL9" s="1796"/>
      <c r="AM9" s="1796"/>
      <c r="AN9" s="1796"/>
      <c r="AO9" s="1796"/>
      <c r="AP9" s="1796"/>
      <c r="AQ9" s="1796"/>
      <c r="AR9" s="1796"/>
      <c r="AS9" s="1796"/>
      <c r="AT9" s="1797"/>
      <c r="AU9" s="1878" t="s">
        <v>2</v>
      </c>
      <c r="AV9" s="1847"/>
      <c r="AW9" s="1847"/>
      <c r="AX9" s="1797" t="str">
        <f>T9</f>
        <v>9122-0050</v>
      </c>
      <c r="AY9" s="2119"/>
      <c r="AZ9" s="2119"/>
      <c r="BA9" s="2119"/>
      <c r="BB9" s="2119"/>
      <c r="BC9" s="2119"/>
      <c r="BD9" s="2119"/>
      <c r="BE9" s="2119"/>
      <c r="BF9" s="2119"/>
      <c r="BG9" s="2119"/>
      <c r="BH9" s="1417"/>
      <c r="BI9" s="245"/>
      <c r="CA9" s="246"/>
      <c r="CB9" s="2193"/>
      <c r="CC9" s="2194"/>
      <c r="CD9" s="2194"/>
      <c r="CE9" s="2194"/>
      <c r="CF9" s="2194"/>
      <c r="CG9" s="2194"/>
      <c r="CH9" s="2194"/>
      <c r="CI9" s="2194"/>
      <c r="CJ9" s="2194"/>
      <c r="CK9" s="2194"/>
      <c r="CL9" s="2194"/>
      <c r="CM9" s="2194"/>
      <c r="CN9" s="2194"/>
      <c r="CO9" s="2194"/>
      <c r="CP9" s="2194"/>
      <c r="CQ9" s="2194"/>
      <c r="CR9" s="2194"/>
      <c r="CS9" s="2194"/>
      <c r="CT9" s="2194"/>
      <c r="CU9" s="2194"/>
      <c r="CV9" s="2194"/>
      <c r="CW9" s="2194"/>
      <c r="CX9" s="2194"/>
      <c r="CY9" s="2194"/>
      <c r="CZ9" s="1971"/>
      <c r="DA9" s="1971"/>
      <c r="DB9" s="1971"/>
      <c r="DC9" s="1971"/>
      <c r="DD9" s="1971"/>
      <c r="DE9" s="2161"/>
      <c r="DF9" s="141"/>
      <c r="DG9" s="141"/>
      <c r="DH9" s="2172" t="s">
        <v>613</v>
      </c>
      <c r="DI9" s="2207" t="s">
        <v>640</v>
      </c>
      <c r="DJ9" s="2157"/>
      <c r="DK9" s="2157"/>
      <c r="DL9" s="2157"/>
      <c r="DM9" s="2157"/>
      <c r="DN9" s="2240"/>
      <c r="DO9" s="2169" t="s">
        <v>1287</v>
      </c>
      <c r="DP9" s="2207" t="s">
        <v>641</v>
      </c>
      <c r="DQ9" s="2017"/>
      <c r="DR9" s="2017"/>
      <c r="DS9" s="2017"/>
      <c r="DT9" s="2017"/>
      <c r="DU9" s="2018"/>
      <c r="DV9" s="2016" t="s">
        <v>610</v>
      </c>
      <c r="DW9" s="2017"/>
      <c r="DX9" s="2017"/>
      <c r="DY9" s="2017"/>
      <c r="DZ9" s="2017"/>
      <c r="EA9" s="2017"/>
      <c r="EB9" s="2017"/>
      <c r="EC9" s="2017"/>
      <c r="ED9" s="2017"/>
      <c r="EE9" s="2017"/>
      <c r="EF9" s="2017"/>
      <c r="EG9" s="2017"/>
      <c r="EH9" s="2017"/>
      <c r="EI9" s="2017"/>
      <c r="EJ9" s="2017"/>
      <c r="EK9" s="2018"/>
      <c r="EL9" s="244"/>
      <c r="EM9" s="244"/>
      <c r="EN9" s="203"/>
      <c r="EO9" s="924"/>
      <c r="EP9" s="927"/>
      <c r="EQ9" s="241"/>
      <c r="ER9" s="241"/>
      <c r="ES9" s="241"/>
      <c r="ET9" s="2098" t="s">
        <v>615</v>
      </c>
      <c r="EU9" s="2243"/>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78" t="s">
        <v>3</v>
      </c>
      <c r="B10" s="1847"/>
      <c r="C10" s="1796" t="str">
        <f>IF(ISBLANK('Job Info.'!D4),"",'Job Info.'!D4)</f>
        <v>LAS VEGAS, NV</v>
      </c>
      <c r="D10" s="1796"/>
      <c r="E10" s="1796"/>
      <c r="F10" s="1796"/>
      <c r="G10" s="1796"/>
      <c r="H10" s="1796"/>
      <c r="I10" s="1796"/>
      <c r="J10" s="1796"/>
      <c r="K10" s="1796"/>
      <c r="L10" s="1796"/>
      <c r="M10" s="1796"/>
      <c r="N10" s="1796"/>
      <c r="O10" s="1796"/>
      <c r="P10" s="1797"/>
      <c r="Q10" s="1878" t="s">
        <v>22</v>
      </c>
      <c r="R10" s="1847"/>
      <c r="S10" s="1847"/>
      <c r="T10" s="1796" t="str">
        <f>IF(ISBLANK('Job Info.'!D6),"",'Job Info.'!D6)</f>
        <v>SA</v>
      </c>
      <c r="U10" s="1796"/>
      <c r="V10" s="1796"/>
      <c r="W10" s="1797"/>
      <c r="X10" s="1878" t="s">
        <v>23</v>
      </c>
      <c r="Y10" s="1847"/>
      <c r="Z10" s="1797" t="str">
        <f>IF(ISBLANK('Job Info.'!D7),"",'Job Info.'!D7)</f>
        <v>NR</v>
      </c>
      <c r="AA10" s="2119"/>
      <c r="AB10" s="2133" t="s">
        <v>3</v>
      </c>
      <c r="AC10" s="2258"/>
      <c r="AD10" s="2259"/>
      <c r="AE10" s="1796" t="str">
        <f>C10</f>
        <v>LAS VEGAS, NV</v>
      </c>
      <c r="AF10" s="1796"/>
      <c r="AG10" s="1796"/>
      <c r="AH10" s="1796"/>
      <c r="AI10" s="1796"/>
      <c r="AJ10" s="1796"/>
      <c r="AK10" s="1796"/>
      <c r="AL10" s="1796"/>
      <c r="AM10" s="1796"/>
      <c r="AN10" s="1796"/>
      <c r="AO10" s="1796"/>
      <c r="AP10" s="1796"/>
      <c r="AQ10" s="1796"/>
      <c r="AR10" s="1796"/>
      <c r="AS10" s="1796"/>
      <c r="AT10" s="1797"/>
      <c r="AU10" s="1878" t="s">
        <v>22</v>
      </c>
      <c r="AV10" s="1847"/>
      <c r="AW10" s="1847"/>
      <c r="AX10" s="1796" t="str">
        <f>T10</f>
        <v>SA</v>
      </c>
      <c r="AY10" s="1796"/>
      <c r="AZ10" s="1796"/>
      <c r="BA10" s="1797"/>
      <c r="BB10" s="1878" t="s">
        <v>23</v>
      </c>
      <c r="BC10" s="1847"/>
      <c r="BD10" s="1847"/>
      <c r="BE10" s="1797" t="str">
        <f>Z10</f>
        <v>NR</v>
      </c>
      <c r="BF10" s="2119"/>
      <c r="BG10" s="2119"/>
      <c r="BH10" s="1417"/>
      <c r="BI10" s="245"/>
      <c r="CA10" s="246"/>
      <c r="CB10" s="2219"/>
      <c r="CC10" s="1971"/>
      <c r="CD10" s="1971"/>
      <c r="CE10" s="1971"/>
      <c r="CF10" s="2161"/>
      <c r="CG10" s="2215" t="s">
        <v>469</v>
      </c>
      <c r="CH10" s="2216"/>
      <c r="CI10" s="2216"/>
      <c r="CJ10" s="2216"/>
      <c r="CK10" s="2216"/>
      <c r="CL10" s="2216"/>
      <c r="CM10" s="2216"/>
      <c r="CN10" s="2157"/>
      <c r="CO10" s="2157"/>
      <c r="CP10" s="2158"/>
      <c r="CQ10" s="2215" t="s">
        <v>470</v>
      </c>
      <c r="CR10" s="2216"/>
      <c r="CS10" s="2216"/>
      <c r="CT10" s="2216"/>
      <c r="CU10" s="2216"/>
      <c r="CV10" s="2216"/>
      <c r="CW10" s="2216"/>
      <c r="CX10" s="2157"/>
      <c r="CY10" s="2157"/>
      <c r="CZ10" s="2158"/>
      <c r="DA10" s="2283"/>
      <c r="DB10" s="2238"/>
      <c r="DC10" s="2238"/>
      <c r="DD10" s="2238"/>
      <c r="DE10" s="2239"/>
      <c r="DF10" s="141"/>
      <c r="DG10" s="141"/>
      <c r="DH10" s="2173"/>
      <c r="DI10" s="2241"/>
      <c r="DJ10" s="1971"/>
      <c r="DK10" s="1971"/>
      <c r="DL10" s="1971"/>
      <c r="DM10" s="1971"/>
      <c r="DN10" s="2242"/>
      <c r="DO10" s="2170"/>
      <c r="DP10" s="2208"/>
      <c r="DQ10" s="1868"/>
      <c r="DR10" s="1868"/>
      <c r="DS10" s="1868"/>
      <c r="DT10" s="1868"/>
      <c r="DU10" s="2020"/>
      <c r="DV10" s="2019"/>
      <c r="DW10" s="1868"/>
      <c r="DX10" s="1868"/>
      <c r="DY10" s="1868"/>
      <c r="DZ10" s="1868"/>
      <c r="EA10" s="1868"/>
      <c r="EB10" s="1868"/>
      <c r="EC10" s="1868"/>
      <c r="ED10" s="1868"/>
      <c r="EE10" s="1868"/>
      <c r="EF10" s="1868"/>
      <c r="EG10" s="1868"/>
      <c r="EH10" s="1868"/>
      <c r="EI10" s="1868"/>
      <c r="EJ10" s="1868"/>
      <c r="EK10" s="2020"/>
      <c r="EL10" s="241"/>
      <c r="EM10" s="241"/>
      <c r="EN10" s="241"/>
      <c r="EO10" s="241"/>
      <c r="EP10" s="241"/>
      <c r="EQ10" s="241"/>
      <c r="ER10" s="241"/>
      <c r="ES10" s="241"/>
      <c r="ET10" s="2244"/>
      <c r="EU10" s="2245"/>
      <c r="FW10" s="245"/>
      <c r="FX10" s="245"/>
      <c r="FY10" s="245"/>
      <c r="FZ10" s="245"/>
      <c r="GA10" s="1970" t="s">
        <v>1140</v>
      </c>
      <c r="GB10" s="2280"/>
      <c r="GC10" s="2280"/>
      <c r="GD10" s="2280"/>
      <c r="GE10" s="2280"/>
      <c r="GF10" s="2280"/>
      <c r="GG10" s="1971"/>
      <c r="GH10" s="1971"/>
      <c r="GI10" s="1971"/>
      <c r="GJ10" s="1971"/>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107"/>
      <c r="B11" s="2107"/>
      <c r="C11" s="2107"/>
      <c r="D11" s="2107"/>
      <c r="E11" s="2107"/>
      <c r="F11" s="2107"/>
      <c r="G11" s="2107"/>
      <c r="H11" s="2107"/>
      <c r="I11" s="2107"/>
      <c r="J11" s="2107"/>
      <c r="K11" s="2107"/>
      <c r="L11" s="2107"/>
      <c r="M11" s="2107"/>
      <c r="N11" s="2107"/>
      <c r="O11" s="2107"/>
      <c r="P11" s="2107"/>
      <c r="Q11" s="2107"/>
      <c r="R11" s="2107"/>
      <c r="S11" s="2107"/>
      <c r="T11" s="2107"/>
      <c r="U11" s="2107"/>
      <c r="V11" s="2107"/>
      <c r="W11" s="2107"/>
      <c r="X11" s="2107"/>
      <c r="Y11" s="2107"/>
      <c r="Z11" s="2107"/>
      <c r="AA11" s="2107"/>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0"/>
      <c r="CC11" s="2221"/>
      <c r="CD11" s="2221"/>
      <c r="CE11" s="2221"/>
      <c r="CF11" s="2222"/>
      <c r="CG11" s="2217"/>
      <c r="CH11" s="2218"/>
      <c r="CI11" s="2218"/>
      <c r="CJ11" s="2218"/>
      <c r="CK11" s="2218"/>
      <c r="CL11" s="2218"/>
      <c r="CM11" s="2218"/>
      <c r="CN11" s="1971"/>
      <c r="CO11" s="1971"/>
      <c r="CP11" s="2161"/>
      <c r="CQ11" s="2229"/>
      <c r="CR11" s="2230"/>
      <c r="CS11" s="2230"/>
      <c r="CT11" s="2230"/>
      <c r="CU11" s="2230"/>
      <c r="CV11" s="2230"/>
      <c r="CW11" s="2230"/>
      <c r="CX11" s="2231"/>
      <c r="CY11" s="2231"/>
      <c r="CZ11" s="2232"/>
      <c r="DA11" s="1577"/>
      <c r="DB11" s="2233"/>
      <c r="DC11" s="2158"/>
      <c r="DD11" s="2235"/>
      <c r="DE11" s="2236"/>
      <c r="DF11" s="141"/>
      <c r="DG11" s="141"/>
      <c r="DH11" s="2173"/>
      <c r="DI11" s="2241"/>
      <c r="DJ11" s="1971"/>
      <c r="DK11" s="1971"/>
      <c r="DL11" s="1971"/>
      <c r="DM11" s="1971"/>
      <c r="DN11" s="2242"/>
      <c r="DO11" s="2170"/>
      <c r="DP11" s="2284" t="s">
        <v>601</v>
      </c>
      <c r="DQ11" s="1556"/>
      <c r="DR11" s="2211" t="s">
        <v>603</v>
      </c>
      <c r="DS11" s="1556"/>
      <c r="DT11" s="1556"/>
      <c r="DU11" s="1556"/>
      <c r="DV11" s="2019"/>
      <c r="DW11" s="1868"/>
      <c r="DX11" s="1868"/>
      <c r="DY11" s="1868"/>
      <c r="DZ11" s="1868"/>
      <c r="EA11" s="1868"/>
      <c r="EB11" s="1868"/>
      <c r="EC11" s="1868"/>
      <c r="ED11" s="1868"/>
      <c r="EE11" s="1868"/>
      <c r="EF11" s="1868"/>
      <c r="EG11" s="1868"/>
      <c r="EH11" s="1868"/>
      <c r="EI11" s="1868"/>
      <c r="EJ11" s="1868"/>
      <c r="EK11" s="2020"/>
      <c r="EL11" s="141"/>
      <c r="EM11" s="141"/>
      <c r="EN11" s="928"/>
      <c r="EO11" s="141"/>
      <c r="EP11" s="141"/>
      <c r="EQ11" s="141"/>
      <c r="ER11" s="241"/>
      <c r="ES11" s="241"/>
      <c r="ET11" s="2244"/>
      <c r="EU11" s="2245"/>
      <c r="FW11" s="2"/>
      <c r="FX11" s="2"/>
      <c r="FY11" s="2"/>
      <c r="FZ11" s="2"/>
      <c r="GA11" s="2281"/>
      <c r="GB11" s="2281"/>
      <c r="GC11" s="2281"/>
      <c r="GD11" s="2281"/>
      <c r="GE11" s="2281"/>
      <c r="GF11" s="2281"/>
      <c r="GG11" s="2221"/>
      <c r="GH11" s="2221"/>
      <c r="GI11" s="2221"/>
      <c r="GJ11" s="2221"/>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1934" t="s">
        <v>40</v>
      </c>
      <c r="B12" s="1935" t="s">
        <v>130</v>
      </c>
      <c r="C12" s="1935" t="s">
        <v>31</v>
      </c>
      <c r="D12" s="1935" t="s">
        <v>25</v>
      </c>
      <c r="E12" s="1936"/>
      <c r="F12" s="1937" t="s">
        <v>88</v>
      </c>
      <c r="G12" s="1910" t="s">
        <v>9</v>
      </c>
      <c r="H12" s="1908"/>
      <c r="I12" s="1908"/>
      <c r="J12" s="1908" t="s">
        <v>10</v>
      </c>
      <c r="K12" s="1908"/>
      <c r="L12" s="1911"/>
      <c r="M12" s="1938" t="s">
        <v>11</v>
      </c>
      <c r="N12" s="1939"/>
      <c r="O12" s="1940" t="s">
        <v>12</v>
      </c>
      <c r="P12" s="1905"/>
      <c r="Q12" s="1905" t="s">
        <v>13</v>
      </c>
      <c r="R12" s="1906"/>
      <c r="S12" s="1907" t="s">
        <v>14</v>
      </c>
      <c r="T12" s="1908"/>
      <c r="U12" s="1908"/>
      <c r="V12" s="1908"/>
      <c r="W12" s="1909"/>
      <c r="X12" s="1910" t="s">
        <v>111</v>
      </c>
      <c r="Y12" s="1911"/>
      <c r="Z12" s="1117" t="s">
        <v>15</v>
      </c>
      <c r="AA12" s="2255" t="s">
        <v>939</v>
      </c>
      <c r="AB12" s="1934" t="s">
        <v>40</v>
      </c>
      <c r="AC12" s="2090" t="s">
        <v>62</v>
      </c>
      <c r="AD12" s="2120" t="s">
        <v>32</v>
      </c>
      <c r="AE12" s="2121"/>
      <c r="AF12" s="1911" t="s">
        <v>34</v>
      </c>
      <c r="AG12" s="2108"/>
      <c r="AH12" s="1910"/>
      <c r="AI12" s="2120" t="s">
        <v>35</v>
      </c>
      <c r="AJ12" s="2121"/>
      <c r="AK12" s="2135" t="s">
        <v>63</v>
      </c>
      <c r="AL12" s="2104" t="s">
        <v>737</v>
      </c>
      <c r="AM12" s="2105"/>
      <c r="AN12" s="2105"/>
      <c r="AO12" s="2105"/>
      <c r="AP12" s="2105"/>
      <c r="AQ12" s="2106"/>
      <c r="AR12" s="2267" t="s">
        <v>82</v>
      </c>
      <c r="AS12" s="2268"/>
      <c r="AT12" s="2268"/>
      <c r="AU12" s="2268"/>
      <c r="AV12" s="2268"/>
      <c r="AW12" s="2268"/>
      <c r="AX12" s="2268"/>
      <c r="AY12" s="2268"/>
      <c r="AZ12" s="2268"/>
      <c r="BA12" s="2268"/>
      <c r="BB12" s="2268"/>
      <c r="BC12" s="2268"/>
      <c r="BD12" s="2268"/>
      <c r="BE12" s="2268"/>
      <c r="BF12" s="2268"/>
      <c r="BG12" s="2268"/>
      <c r="BH12" s="1417"/>
      <c r="BJ12" s="117"/>
      <c r="BK12" s="117"/>
      <c r="BL12" s="117"/>
      <c r="BM12" s="117"/>
      <c r="BN12" s="117"/>
      <c r="BO12" s="117"/>
      <c r="BW12" s="2252" t="s">
        <v>630</v>
      </c>
      <c r="BX12" s="2253"/>
      <c r="BY12" s="2253"/>
      <c r="BZ12" s="2254"/>
      <c r="CA12" s="105"/>
      <c r="CB12" s="2079" t="s">
        <v>613</v>
      </c>
      <c r="CC12" s="2153" t="s">
        <v>130</v>
      </c>
      <c r="CD12" s="2081" t="s">
        <v>478</v>
      </c>
      <c r="CE12" s="2147" t="s">
        <v>1291</v>
      </c>
      <c r="CF12" s="2148"/>
      <c r="CG12" s="1943" t="s">
        <v>1292</v>
      </c>
      <c r="CH12" s="1945" t="s">
        <v>595</v>
      </c>
      <c r="CI12" s="1946"/>
      <c r="CJ12" s="1945" t="s">
        <v>596</v>
      </c>
      <c r="CK12" s="1946"/>
      <c r="CL12" s="1962" t="s">
        <v>488</v>
      </c>
      <c r="CM12" s="1964" t="s">
        <v>790</v>
      </c>
      <c r="CN12" s="2223" t="s">
        <v>1276</v>
      </c>
      <c r="CO12" s="2224"/>
      <c r="CP12" s="2225"/>
      <c r="CQ12" s="1949" t="s">
        <v>1292</v>
      </c>
      <c r="CR12" s="1951" t="s">
        <v>595</v>
      </c>
      <c r="CS12" s="1952"/>
      <c r="CT12" s="1951" t="s">
        <v>596</v>
      </c>
      <c r="CU12" s="1952"/>
      <c r="CV12" s="2151" t="s">
        <v>488</v>
      </c>
      <c r="CW12" s="1960" t="s">
        <v>790</v>
      </c>
      <c r="CX12" s="2226" t="s">
        <v>1276</v>
      </c>
      <c r="CY12" s="2227"/>
      <c r="CZ12" s="2228"/>
      <c r="DA12" s="1941" t="s">
        <v>806</v>
      </c>
      <c r="DB12" s="2234"/>
      <c r="DC12" s="2161"/>
      <c r="DD12" s="1957" t="s">
        <v>1284</v>
      </c>
      <c r="DE12" s="1959" t="s">
        <v>1285</v>
      </c>
      <c r="DF12" s="141"/>
      <c r="DG12" s="141"/>
      <c r="DH12" s="2173"/>
      <c r="DI12" s="2180" t="s">
        <v>1289</v>
      </c>
      <c r="DJ12" s="2182" t="s">
        <v>32</v>
      </c>
      <c r="DK12" s="2183"/>
      <c r="DL12" s="2164" t="s">
        <v>34</v>
      </c>
      <c r="DM12" s="2163" t="s">
        <v>489</v>
      </c>
      <c r="DN12" s="2175"/>
      <c r="DO12" s="2170"/>
      <c r="DP12" s="2284"/>
      <c r="DQ12" s="2186" t="s">
        <v>602</v>
      </c>
      <c r="DR12" s="2211"/>
      <c r="DS12" s="2186" t="s">
        <v>604</v>
      </c>
      <c r="DT12" s="2188" t="s">
        <v>605</v>
      </c>
      <c r="DU12" s="2189"/>
      <c r="DV12" s="2265" t="s">
        <v>598</v>
      </c>
      <c r="DW12" s="2266"/>
      <c r="DX12" s="2021" t="s">
        <v>1287</v>
      </c>
      <c r="DY12" s="2178" t="s">
        <v>1288</v>
      </c>
      <c r="DZ12" s="2265" t="s">
        <v>598</v>
      </c>
      <c r="EA12" s="2266"/>
      <c r="EB12" s="2021" t="s">
        <v>1287</v>
      </c>
      <c r="EC12" s="2178" t="s">
        <v>1288</v>
      </c>
      <c r="ED12" s="2265" t="s">
        <v>598</v>
      </c>
      <c r="EE12" s="2266"/>
      <c r="EF12" s="2021" t="s">
        <v>1287</v>
      </c>
      <c r="EG12" s="2178" t="s">
        <v>1288</v>
      </c>
      <c r="EH12" s="2265" t="s">
        <v>598</v>
      </c>
      <c r="EI12" s="2266"/>
      <c r="EJ12" s="2021" t="s">
        <v>1287</v>
      </c>
      <c r="EK12" s="2023" t="s">
        <v>1288</v>
      </c>
      <c r="EL12" s="241"/>
      <c r="EM12" s="1966" t="s">
        <v>789</v>
      </c>
      <c r="EN12" s="1968" t="s">
        <v>588</v>
      </c>
      <c r="EO12" s="1969"/>
      <c r="EP12" s="1969"/>
      <c r="EQ12" s="1966" t="s">
        <v>589</v>
      </c>
      <c r="ER12" s="1955" t="s">
        <v>786</v>
      </c>
      <c r="ES12" s="1956"/>
      <c r="ET12" s="2246"/>
      <c r="EU12" s="2247"/>
      <c r="FW12" s="2"/>
      <c r="FX12" s="2"/>
      <c r="FY12" s="2"/>
      <c r="FZ12" s="2"/>
      <c r="GA12" s="2028" t="s">
        <v>708</v>
      </c>
      <c r="GB12" s="2029"/>
      <c r="GC12" s="2028" t="s">
        <v>558</v>
      </c>
      <c r="GD12" s="2029"/>
      <c r="GE12" s="2072" t="s">
        <v>711</v>
      </c>
      <c r="GF12" s="2074" t="s">
        <v>632</v>
      </c>
      <c r="GG12" s="2028" t="s">
        <v>1142</v>
      </c>
      <c r="GH12" s="2029"/>
      <c r="GI12" s="2028" t="s">
        <v>1141</v>
      </c>
      <c r="GJ12" s="2029"/>
      <c r="GK12" s="2032" t="s">
        <v>712</v>
      </c>
      <c r="GL12" s="2032" t="s">
        <v>713</v>
      </c>
      <c r="GM12" s="2032" t="s">
        <v>714</v>
      </c>
      <c r="HA12" s="2038" t="s">
        <v>632</v>
      </c>
      <c r="HB12" s="2014" t="s">
        <v>1134</v>
      </c>
      <c r="HC12" s="2014" t="s">
        <v>1159</v>
      </c>
      <c r="HD12" s="2014" t="str">
        <f>IF($HA$1,"Bay Length","Overall Length")</f>
        <v>Bay Length</v>
      </c>
      <c r="HE12" s="2015"/>
      <c r="HF12" s="2014" t="str">
        <f>IF($HA$1,"L Sect #","TC Width")</f>
        <v>L Sect #</v>
      </c>
      <c r="HG12" s="1972" t="str">
        <f>IF($HA$1,"L Min Sup Wid","TCXL Feet")</f>
        <v>L Min Sup Wid</v>
      </c>
      <c r="HH12" s="1972" t="str">
        <f>IF($HA$1,"L Max Sup Wid","TCXL Inch")</f>
        <v>L Max Sup Wid</v>
      </c>
      <c r="HI12" s="1972" t="str">
        <f>IF($HA$1,"L Min Flg Ga","TCXL Type")</f>
        <v>L Min Flg Ga</v>
      </c>
      <c r="HJ12" s="1972" t="str">
        <f>IF($HA$1,"L Max Flg Ga","TCXR Feet")</f>
        <v>L Max Flg Ga</v>
      </c>
      <c r="HK12" s="1972" t="str">
        <f>IF($HA$1,"L Skew","TCXR Inch")</f>
        <v>L Skew</v>
      </c>
      <c r="HL12" s="1972" t="str">
        <f>IF($HA$1,"L Brg Slp","TCXR Type")</f>
        <v>L Brg Slp</v>
      </c>
      <c r="HM12" s="2014" t="str">
        <f>IF($HA$1,"R Sect #","BDL")</f>
        <v>R Sect #</v>
      </c>
      <c r="HN12" s="1972" t="str">
        <f>IF($HA$1,"R Min Sup Wid","BDR")</f>
        <v>R Min Sup Wid</v>
      </c>
      <c r="HO12" s="1972" t="str">
        <f>IF($HA$1,"R Max Sup Wid","BCXL Feet")</f>
        <v>R Max Sup Wid</v>
      </c>
      <c r="HP12" s="1972" t="str">
        <f>IF($HA$1,"R Min Flg Ga","BCXL Inch")</f>
        <v>R Min Flg Ga</v>
      </c>
      <c r="HQ12" s="1972" t="str">
        <f>IF($HA$1,"R Max Flg Ga","BCXR Feet")</f>
        <v>R Max Flg Ga</v>
      </c>
      <c r="HR12" s="1972" t="str">
        <f>IF($HA$1,"R Skew","BCXR Inch")</f>
        <v>R Skew</v>
      </c>
      <c r="HS12" s="1972" t="str">
        <f>IF($HA$1,"R Brg Slp","HL Feet")</f>
        <v>R Brg Slp</v>
      </c>
      <c r="HT12" s="1972" t="str">
        <f>IF($HA$1,"TC Slope","HL Inch")</f>
        <v>TC Slope</v>
      </c>
      <c r="HU12" s="1972" t="str">
        <f>IF($HA$1,"Load Notes","HR Feet")</f>
        <v>Load Notes</v>
      </c>
      <c r="HV12" s="1972" t="str">
        <f>IF($HA$1,"Spcl Notes","HR Inch")</f>
        <v>Spcl Notes</v>
      </c>
      <c r="HW12" s="1972" t="str">
        <f>IF($HA$1,"# KB","Slot Ga")</f>
        <v># KB</v>
      </c>
      <c r="HX12" s="1972" t="str">
        <f>IF($HA$1,"TC Width","L Seat Slp")</f>
        <v>TC Width</v>
      </c>
      <c r="HY12" s="1972" t="str">
        <f>IF($HA$1,"TCL Override","R Seat Slp")</f>
        <v>TCL Override</v>
      </c>
      <c r="HZ12" s="1972" t="str">
        <f>IF($HA$1,"TCR Override","Load Notes")</f>
        <v>TCR Override</v>
      </c>
      <c r="IA12" s="1972" t="str">
        <f>IF($HA$1,"L-BL Override","Spcl Notes")</f>
        <v>L-BL Override</v>
      </c>
      <c r="IB12" s="1974" t="str">
        <f>IF($HA$1,"R-BL Override","# KB")</f>
        <v>R-BL Override</v>
      </c>
      <c r="IC12" s="1972" t="str">
        <f>IF($HA$1,"BDL Override","-")</f>
        <v>BDL Override</v>
      </c>
      <c r="ID12" s="2250" t="str">
        <f>IF($HA$1,"BDR Override","-")</f>
        <v>BDR Override</v>
      </c>
      <c r="IE12" s="2030" t="s">
        <v>632</v>
      </c>
      <c r="IF12" s="1899" t="s">
        <v>1161</v>
      </c>
      <c r="IG12" s="1899" t="s">
        <v>1162</v>
      </c>
      <c r="IH12" s="1899" t="s">
        <v>1163</v>
      </c>
      <c r="II12" s="1899" t="s">
        <v>1164</v>
      </c>
      <c r="IJ12" s="1899" t="s">
        <v>1166</v>
      </c>
      <c r="IK12" s="1899" t="s">
        <v>1165</v>
      </c>
      <c r="IL12" s="1899" t="str">
        <f>IF($HA$1,"Load (Kip)","Panel ""B"" Feet")</f>
        <v>Load (Kip)</v>
      </c>
      <c r="IM12" s="1899" t="str">
        <f>IF($HA$1,"OSHA N/F/B","Panel ""B"" Inch")</f>
        <v>OSHA N/F/B</v>
      </c>
      <c r="IN12" s="1899" t="str">
        <f>IF($HA$1,"Girder TC Ga","Load (Kip)")</f>
        <v>Girder TC Ga</v>
      </c>
      <c r="IO12" s="1899" t="str">
        <f>IF($HA$1,"Jst Hole (x/16)","OSHA N/F/B")</f>
        <v>Jst Hole (x/16)</v>
      </c>
      <c r="IP12" s="1899" t="str">
        <f>IF($HA$1,"Joist Gage","Girder TC Gage")</f>
        <v>Joist Gage</v>
      </c>
      <c r="IQ12" s="1899" t="str">
        <f>IF($HA$1,"TC Hole L","Girder TC Hole (x/16)")</f>
        <v>TC Hole L</v>
      </c>
      <c r="IR12" s="1899" t="str">
        <f>IF($HA$1,"TC Hole R","Joist Gage")</f>
        <v>TC Hole R</v>
      </c>
      <c r="IS12" s="1899" t="str">
        <f>IF($HA$1,"Add Jst#1 Feet","TCHoleL")</f>
        <v>Add Jst#1 Feet</v>
      </c>
      <c r="IT12" s="1899" t="str">
        <f>IF($HA$1,"Add Jst#1 Inch","TC Hole R")</f>
        <v>Add Jst#1 Inch</v>
      </c>
      <c r="IU12" s="1899" t="str">
        <f>IF($HA$1,"Add Jst#1 Load","Add Jst#1 Feet")</f>
        <v>Add Jst#1 Load</v>
      </c>
      <c r="IV12" s="1899" t="str">
        <f>IF($HA$1,"Add Jst#1 Bolt N/F/B","Add Jst#1 inch")</f>
        <v>Add Jst#1 Bolt N/F/B</v>
      </c>
      <c r="IW12" s="1899" t="str">
        <f>IF($HA$1,"Add Jst#2 Feet","Add Jst#1 Load")</f>
        <v>Add Jst#2 Feet</v>
      </c>
      <c r="IX12" s="1899" t="str">
        <f>IF($HA$1,"Add Jst#2 Inch","Add Jst#1 Bolt N/F/B")</f>
        <v>Add Jst#2 Inch</v>
      </c>
      <c r="IY12" s="1899" t="str">
        <f>IF($HA$1,"Add Jst#2 Load","Add Jst#2 Feet")</f>
        <v>Add Jst#2 Load</v>
      </c>
      <c r="IZ12" s="1899" t="str">
        <f>IF($HA$1,"Add Jst#2 Bolt N/F/B","Add Jst#2 inch")</f>
        <v>Add Jst#2 Bolt N/F/B</v>
      </c>
      <c r="JA12" s="1899" t="str">
        <f>IF($HA$1,"Add Jst#3 Feet","Add Jst#2 Load")</f>
        <v>Add Jst#3 Feet</v>
      </c>
      <c r="JB12" s="1899" t="str">
        <f>IF($HA$1,"Add Jst#3 Inch","Add Jst#2 Bolt N/F/B")</f>
        <v>Add Jst#3 Inch</v>
      </c>
      <c r="JC12" s="1899" t="str">
        <f>IF($HA$1,"Add Jst#3 Load","Add Jst#3 Feet")</f>
        <v>Add Jst#3 Load</v>
      </c>
      <c r="JD12" s="1899" t="str">
        <f>IF($HA$1,"Add Jst#3 Bolt N/F/B","Add Jst#3 inch")</f>
        <v>Add Jst#3 Bolt N/F/B</v>
      </c>
      <c r="JE12" s="1899" t="str">
        <f>IF($HA$1,"Add Jst#4 Feet","Add Jst#3 Load")</f>
        <v>Add Jst#4 Feet</v>
      </c>
      <c r="JF12" s="1899" t="str">
        <f>IF($HA$1,"Add Jst#4 Inch","Add Jst#3 Bolt N/F/B")</f>
        <v>Add Jst#4 Inch</v>
      </c>
      <c r="JG12" s="1899" t="str">
        <f>IF($HA$1,"Add Jst#4 Load","Add Jst#4 Feet")</f>
        <v>Add Jst#4 Load</v>
      </c>
      <c r="JH12" s="1899" t="str">
        <f>IF($HA$1,"Add Jst#4 Bolt N/F/B","Add Jst#4 inch")</f>
        <v>Add Jst#4 Bolt N/F/B</v>
      </c>
      <c r="JI12" s="1899" t="str">
        <f>IF($HA$1,"-","Add Jst#4 Load")</f>
        <v>-</v>
      </c>
      <c r="JJ12" s="1899" t="str">
        <f>IF($HA$1,"-","Add Jst#4 Bolt N/F/B")</f>
        <v>-</v>
      </c>
      <c r="JK12" s="1901" t="str">
        <f>IF($HA$1,"# Rows Req'd","# Rows Req'd")</f>
        <v># Rows Req'd</v>
      </c>
      <c r="JL12" s="1903" t="s">
        <v>1168</v>
      </c>
      <c r="JM12" s="1194"/>
      <c r="JN12" s="1194"/>
      <c r="JO12" s="1194"/>
    </row>
    <row r="13" spans="1:276" ht="21" customHeight="1" thickTop="1" thickBot="1" x14ac:dyDescent="0.3">
      <c r="A13" s="1934"/>
      <c r="B13" s="1935"/>
      <c r="C13" s="1935"/>
      <c r="D13" s="1935"/>
      <c r="E13" s="1936"/>
      <c r="F13" s="1937"/>
      <c r="G13" s="1914" t="s">
        <v>16</v>
      </c>
      <c r="H13" s="1915"/>
      <c r="I13" s="1103" t="s">
        <v>732</v>
      </c>
      <c r="J13" s="1915" t="s">
        <v>16</v>
      </c>
      <c r="K13" s="1915"/>
      <c r="L13" s="1065" t="s">
        <v>732</v>
      </c>
      <c r="M13" s="1107" t="s">
        <v>18</v>
      </c>
      <c r="N13" s="461" t="s">
        <v>19</v>
      </c>
      <c r="O13" s="1940"/>
      <c r="P13" s="1905"/>
      <c r="Q13" s="1905"/>
      <c r="R13" s="1906"/>
      <c r="S13" s="1916" t="s">
        <v>80</v>
      </c>
      <c r="T13" s="1915"/>
      <c r="U13" s="1915" t="s">
        <v>81</v>
      </c>
      <c r="V13" s="1915"/>
      <c r="W13" s="461" t="s">
        <v>27</v>
      </c>
      <c r="X13" s="1102" t="s">
        <v>112</v>
      </c>
      <c r="Y13" s="1065" t="s">
        <v>113</v>
      </c>
      <c r="Z13" s="1118" t="s">
        <v>57</v>
      </c>
      <c r="AA13" s="2256"/>
      <c r="AB13" s="1934"/>
      <c r="AC13" s="2091"/>
      <c r="AD13" s="2122"/>
      <c r="AE13" s="2123"/>
      <c r="AF13" s="1103" t="s">
        <v>33</v>
      </c>
      <c r="AG13" s="1915" t="s">
        <v>16</v>
      </c>
      <c r="AH13" s="1915"/>
      <c r="AI13" s="2122"/>
      <c r="AJ13" s="2123"/>
      <c r="AK13" s="2136"/>
      <c r="AL13" s="1119" t="s">
        <v>738</v>
      </c>
      <c r="AM13" s="1104" t="s">
        <v>735</v>
      </c>
      <c r="AN13" s="1104" t="s">
        <v>736</v>
      </c>
      <c r="AO13" s="1105" t="s">
        <v>60</v>
      </c>
      <c r="AP13" s="1106" t="s">
        <v>739</v>
      </c>
      <c r="AQ13" s="1120" t="s">
        <v>740</v>
      </c>
      <c r="AR13" s="2131" t="s">
        <v>58</v>
      </c>
      <c r="AS13" s="1914"/>
      <c r="AT13" s="1121" t="s">
        <v>63</v>
      </c>
      <c r="AU13" s="1122" t="s">
        <v>59</v>
      </c>
      <c r="AV13" s="2130" t="s">
        <v>58</v>
      </c>
      <c r="AW13" s="1916"/>
      <c r="AX13" s="1121" t="s">
        <v>63</v>
      </c>
      <c r="AY13" s="1122" t="s">
        <v>59</v>
      </c>
      <c r="AZ13" s="2130" t="s">
        <v>58</v>
      </c>
      <c r="BA13" s="1916"/>
      <c r="BB13" s="1121" t="s">
        <v>63</v>
      </c>
      <c r="BC13" s="1122" t="s">
        <v>59</v>
      </c>
      <c r="BD13" s="2130" t="s">
        <v>58</v>
      </c>
      <c r="BE13" s="1916"/>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80"/>
      <c r="CC13" s="2152"/>
      <c r="CD13" s="1953"/>
      <c r="CE13" s="2149"/>
      <c r="CF13" s="2150"/>
      <c r="CG13" s="1944"/>
      <c r="CH13" s="1947"/>
      <c r="CI13" s="1948"/>
      <c r="CJ13" s="1947"/>
      <c r="CK13" s="1948"/>
      <c r="CL13" s="1963"/>
      <c r="CM13" s="1965"/>
      <c r="CN13" s="1547" t="s">
        <v>1283</v>
      </c>
      <c r="CO13" s="1548" t="s">
        <v>1278</v>
      </c>
      <c r="CP13" s="1549" t="s">
        <v>501</v>
      </c>
      <c r="CQ13" s="1950"/>
      <c r="CR13" s="1953"/>
      <c r="CS13" s="1954"/>
      <c r="CT13" s="1953"/>
      <c r="CU13" s="1954"/>
      <c r="CV13" s="2152"/>
      <c r="CW13" s="1961"/>
      <c r="CX13" s="1547" t="s">
        <v>1283</v>
      </c>
      <c r="CY13" s="1548" t="s">
        <v>1278</v>
      </c>
      <c r="CZ13" s="1549" t="s">
        <v>501</v>
      </c>
      <c r="DA13" s="1942"/>
      <c r="DB13" s="431" t="s">
        <v>418</v>
      </c>
      <c r="DC13" s="432" t="s">
        <v>553</v>
      </c>
      <c r="DD13" s="1958"/>
      <c r="DE13" s="1958"/>
      <c r="DF13" s="141"/>
      <c r="DG13" s="141"/>
      <c r="DH13" s="2174"/>
      <c r="DI13" s="2181"/>
      <c r="DJ13" s="2184"/>
      <c r="DK13" s="2185"/>
      <c r="DL13" s="2165"/>
      <c r="DM13" s="2176"/>
      <c r="DN13" s="2177"/>
      <c r="DO13" s="2171"/>
      <c r="DP13" s="2285"/>
      <c r="DQ13" s="2187"/>
      <c r="DR13" s="2212"/>
      <c r="DS13" s="2187"/>
      <c r="DT13" s="1603" t="s">
        <v>606</v>
      </c>
      <c r="DU13" s="1604" t="s">
        <v>607</v>
      </c>
      <c r="DV13" s="1581" t="s">
        <v>633</v>
      </c>
      <c r="DW13" s="1582" t="s">
        <v>608</v>
      </c>
      <c r="DX13" s="2022"/>
      <c r="DY13" s="2179"/>
      <c r="DZ13" s="1581" t="s">
        <v>633</v>
      </c>
      <c r="EA13" s="1582" t="s">
        <v>608</v>
      </c>
      <c r="EB13" s="2022"/>
      <c r="EC13" s="2179"/>
      <c r="ED13" s="1581" t="s">
        <v>633</v>
      </c>
      <c r="EE13" s="1582" t="s">
        <v>608</v>
      </c>
      <c r="EF13" s="2022"/>
      <c r="EG13" s="2179"/>
      <c r="EH13" s="1581" t="s">
        <v>633</v>
      </c>
      <c r="EI13" s="1582" t="s">
        <v>608</v>
      </c>
      <c r="EJ13" s="2022"/>
      <c r="EK13" s="2024"/>
      <c r="EL13" s="241"/>
      <c r="EM13" s="1967"/>
      <c r="EN13" s="522" t="s">
        <v>585</v>
      </c>
      <c r="EO13" s="433" t="s">
        <v>586</v>
      </c>
      <c r="EP13" s="434" t="s">
        <v>587</v>
      </c>
      <c r="EQ13" s="196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073"/>
      <c r="GF13" s="2073"/>
      <c r="GG13" s="542" t="s">
        <v>709</v>
      </c>
      <c r="GH13" s="543" t="s">
        <v>710</v>
      </c>
      <c r="GI13" s="542" t="s">
        <v>709</v>
      </c>
      <c r="GJ13" s="543" t="s">
        <v>710</v>
      </c>
      <c r="GK13" s="2033"/>
      <c r="GL13" s="2033"/>
      <c r="GM13" s="2033"/>
      <c r="HA13" s="2274"/>
      <c r="HB13" s="2248"/>
      <c r="HC13" s="2248"/>
      <c r="HD13" s="2248"/>
      <c r="HE13" s="2248"/>
      <c r="HF13" s="2248"/>
      <c r="HG13" s="2248"/>
      <c r="HH13" s="2248"/>
      <c r="HI13" s="2248"/>
      <c r="HJ13" s="2248"/>
      <c r="HK13" s="2248"/>
      <c r="HL13" s="2248"/>
      <c r="HM13" s="2248"/>
      <c r="HN13" s="2248"/>
      <c r="HO13" s="2248"/>
      <c r="HP13" s="2248"/>
      <c r="HQ13" s="2248"/>
      <c r="HR13" s="2248"/>
      <c r="HS13" s="2248"/>
      <c r="HT13" s="2248"/>
      <c r="HU13" s="2248"/>
      <c r="HV13" s="2248"/>
      <c r="HW13" s="2248"/>
      <c r="HX13" s="2248"/>
      <c r="HY13" s="2248"/>
      <c r="HZ13" s="2248"/>
      <c r="IA13" s="2248"/>
      <c r="IB13" s="2249"/>
      <c r="IC13" s="2248"/>
      <c r="ID13" s="2251"/>
      <c r="IE13" s="2031"/>
      <c r="IF13" s="1900"/>
      <c r="IG13" s="1900"/>
      <c r="IH13" s="1900"/>
      <c r="II13" s="1900"/>
      <c r="IJ13" s="1900"/>
      <c r="IK13" s="1900"/>
      <c r="IL13" s="1900"/>
      <c r="IM13" s="1900"/>
      <c r="IN13" s="1900"/>
      <c r="IO13" s="1900"/>
      <c r="IP13" s="1900"/>
      <c r="IQ13" s="1900"/>
      <c r="IR13" s="1900"/>
      <c r="IS13" s="1900"/>
      <c r="IT13" s="1900"/>
      <c r="IU13" s="1900"/>
      <c r="IV13" s="1900"/>
      <c r="IW13" s="1900"/>
      <c r="IX13" s="1900"/>
      <c r="IY13" s="1900"/>
      <c r="IZ13" s="1900"/>
      <c r="JA13" s="1900"/>
      <c r="JB13" s="1900"/>
      <c r="JC13" s="1900"/>
      <c r="JD13" s="1900"/>
      <c r="JE13" s="1900"/>
      <c r="JF13" s="1900"/>
      <c r="JG13" s="1900"/>
      <c r="JH13" s="1900"/>
      <c r="JI13" s="1900"/>
      <c r="JJ13" s="1900"/>
      <c r="JK13" s="1902"/>
      <c r="JL13" s="1904"/>
      <c r="JM13" s="1194"/>
      <c r="JN13" s="1194"/>
      <c r="JO13" s="1194"/>
    </row>
    <row r="14" spans="1:276" ht="12.6" customHeight="1" thickTop="1" x14ac:dyDescent="0.25">
      <c r="A14" s="2718" t="str">
        <f t="shared" ref="A14:C45" si="0">IF(ISBLANK(CB14),"",CB14)</f>
        <v>G71</v>
      </c>
      <c r="B14" s="2748">
        <f t="shared" si="0"/>
        <v>1</v>
      </c>
      <c r="C14" s="2749" t="s">
        <v>1749</v>
      </c>
      <c r="D14" s="2720">
        <f t="shared" ref="D14:D45" si="1">IF(CV54="","",TRUNC(CV54/12))</f>
        <v>55</v>
      </c>
      <c r="E14" s="2750">
        <f t="shared" ref="E14:E45" si="2">IF(CV54="","",CV54-(D14*12))</f>
        <v>11.5</v>
      </c>
      <c r="F14" s="2751">
        <f t="shared" ref="F14:F45" si="3">IF(ISBLANK(DE14),"",DE14)</f>
        <v>11.125</v>
      </c>
      <c r="G14" s="2728">
        <f t="shared" ref="G14:G45" si="4">IF(DD54=0,"",TRUNC(DD54/12))</f>
        <v>0</v>
      </c>
      <c r="H14" s="2721">
        <f t="shared" ref="H14:H45" si="5">IF(DD54=0,"",DD54-(G14*12))</f>
        <v>2.75</v>
      </c>
      <c r="I14" s="2719" t="str">
        <f t="shared" ref="I14:I45" si="6">IF(DD54=0,"",CE54)</f>
        <v>R</v>
      </c>
      <c r="J14" s="2720">
        <f t="shared" ref="J14:J45" si="7">IF(DJ54=0,"",TRUNC(DJ54/12))</f>
        <v>0</v>
      </c>
      <c r="K14" s="2721">
        <f t="shared" ref="K14:K45" si="8">IF(DJ54=0,"",DJ54-(J14*12))</f>
        <v>2.75</v>
      </c>
      <c r="L14" s="2752" t="str">
        <f t="shared" ref="L14:L45" si="9">IF(DJ54=0,"",CN54)</f>
        <v>R</v>
      </c>
      <c r="M14" s="2726">
        <f t="shared" ref="M14:N45" si="10">IF(CW54="","",CW54)</f>
        <v>7.5</v>
      </c>
      <c r="N14" s="2753">
        <f t="shared" si="10"/>
        <v>7.5</v>
      </c>
      <c r="O14" s="2728">
        <f t="shared" ref="O14:O45" si="11">IF(DZ54="","",IF(AND(DZ54&gt;-12,DZ54&lt;0),-0.000001,TRUNC(DZ54/12)))</f>
        <v>0</v>
      </c>
      <c r="P14" s="2721">
        <f t="shared" ref="P14:P45" si="12">IF(DZ54="","",IF(AND(DZ54&lt;0,DZ54-(O14*12)=0),-0.00001,DZ54-(O14*12)))</f>
        <v>7.75</v>
      </c>
      <c r="Q14" s="2720">
        <f t="shared" ref="Q14:Q45" si="13">IF(EA54="","",IF(AND(EA54&gt;-12,EA54&lt;0),-0.000001,TRUNC(EA54/12)))</f>
        <v>0</v>
      </c>
      <c r="R14" s="2750">
        <f t="shared" ref="R14:R45" si="14">IF(EA54="","",IF(AND(EA54&lt;0,EA54-(Q14*12)=0),-0.00001,EA54-(Q14*12)))</f>
        <v>7.75</v>
      </c>
      <c r="S14" s="2754">
        <f t="shared" ref="S14:S45" si="15">IF(DR54="","",IF(DR54="ERR",TRUNC(DQ54/12),TRUNC(DR54/12)))</f>
        <v>0</v>
      </c>
      <c r="T14" s="2721">
        <f t="shared" ref="T14:T45" si="16">IF(DR54="","",IF(DR54="ERR",DQ54-(S14*12),DR54-(S14*12)))</f>
        <v>7.25</v>
      </c>
      <c r="U14" s="2720">
        <f t="shared" ref="U14:U45" si="17">IF(DY54="","",IF(DY54="ERR",TRUNC(DX54/12),TRUNC(DY54/12)))</f>
        <v>0</v>
      </c>
      <c r="V14" s="2721">
        <f t="shared" ref="V14:V45" si="18">IF(DY54="","",IF(DY54="ERR",DX54-(U14*12),DY54-(U14*12)))</f>
        <v>7.25</v>
      </c>
      <c r="W14" s="2753">
        <f t="shared" ref="W14:W45" si="19">IF(EC54="",0,EC54)</f>
        <v>5</v>
      </c>
      <c r="X14" s="2755" t="str">
        <f t="shared" ref="X14:X45" si="20">IF(EN54="","",EN54)</f>
        <v/>
      </c>
      <c r="Y14" s="2756" t="str">
        <f t="shared" ref="Y14:Y45" si="21">IF(ES54="","",ES54)</f>
        <v/>
      </c>
      <c r="Z14" s="2698" t="s">
        <v>1934</v>
      </c>
      <c r="AA14" s="2757" t="str">
        <f t="shared" ref="AA14:AA45" si="22">IF(ISBLANK(DD14),"",DD14)</f>
        <v/>
      </c>
      <c r="AB14" s="2718" t="str">
        <f t="shared" ref="AB14:AB45" si="23">IF(ISBLANK(DH14),"",DH14)</f>
        <v>G71</v>
      </c>
      <c r="AC14" s="2719" t="str">
        <f t="shared" ref="AC14:AC45" si="24">IF(ISBLANK(DI14),"",UPPER(DI14))</f>
        <v>B</v>
      </c>
      <c r="AD14" s="2720">
        <f t="shared" ref="AD14:AD45" si="25">IF(ISERROR(FV54),"",IF(FV54="","",TRUNC(FV54/12)))</f>
        <v>7</v>
      </c>
      <c r="AE14" s="2721">
        <f t="shared" ref="AE14:AE45" si="26">IF(ISERROR(FV54),"",IF(FV54="","",FV54-(AD14*12)))</f>
        <v>9</v>
      </c>
      <c r="AF14" s="2719">
        <f t="shared" ref="AF14:AF45" si="27">IF(ISERROR(FO54),"",IF(FO54="","",FO54))</f>
        <v>5</v>
      </c>
      <c r="AG14" s="2720">
        <f t="shared" ref="AG14:AG45" si="28">IF(ISERROR(FX54),"",IF(FX54="","",TRUNC(FX54/12)))</f>
        <v>8</v>
      </c>
      <c r="AH14" s="2721">
        <f t="shared" ref="AH14:AH45" si="29">IF(ISERROR(FX54),"",IF(FX54="","",FX54-(AG14*12)))</f>
        <v>0</v>
      </c>
      <c r="AI14" s="2720">
        <f t="shared" ref="AI14:AI45" si="30">IF(ISERROR(FZ54),"",IF(FZ54="","",TRUNC(FZ54/12)))</f>
        <v>7</v>
      </c>
      <c r="AJ14" s="2721">
        <f t="shared" ref="AJ14:AJ45" si="31">IF(ISERROR(FZ54),"",IF(FZ54="","",FZ54-(AI14*12)))</f>
        <v>9</v>
      </c>
      <c r="AK14" s="2722" t="str">
        <f t="shared" ref="AK14:AO45" si="32">IF(ISBLANK(DO14),"",DO14)</f>
        <v/>
      </c>
      <c r="AL14" s="2723" t="str">
        <f t="shared" ref="AL14:AL45" si="33">IF(ISBLANK(DP14),"",UPPER(DP14))</f>
        <v/>
      </c>
      <c r="AM14" s="2724">
        <f t="shared" si="32"/>
        <v>5</v>
      </c>
      <c r="AN14" s="2719">
        <f t="shared" si="32"/>
        <v>13</v>
      </c>
      <c r="AO14" s="2753">
        <f t="shared" si="32"/>
        <v>4</v>
      </c>
      <c r="AP14" s="2726">
        <f t="shared" ref="AP14:AQ45" si="34">IF(ISERROR(GD54),"ERR",IF(OR(GD54="",GD54=0),"",GD54))</f>
        <v>1.75</v>
      </c>
      <c r="AQ14" s="2727">
        <f t="shared" si="34"/>
        <v>1.75</v>
      </c>
      <c r="AR14" s="2728" t="str">
        <f t="shared" ref="AR14:AR45" si="35">IF(ISERROR(GF54),"ERR",IF(GF54="","",IF(ISTEXT(GF54),"P",TRUNC(GF54/12))))</f>
        <v>P</v>
      </c>
      <c r="AS14" s="2721" t="str">
        <f t="shared" ref="AS14:AS45" si="36">IF(ISERROR(GF54),"",IF(GF54="","",IF(AR14="P",GF54,GF54-(AR14*12))))</f>
        <v>#5</v>
      </c>
      <c r="AT14" s="2729">
        <f t="shared" ref="AT14:AT45" si="37">IF(ISBLANK(DX14),"",DX14)</f>
        <v>0.3</v>
      </c>
      <c r="AU14" s="2731" t="str">
        <f t="shared" ref="AU14:AU45" si="38">IF(ISBLANK(DY14),"",UPPER(DY14))</f>
        <v/>
      </c>
      <c r="AV14" s="2754" t="str">
        <f t="shared" ref="AV14:AV45" si="39">IF(ISERROR(GG54),"ERR",IF(GG54="","",IF(ISTEXT(GG54),"P",TRUNC(GG54/12))))</f>
        <v>P</v>
      </c>
      <c r="AW14" s="2721" t="str">
        <f t="shared" ref="AW14:AW45" si="40">IF(ISERROR(GG54),"",IF(GG54="","",IF(AV14="P",GG54,GG54-(AV14*12))))</f>
        <v>#6</v>
      </c>
      <c r="AX14" s="2729">
        <f t="shared" ref="AX14:AX45" si="41">IF(ISBLANK(EB14),"",EB14)</f>
        <v>0.3</v>
      </c>
      <c r="AY14" s="2731" t="str">
        <f t="shared" ref="AY14:AY45" si="42">IF(ISBLANK(EC14),"",UPPER(EC14))</f>
        <v/>
      </c>
      <c r="AZ14" s="2754">
        <f t="shared" ref="AZ14:AZ45" si="43">IF(ISERROR(GH54),"ERR",IF(GH54="","",IF(ISTEXT(GH54),"P",TRUNC(GH54/12))))</f>
        <v>1</v>
      </c>
      <c r="BA14" s="2721">
        <f t="shared" ref="BA14:BA45" si="44">IF(ISERROR(GH54),"",IF(GH54="","",IF(AZ14="P",GH54,GH54-(AZ14*12))))</f>
        <v>0</v>
      </c>
      <c r="BB14" s="2729" t="str">
        <f t="shared" ref="BB14:BB45" si="45">IF(ISBLANK(EF14),"",EF14)</f>
        <v/>
      </c>
      <c r="BC14" s="2731" t="str">
        <f t="shared" ref="BC14:BC45" si="46">IF(ISBLANK(EG14),"",UPPER(EG14))</f>
        <v>B</v>
      </c>
      <c r="BD14" s="2754">
        <f t="shared" ref="BD14:BD45" si="47">IF(ISERROR(GI54),"ERR",IF(GI54="","",IF(ISTEXT(GI54),"P",TRUNC(GI54/12))))</f>
        <v>55</v>
      </c>
      <c r="BE14" s="2721">
        <f t="shared" ref="BE14:BE45" si="48">IF(ISERROR(GI54),"",IF(GI54="","",IF(BD14="P",GI54,GI54-(BD14*12))))</f>
        <v>0</v>
      </c>
      <c r="BF14" s="2729" t="str">
        <f t="shared" ref="BF14:BF45" si="49">IF(ISBLANK(EJ14),"",EJ14)</f>
        <v/>
      </c>
      <c r="BG14" s="2731" t="str">
        <f t="shared" ref="BG14:BG45" si="50">IF(ISBLANK(EK14),"",UPPER(EK14))</f>
        <v>B</v>
      </c>
      <c r="BH14" s="1417"/>
      <c r="BJ14" s="995" t="str">
        <f>IF(OR(ISBLANK(A14),A14=""),"",A14)</f>
        <v>G71</v>
      </c>
      <c r="BK14" s="993" t="b">
        <f t="shared" ref="BK14:BK45" si="51">IF($BK$1,IF(BJ14=BJ13,BK13,IF(AND(BJ14&lt;&gt;"",OR(B14=0,B14="")),TRUE,FALSE)),FALSE)</f>
        <v>0</v>
      </c>
      <c r="BL14" s="1784" t="b">
        <v>0</v>
      </c>
      <c r="BM14" s="989">
        <f t="shared" ref="BM14:BM45" si="52">IF(C14="",0,VALUE(IF(BN14="","",LEFT(C14,SEARCH(BN14,C14)-1))))</f>
        <v>72</v>
      </c>
      <c r="BN14" s="989" t="str">
        <f t="shared" ref="BN14:BN45" si="53">IF(C14="",0,IF(NOT(ISERROR(SEARCH("VG",C14))),"VG",IF(NOT(ISERROR(SEARCH("BG",C14))),"BG",IF(NOT(ISERROR(SEARCH("G",C14))),"G"))))</f>
        <v>G</v>
      </c>
      <c r="BO14" s="989">
        <f t="shared" ref="BO14:BO45" si="54">IF(C14="",0,VALUE(MID(C14,SEARCH(BN14,C14)+LEN(BN14),SEARCH("N",C14)-SEARCH(BN14,C14)-LEN(BN14))))</f>
        <v>7</v>
      </c>
      <c r="BP14" s="989" t="str">
        <f t="shared" ref="BP14:BP45" si="5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6">IF(ISERROR(SEARCH("F",C14)),IF(C14="",0,IF(SEARCH("K",C14)=LEN(C14),0,VALUE(MID(C14,SEARCH("K",C14)+1,LEN(C14))))),IF(C14="",0,IF(SEARCH("F",C14)=LEN(C14),0,VALUE(MID(C14,SEARCH("F",C14)+1,LEN(C14))))))</f>
        <v>2.4</v>
      </c>
      <c r="BR14" s="989" t="b">
        <f t="shared" ref="BR14:BR45" si="57">IF(OR(ISERROR(BM14),ISERROR(BN14),ISERROR(BO14),ISERROR(BP14),ISERROR(BQ14)),FALSE,TRUE)</f>
        <v>1</v>
      </c>
      <c r="BS14" s="1303">
        <f t="shared" ref="BS14:BS45" si="58">6+IF(LEFT(I14,1)="R",IF(ISNUMBER(G14),G14*12,0)+IF(ISNUMBER(H14),H14,0),0)</f>
        <v>8.75</v>
      </c>
      <c r="BT14" s="990" t="str">
        <f t="shared" ref="BT14:BT45" si="59">IF(IF(ISNUMBER(S14),S14*12,0)+IF(ISNUMBER(T14),T14,0)&gt;0,IF(AND(IF(ISNUMBER(S14),S14*12,0)+IF(ISNUMBER(T14),T14,0)&gt;=$FE$4/2+$EX$6,IF(ISNUMBER(S14),S14*12,0)+IF(ISNUMBER(T14),T14,0)&lt;=(BS14-($FE$4/2+$EX$6))+IF(I14="X",2,0)),"Yes","No"),"No")</f>
        <v>Yes</v>
      </c>
      <c r="BU14" s="1303">
        <f t="shared" ref="BU14:BU45" si="60">6+IF(LEFT(L14,1)="R",IF(ISNUMBER(J14),J14*12,0)+IF(ISNUMBER(K14),K14,0),0)</f>
        <v>8.75</v>
      </c>
      <c r="BV14" s="990" t="str">
        <f t="shared" ref="BV14:BV45" si="61">IF(IF(ISNUMBER(U14),U14*12,0)+IF(ISNUMBER(V14),V14,0)&gt;0,IF(AND(IF(ISNUMBER(U14),U14*12,0)+IF(ISNUMBER(V14),V14,0)&gt;=$FE$4/2+$EX$6,IF(ISNUMBER(U14),U14*12,0)+IF(ISNUMBER(V14),V14,0)&lt;=(BU14-($FE$4/2+$EX$6))+IF(L14="X",2,0)),"Yes","No"),"No")</f>
        <v>Yes</v>
      </c>
      <c r="BW14" s="991">
        <f t="shared" ref="BW14:BW45" si="62">IF(AB14="",0,1)+IF(AC14="",0,1)+IF(AD14="",0,1)+IF(AE14="",0,1)+IF(AF14="",0,1)+IF(AG14="",0,1)+IF(AH14="",0,1)+IF(AI14="",0,1)+IF(AJ14="",0,1)+IF(AK14="",0,1)+IF(AL14="",0,1)+IF(AM14="",0,1)+IF(AN14="",0,1)+IF(AO14="",0,1)+IF(AP14="",0,1)+IF(AQ14="",0,1)+IF(AR14="",0,1)+IF(AS14="",0,1)+IF(AT14="",0,1)+IF(AU14="",0,1)+IF(AV14="",0,1)+IF(AW14="",0,1)+IF(AX14="",0,1)+IF(AY14="",0,1)+IF(AZ14="",0,1)+IF(BA14="",0,1)+IF(BB14="",0,1)+IF(BC14="",0,1)+IF(BD14="",0,1)+IF(BE14="",0,1)+IF(BF14="",0,1)+IF(BG14="",0,1)</f>
        <v>26</v>
      </c>
      <c r="BX14" s="991" t="str">
        <f t="shared" ref="BX14:BX45" si="63">IF(AND(AB14="",BW14&gt;0),BX13,IF(ISBLANK(AB14),"",AB14))</f>
        <v>G71</v>
      </c>
      <c r="BY14" s="991" t="b">
        <f t="shared" ref="BY14:BY45" si="64">IF(ISERROR(VLOOKUP(BX14,$BJ$14:$BL$45,3,FALSE)),FALSE,VLOOKUP(BX14,$BJ$14:$BL$45,3,FALSE))</f>
        <v>0</v>
      </c>
      <c r="BZ14" s="991" t="b">
        <f>IF($BK$1,IF(BX14="",FALSE,IF(ISERROR(VLOOKUP(BX14,$A$14:$B$45,2,FALSE)),FALSE,IF(VLOOKUP(BX14,$A$14:$B$45,2,FALSE)=0,TRUE,FALSE))))</f>
        <v>0</v>
      </c>
      <c r="CB14" s="672" t="s">
        <v>1467</v>
      </c>
      <c r="CC14" s="1684">
        <v>1</v>
      </c>
      <c r="CD14" s="696" t="s">
        <v>1749</v>
      </c>
      <c r="CE14" s="697">
        <v>56</v>
      </c>
      <c r="CF14" s="698">
        <v>0</v>
      </c>
      <c r="CG14" s="664">
        <v>7</v>
      </c>
      <c r="CH14" s="709"/>
      <c r="CI14" s="710"/>
      <c r="CJ14" s="709"/>
      <c r="CK14" s="710"/>
      <c r="CL14" s="711"/>
      <c r="CM14" s="742"/>
      <c r="CN14" s="1614"/>
      <c r="CO14" s="1615"/>
      <c r="CP14" s="1616"/>
      <c r="CQ14" s="664">
        <v>7</v>
      </c>
      <c r="CR14" s="709"/>
      <c r="CS14" s="710"/>
      <c r="CT14" s="709"/>
      <c r="CU14" s="710"/>
      <c r="CV14" s="711"/>
      <c r="CW14" s="742"/>
      <c r="CX14" s="1614"/>
      <c r="CY14" s="1615"/>
      <c r="CZ14" s="1616"/>
      <c r="DA14" s="712"/>
      <c r="DB14" s="702" t="s">
        <v>1745</v>
      </c>
      <c r="DC14" s="703"/>
      <c r="DD14" s="723"/>
      <c r="DE14" s="724">
        <v>11.125</v>
      </c>
      <c r="DF14" s="141"/>
      <c r="DG14" s="141"/>
      <c r="DH14" s="672" t="s">
        <v>1467</v>
      </c>
      <c r="DI14" s="665" t="s">
        <v>35</v>
      </c>
      <c r="DJ14" s="690">
        <v>8</v>
      </c>
      <c r="DK14" s="1331">
        <v>0</v>
      </c>
      <c r="DL14" s="666">
        <v>5</v>
      </c>
      <c r="DM14" s="691">
        <v>8</v>
      </c>
      <c r="DN14" s="1334">
        <v>0</v>
      </c>
      <c r="DO14" s="667"/>
      <c r="DP14" s="668"/>
      <c r="DQ14" s="1419">
        <v>5</v>
      </c>
      <c r="DR14" s="669">
        <v>13</v>
      </c>
      <c r="DS14" s="1419">
        <v>4</v>
      </c>
      <c r="DT14" s="1422">
        <v>2</v>
      </c>
      <c r="DU14" s="1423">
        <v>2</v>
      </c>
      <c r="DV14" s="678" t="s">
        <v>1018</v>
      </c>
      <c r="DW14" s="1337" t="s">
        <v>1750</v>
      </c>
      <c r="DX14" s="679">
        <v>0.3</v>
      </c>
      <c r="DY14" s="674"/>
      <c r="DZ14" s="678" t="s">
        <v>1018</v>
      </c>
      <c r="EA14" s="1337" t="s">
        <v>1706</v>
      </c>
      <c r="EB14" s="679">
        <v>0.3</v>
      </c>
      <c r="EC14" s="674"/>
      <c r="ED14" s="2661">
        <v>1</v>
      </c>
      <c r="EE14" s="2664">
        <v>0.25</v>
      </c>
      <c r="EF14" s="679"/>
      <c r="EG14" s="2665" t="s">
        <v>35</v>
      </c>
      <c r="EH14" s="2661">
        <v>55</v>
      </c>
      <c r="EI14" s="2664">
        <v>0.25</v>
      </c>
      <c r="EJ14" s="679"/>
      <c r="EK14" s="2762" t="s">
        <v>35</v>
      </c>
      <c r="EL14" s="241"/>
      <c r="EM14" s="1630" t="str">
        <f t="shared" ref="EM14:EM45" si="65">IF(ISBLANK(CB14),"",CB14)</f>
        <v>G71</v>
      </c>
      <c r="EN14" s="1426" t="str">
        <f t="shared" ref="EN14:EN45" si="66">IF(DQ54=DR54,"",CONCATENATE(IF(CL14&lt;0,"NS ","FS "),IF(DR54="ERR","Slot Only",CONCATENATE("Slot @ ",DQ54))))</f>
        <v/>
      </c>
      <c r="EO14" s="1427" t="str">
        <f t="shared" ref="EO14:EO45" si="67">IF(DX54=DY54,"",CONCATENATE(IF(CV14&lt;0,"FS ","NS "),IF(DY54="ERR","Slot Only",CONCATENATE("Slot @ ",DX54))))</f>
        <v/>
      </c>
      <c r="EP14" s="1428" t="str">
        <f t="shared" ref="EP14:EP45" si="68">IF(EC54="","",IF(CI54&lt;&gt;EC54,CONCATENATE("LE slots @ ",CI54," Ga."),IF(CR54&lt;&gt;EC54,CONCATENATE("RE slots @ ",CR54," Ga."),"")))</f>
        <v/>
      </c>
      <c r="EQ14" s="1434" t="str">
        <f t="shared" ref="EQ14:EQ45" si="69">IF(AND(ET14&lt;&gt;"",CL14&lt;&gt;"",EU14&lt;&gt;"",CV14&lt;&gt;""),"BE",IF(AND(ET14&lt;&gt;"",CL14&lt;&gt;""),"LE",IF(AND(EU14&lt;&gt;"",CV14&lt;&gt;""),"RE","")))</f>
        <v/>
      </c>
      <c r="ER14" s="1437" t="str">
        <f t="shared" ref="ER14:ER45" si="70">IF(ISBLANK(CO14),"",IF(CEILING(DB54,0.125)&lt;=DC54+$FA$4,"",CEILING(DB54,0.125)))</f>
        <v/>
      </c>
      <c r="ES14" s="1438" t="str">
        <f t="shared" ref="ES14:ES45" si="71">IF(ISBLANK(CY14),"",IF(CEILING(DH54,0.125)&lt;=DI54+$FA$4,"",CEILING(DH54,0.125)))</f>
        <v/>
      </c>
      <c r="ET14" s="1439" t="str">
        <f t="shared" ref="ET14:ET45" si="72">IF(CG14="","",IF($FB$4&gt;EV54,EV54,""))</f>
        <v/>
      </c>
      <c r="EU14" s="1440"/>
      <c r="EX14" s="503" t="str">
        <f>CONCATENATE(BX14,AC14)</f>
        <v>G71B</v>
      </c>
      <c r="EY14" s="940" t="b">
        <f t="shared" ref="EY14:EY45" ca="1" si="73">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4">IF(ISNUMBER(AD14),AD14,0)*12+IF(ISNUMBER(AE14),AE14,0)</f>
        <v>93</v>
      </c>
      <c r="FD14" s="134">
        <f t="shared" ref="FD14:FD45" si="75">IF(ISNUMBER(AF14),AF14,0)*(IF(ISNUMBER(AG14),AG14,0)*12+IF(ISNUMBER(AH14),AH14,0))</f>
        <v>480</v>
      </c>
      <c r="FE14" s="134">
        <f t="shared" ref="FE14:FE45" si="76">IF(ISNUMBER(AI14),AI14,0)*12+IF(ISNUMBER(AJ14),AJ14,0)</f>
        <v>93</v>
      </c>
      <c r="FF14" s="134">
        <f>SUM(FC14:FE14)+IF(FE14=0,FF15,0)</f>
        <v>666</v>
      </c>
      <c r="FN14" s="754" t="b">
        <v>0</v>
      </c>
      <c r="FO14" s="754" t="b">
        <f t="shared" ref="FO14:FO45" si="77">NOT(ISERROR(VLOOKUP(A14,$AB$14:$AB$45,1,FALSE)))</f>
        <v>1</v>
      </c>
      <c r="FP14" s="754" t="b">
        <v>0</v>
      </c>
      <c r="FQ14" s="754" t="b">
        <f>NOT(ISERROR(VLOOKUP(AB14,$A$14:$A$45,1,FALSE)))</f>
        <v>1</v>
      </c>
      <c r="FW14" s="2"/>
      <c r="FX14" s="2"/>
      <c r="FZ14" s="2"/>
      <c r="GA14" s="581">
        <f t="shared" ref="GA14:GA45" si="78">IF(GF14="","",CE14)</f>
        <v>56</v>
      </c>
      <c r="GB14" s="623">
        <f t="shared" ref="GB14:GB45" si="79">IF(GF14="","",CF14)</f>
        <v>0</v>
      </c>
      <c r="GC14" s="625">
        <f t="shared" ref="GC14:GC45" si="80">IF(GF14="","",IF(CD54="",0,CD54))</f>
        <v>-0.25</v>
      </c>
      <c r="GD14" s="626">
        <f t="shared" ref="GD14:GD45" si="81">IF(GF14="","",IF(CM54="",0,CM54))</f>
        <v>-0.25</v>
      </c>
      <c r="GE14" s="624">
        <f t="shared" ref="GE14:GE45" si="82">IF(GF14="","",IF(ISBLANK(DA14),IF(X14=Y14,0,MAX(ABS(X14),ABS(Y14))*IF(X14&lt;0,-1,1)),DA14))</f>
        <v>0</v>
      </c>
      <c r="GF14" s="582" t="str">
        <f t="shared" ref="GF14:GF45" si="83">IF(A14=0,"",A14)</f>
        <v>G71</v>
      </c>
      <c r="GG14" s="692">
        <v>0</v>
      </c>
      <c r="GH14" s="1135">
        <v>0</v>
      </c>
      <c r="GI14" s="692"/>
      <c r="GJ14" s="1135"/>
      <c r="GK14" s="1641">
        <f t="shared" ref="GK14:GK45" si="84">IF(D14="",0,D14*12+E14)</f>
        <v>671.5</v>
      </c>
      <c r="GL14" s="1641">
        <f t="shared" ref="GL14:GL45" si="85">(GA14*12+GB14+GC14+GD14)/COS(ATAN(ABS(GE14/12)))</f>
        <v>671.5</v>
      </c>
      <c r="GM14" s="1642">
        <f>IF(ABS(GK14-GL14)&gt;='Job Info.'!$L$22,ABS(GK14-GL14),0)</f>
        <v>0</v>
      </c>
      <c r="HA14" s="1242" t="s">
        <v>1467</v>
      </c>
      <c r="HB14" s="1243">
        <v>1</v>
      </c>
      <c r="HC14" s="1243" t="s">
        <v>1749</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1745</v>
      </c>
      <c r="IB14" s="1247"/>
      <c r="IC14" s="1247"/>
      <c r="ID14" s="1262">
        <v>11.125</v>
      </c>
      <c r="IE14" s="1257" t="s">
        <v>1467</v>
      </c>
      <c r="IF14" s="1258" t="s">
        <v>35</v>
      </c>
      <c r="IG14" s="1259">
        <v>8</v>
      </c>
      <c r="IH14" s="1260">
        <v>0</v>
      </c>
      <c r="II14" s="1258">
        <v>5</v>
      </c>
      <c r="IJ14" s="1259">
        <v>8</v>
      </c>
      <c r="IK14" s="1260">
        <v>0</v>
      </c>
      <c r="IL14" s="1258"/>
      <c r="IM14" s="1258"/>
      <c r="IN14" s="1258">
        <v>5</v>
      </c>
      <c r="IO14" s="1258">
        <v>13</v>
      </c>
      <c r="IP14" s="1258">
        <v>4</v>
      </c>
      <c r="IQ14" s="1258">
        <v>2</v>
      </c>
      <c r="IR14" s="1258">
        <v>2</v>
      </c>
      <c r="IS14" s="1259" t="s">
        <v>1018</v>
      </c>
      <c r="IT14" s="1260" t="s">
        <v>1750</v>
      </c>
      <c r="IU14" s="1258">
        <v>0.3</v>
      </c>
      <c r="IV14" s="1258"/>
      <c r="IW14" s="1259" t="s">
        <v>1018</v>
      </c>
      <c r="IX14" s="1260" t="s">
        <v>1706</v>
      </c>
      <c r="IY14" s="1258">
        <v>0.3</v>
      </c>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83" t="str">
        <f t="shared" si="0"/>
        <v>G72</v>
      </c>
      <c r="B15" s="2684">
        <f t="shared" si="0"/>
        <v>1</v>
      </c>
      <c r="C15" s="2685" t="s">
        <v>1749</v>
      </c>
      <c r="D15" s="2686">
        <f t="shared" si="1"/>
        <v>55</v>
      </c>
      <c r="E15" s="2687">
        <f t="shared" si="2"/>
        <v>11.5</v>
      </c>
      <c r="F15" s="2688">
        <f t="shared" si="3"/>
        <v>11.125</v>
      </c>
      <c r="G15" s="2689">
        <f t="shared" si="4"/>
        <v>0</v>
      </c>
      <c r="H15" s="2690">
        <f t="shared" si="5"/>
        <v>2.75</v>
      </c>
      <c r="I15" s="2691" t="str">
        <f t="shared" si="6"/>
        <v>R</v>
      </c>
      <c r="J15" s="2686">
        <f t="shared" si="7"/>
        <v>0</v>
      </c>
      <c r="K15" s="2690">
        <f t="shared" si="8"/>
        <v>2.75</v>
      </c>
      <c r="L15" s="2692" t="str">
        <f t="shared" si="9"/>
        <v>R</v>
      </c>
      <c r="M15" s="2693">
        <f t="shared" si="10"/>
        <v>7.5</v>
      </c>
      <c r="N15" s="2694">
        <f t="shared" si="10"/>
        <v>7.5</v>
      </c>
      <c r="O15" s="2689">
        <f t="shared" si="11"/>
        <v>0</v>
      </c>
      <c r="P15" s="2690">
        <f t="shared" si="12"/>
        <v>7.75</v>
      </c>
      <c r="Q15" s="2686">
        <f t="shared" si="13"/>
        <v>0</v>
      </c>
      <c r="R15" s="2687">
        <f t="shared" si="14"/>
        <v>7.75</v>
      </c>
      <c r="S15" s="2695">
        <f t="shared" si="15"/>
        <v>0</v>
      </c>
      <c r="T15" s="2690">
        <f t="shared" si="16"/>
        <v>7.25</v>
      </c>
      <c r="U15" s="2686">
        <f t="shared" si="17"/>
        <v>0</v>
      </c>
      <c r="V15" s="2690">
        <f t="shared" si="18"/>
        <v>7.25</v>
      </c>
      <c r="W15" s="2694">
        <f t="shared" si="19"/>
        <v>5</v>
      </c>
      <c r="X15" s="2696" t="str">
        <f t="shared" si="20"/>
        <v/>
      </c>
      <c r="Y15" s="2697" t="str">
        <f t="shared" si="21"/>
        <v/>
      </c>
      <c r="Z15" s="2698" t="s">
        <v>1935</v>
      </c>
      <c r="AA15" s="2758" t="str">
        <f t="shared" si="22"/>
        <v/>
      </c>
      <c r="AB15" s="2683" t="str">
        <f t="shared" si="23"/>
        <v>G72</v>
      </c>
      <c r="AC15" s="2691" t="str">
        <f t="shared" si="24"/>
        <v>B</v>
      </c>
      <c r="AD15" s="2686">
        <f t="shared" ca="1" si="25"/>
        <v>7</v>
      </c>
      <c r="AE15" s="2690">
        <f t="shared" ca="1" si="26"/>
        <v>9</v>
      </c>
      <c r="AF15" s="2691">
        <f t="shared" ca="1" si="27"/>
        <v>5</v>
      </c>
      <c r="AG15" s="2686">
        <f t="shared" ca="1" si="28"/>
        <v>8</v>
      </c>
      <c r="AH15" s="2690">
        <f t="shared" ca="1" si="29"/>
        <v>0</v>
      </c>
      <c r="AI15" s="2686">
        <f t="shared" ca="1" si="30"/>
        <v>7</v>
      </c>
      <c r="AJ15" s="2690">
        <f t="shared" ca="1" si="31"/>
        <v>9</v>
      </c>
      <c r="AK15" s="2732" t="str">
        <f t="shared" si="32"/>
        <v/>
      </c>
      <c r="AL15" s="2733" t="str">
        <f t="shared" si="33"/>
        <v/>
      </c>
      <c r="AM15" s="2734">
        <f t="shared" si="32"/>
        <v>5</v>
      </c>
      <c r="AN15" s="2691">
        <f t="shared" si="32"/>
        <v>13</v>
      </c>
      <c r="AO15" s="2694">
        <f t="shared" si="32"/>
        <v>4</v>
      </c>
      <c r="AP15" s="2693">
        <f t="shared" si="34"/>
        <v>1.75</v>
      </c>
      <c r="AQ15" s="2736">
        <f t="shared" si="34"/>
        <v>1.75</v>
      </c>
      <c r="AR15" s="2689" t="str">
        <f t="shared" si="35"/>
        <v>P</v>
      </c>
      <c r="AS15" s="2690" t="str">
        <f t="shared" si="36"/>
        <v>#1</v>
      </c>
      <c r="AT15" s="2737">
        <f t="shared" si="37"/>
        <v>0.3</v>
      </c>
      <c r="AU15" s="2738" t="str">
        <f t="shared" si="38"/>
        <v/>
      </c>
      <c r="AV15" s="2695" t="str">
        <f t="shared" si="39"/>
        <v>P</v>
      </c>
      <c r="AW15" s="2690" t="str">
        <f t="shared" si="40"/>
        <v>#2</v>
      </c>
      <c r="AX15" s="2737">
        <f t="shared" si="41"/>
        <v>0.3</v>
      </c>
      <c r="AY15" s="2738" t="str">
        <f t="shared" si="42"/>
        <v/>
      </c>
      <c r="AZ15" s="2695">
        <f t="shared" si="43"/>
        <v>1</v>
      </c>
      <c r="BA15" s="2690">
        <f t="shared" si="44"/>
        <v>0</v>
      </c>
      <c r="BB15" s="2737" t="str">
        <f t="shared" si="45"/>
        <v/>
      </c>
      <c r="BC15" s="2738" t="str">
        <f t="shared" si="46"/>
        <v>B</v>
      </c>
      <c r="BD15" s="2695">
        <f t="shared" si="47"/>
        <v>55</v>
      </c>
      <c r="BE15" s="2690">
        <f t="shared" si="48"/>
        <v>0</v>
      </c>
      <c r="BF15" s="2737" t="str">
        <f t="shared" si="49"/>
        <v/>
      </c>
      <c r="BG15" s="2738" t="str">
        <f t="shared" si="50"/>
        <v>B</v>
      </c>
      <c r="BH15" s="1417"/>
      <c r="BJ15" s="995" t="str">
        <f>IF(AND(OR(ISBLANK(A15),A15=""),Z15&lt;&gt;""),BJ14,IF(OR(ISBLANK(A15),A15=""),"",A15))</f>
        <v>G72</v>
      </c>
      <c r="BK15" s="993" t="b">
        <f t="shared" si="51"/>
        <v>0</v>
      </c>
      <c r="BL15" s="1784" t="b">
        <v>0</v>
      </c>
      <c r="BM15" s="989">
        <f t="shared" si="52"/>
        <v>72</v>
      </c>
      <c r="BN15" s="989" t="str">
        <f t="shared" si="53"/>
        <v>G</v>
      </c>
      <c r="BO15" s="989">
        <f t="shared" si="54"/>
        <v>7</v>
      </c>
      <c r="BP15" s="989" t="str">
        <f t="shared" si="55"/>
        <v>13/6</v>
      </c>
      <c r="BQ15" s="989">
        <f t="shared" si="56"/>
        <v>2.4</v>
      </c>
      <c r="BR15" s="989" t="b">
        <f t="shared" si="57"/>
        <v>1</v>
      </c>
      <c r="BS15" s="1303">
        <f t="shared" si="58"/>
        <v>8.75</v>
      </c>
      <c r="BT15" s="990" t="str">
        <f t="shared" si="59"/>
        <v>Yes</v>
      </c>
      <c r="BU15" s="1303">
        <f t="shared" si="60"/>
        <v>8.75</v>
      </c>
      <c r="BV15" s="990" t="str">
        <f t="shared" si="61"/>
        <v>Yes</v>
      </c>
      <c r="BW15" s="991">
        <f t="shared" ca="1" si="62"/>
        <v>26</v>
      </c>
      <c r="BX15" s="991" t="str">
        <f t="shared" ca="1" si="63"/>
        <v>G72</v>
      </c>
      <c r="BY15" s="991" t="b">
        <f t="shared" ca="1" si="64"/>
        <v>0</v>
      </c>
      <c r="BZ15" s="991" t="b">
        <f t="shared" ref="BZ15:BZ45" si="86">IF($BK$1,IF(BX15="",FALSE,IF(ISERROR(VLOOKUP(BX15,$A$14:$B$45,2,FALSE)),FALSE,IF(VLOOKUP(BX15,$A$14:$B$45,2,FALSE)=0,TRUE,FALSE))))</f>
        <v>0</v>
      </c>
      <c r="CB15" s="672" t="s">
        <v>1468</v>
      </c>
      <c r="CC15" s="1685">
        <v>1</v>
      </c>
      <c r="CD15" s="699" t="s">
        <v>1749</v>
      </c>
      <c r="CE15" s="700">
        <v>56</v>
      </c>
      <c r="CF15" s="701">
        <v>0</v>
      </c>
      <c r="CG15" s="672">
        <v>7</v>
      </c>
      <c r="CH15" s="713"/>
      <c r="CI15" s="714"/>
      <c r="CJ15" s="713"/>
      <c r="CK15" s="714"/>
      <c r="CL15" s="715"/>
      <c r="CM15" s="743"/>
      <c r="CN15" s="738"/>
      <c r="CO15" s="1552"/>
      <c r="CP15" s="910"/>
      <c r="CQ15" s="672">
        <v>7</v>
      </c>
      <c r="CR15" s="713"/>
      <c r="CS15" s="714"/>
      <c r="CT15" s="713"/>
      <c r="CU15" s="714"/>
      <c r="CV15" s="715"/>
      <c r="CW15" s="743"/>
      <c r="CX15" s="738"/>
      <c r="CY15" s="1552"/>
      <c r="CZ15" s="910"/>
      <c r="DA15" s="717"/>
      <c r="DB15" s="702" t="s">
        <v>1751</v>
      </c>
      <c r="DC15" s="703" t="s">
        <v>34</v>
      </c>
      <c r="DD15" s="725"/>
      <c r="DE15" s="726">
        <v>11.125</v>
      </c>
      <c r="DF15" s="141"/>
      <c r="DG15" s="141"/>
      <c r="DH15" s="672" t="s">
        <v>1468</v>
      </c>
      <c r="DI15" s="673" t="s">
        <v>35</v>
      </c>
      <c r="DJ15" s="692">
        <v>8</v>
      </c>
      <c r="DK15" s="1332">
        <v>0</v>
      </c>
      <c r="DL15" s="674">
        <v>5</v>
      </c>
      <c r="DM15" s="693">
        <v>8</v>
      </c>
      <c r="DN15" s="1335">
        <v>0</v>
      </c>
      <c r="DO15" s="675"/>
      <c r="DP15" s="676"/>
      <c r="DQ15" s="1420">
        <v>5</v>
      </c>
      <c r="DR15" s="677">
        <v>13</v>
      </c>
      <c r="DS15" s="1420">
        <v>4</v>
      </c>
      <c r="DT15" s="1422">
        <v>2</v>
      </c>
      <c r="DU15" s="1423">
        <v>2</v>
      </c>
      <c r="DV15" s="678" t="s">
        <v>1018</v>
      </c>
      <c r="DW15" s="1337" t="s">
        <v>1705</v>
      </c>
      <c r="DX15" s="679">
        <v>0.3</v>
      </c>
      <c r="DY15" s="674"/>
      <c r="DZ15" s="678" t="s">
        <v>1018</v>
      </c>
      <c r="EA15" s="1337" t="s">
        <v>1752</v>
      </c>
      <c r="EB15" s="679">
        <v>0.3</v>
      </c>
      <c r="EC15" s="674"/>
      <c r="ED15" s="2661">
        <v>1</v>
      </c>
      <c r="EE15" s="2664">
        <v>0.25</v>
      </c>
      <c r="EF15" s="679"/>
      <c r="EG15" s="2665" t="s">
        <v>35</v>
      </c>
      <c r="EH15" s="2661">
        <v>55</v>
      </c>
      <c r="EI15" s="2664">
        <v>0.25</v>
      </c>
      <c r="EJ15" s="679"/>
      <c r="EK15" s="2762" t="s">
        <v>35</v>
      </c>
      <c r="EL15" s="241"/>
      <c r="EM15" s="1632" t="str">
        <f t="shared" si="65"/>
        <v>G72</v>
      </c>
      <c r="EN15" s="1429" t="str">
        <f t="shared" si="66"/>
        <v/>
      </c>
      <c r="EO15" s="1430" t="str">
        <f t="shared" si="67"/>
        <v/>
      </c>
      <c r="EP15" s="1431" t="str">
        <f t="shared" si="68"/>
        <v/>
      </c>
      <c r="EQ15" s="1435" t="str">
        <f t="shared" si="69"/>
        <v/>
      </c>
      <c r="ER15" s="1441" t="str">
        <f t="shared" si="70"/>
        <v/>
      </c>
      <c r="ES15" s="1442" t="str">
        <f t="shared" si="71"/>
        <v/>
      </c>
      <c r="ET15" s="1443" t="str">
        <f t="shared" si="72"/>
        <v/>
      </c>
      <c r="EU15" s="1444" t="str">
        <f t="shared" ref="EU15:EU45" si="87">IF(CQ15="","",IF($FB$4&gt;EW55,EW55,""))</f>
        <v/>
      </c>
      <c r="EX15" s="503" t="str">
        <f t="shared" ref="EX15:EX45" ca="1" si="88">IF(AND(AC15="",BX15=BX14),EX14,CONCATENATE(BX15,AC15))</f>
        <v>G72B</v>
      </c>
      <c r="EY15" s="940" t="b">
        <f t="shared" ca="1" si="73"/>
        <v>1</v>
      </c>
      <c r="EZ15" s="940">
        <f t="shared" ref="EZ15:EZ45" ca="1" si="89">IF(AB15="","",IF(VLOOKUP(BX15,$A$14:$F$45,6,FALSE)="",0,HLOOKUP(VLOOKUP(BX15,$A$14:$F$45,6,FALSE),$FG$4:$FI$5,2,TRUE)))</f>
        <v>5</v>
      </c>
      <c r="FA15" s="958" t="b">
        <f ca="1">IF(FB15="","",IF(FC15=0,FA14,FB15=FF15))</f>
        <v>1</v>
      </c>
      <c r="FB15" s="134">
        <f t="shared" ref="FB15:FB45" ca="1" si="90">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4"/>
        <v>93</v>
      </c>
      <c r="FD15" s="134">
        <f t="shared" ca="1" si="75"/>
        <v>480</v>
      </c>
      <c r="FE15" s="134">
        <f t="shared" ca="1" si="76"/>
        <v>93</v>
      </c>
      <c r="FF15" s="134">
        <f t="shared" ref="FF15:FF45" ca="1" si="91">SUM(FC15:FE15)+IF(FE15=0,FF16,0)</f>
        <v>666</v>
      </c>
      <c r="FN15" s="754" t="b">
        <v>0</v>
      </c>
      <c r="FO15" s="754" t="b">
        <f t="shared" si="77"/>
        <v>1</v>
      </c>
      <c r="FP15" s="754" t="b">
        <v>0</v>
      </c>
      <c r="FQ15" s="754" t="b">
        <f t="shared" ref="FQ15:FQ45" si="92">NOT(ISERROR(VLOOKUP(AB15,$A$14:$A$45,1,FALSE)))</f>
        <v>1</v>
      </c>
      <c r="FW15" s="2"/>
      <c r="FX15" s="2"/>
      <c r="FZ15" s="2"/>
      <c r="GA15" s="581">
        <f t="shared" si="78"/>
        <v>56</v>
      </c>
      <c r="GB15" s="623">
        <f t="shared" si="79"/>
        <v>0</v>
      </c>
      <c r="GC15" s="625">
        <f t="shared" si="80"/>
        <v>-0.25</v>
      </c>
      <c r="GD15" s="626">
        <f t="shared" si="81"/>
        <v>-0.25</v>
      </c>
      <c r="GE15" s="624">
        <f t="shared" si="82"/>
        <v>0</v>
      </c>
      <c r="GF15" s="582" t="str">
        <f t="shared" si="83"/>
        <v>G72</v>
      </c>
      <c r="GG15" s="692">
        <v>0</v>
      </c>
      <c r="GH15" s="1136">
        <v>0</v>
      </c>
      <c r="GI15" s="692"/>
      <c r="GJ15" s="1136"/>
      <c r="GK15" s="1641">
        <f t="shared" si="84"/>
        <v>671.5</v>
      </c>
      <c r="GL15" s="1641">
        <f t="shared" si="85"/>
        <v>671.5</v>
      </c>
      <c r="GM15" s="1642">
        <f>IF(ABS(GK15-GL15)&gt;='Job Info.'!$L$22,ABS(GK15-GL15),0)</f>
        <v>0</v>
      </c>
      <c r="HA15" s="1242" t="s">
        <v>1468</v>
      </c>
      <c r="HB15" s="1243">
        <v>1</v>
      </c>
      <c r="HC15" s="1243" t="s">
        <v>1749</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1751</v>
      </c>
      <c r="IB15" s="1247" t="s">
        <v>34</v>
      </c>
      <c r="IC15" s="1247"/>
      <c r="ID15" s="1262">
        <v>11.125</v>
      </c>
      <c r="IE15" s="1242" t="s">
        <v>1468</v>
      </c>
      <c r="IF15" s="1243" t="s">
        <v>35</v>
      </c>
      <c r="IG15" s="1244">
        <v>8</v>
      </c>
      <c r="IH15" s="1245">
        <v>0</v>
      </c>
      <c r="II15" s="1243">
        <v>5</v>
      </c>
      <c r="IJ15" s="1244">
        <v>8</v>
      </c>
      <c r="IK15" s="1245">
        <v>0</v>
      </c>
      <c r="IL15" s="1243"/>
      <c r="IM15" s="1243"/>
      <c r="IN15" s="1243">
        <v>5</v>
      </c>
      <c r="IO15" s="1243">
        <v>13</v>
      </c>
      <c r="IP15" s="1243">
        <v>4</v>
      </c>
      <c r="IQ15" s="1243">
        <v>2</v>
      </c>
      <c r="IR15" s="1243">
        <v>2</v>
      </c>
      <c r="IS15" s="1244" t="s">
        <v>1018</v>
      </c>
      <c r="IT15" s="1245" t="s">
        <v>1705</v>
      </c>
      <c r="IU15" s="1243">
        <v>0.3</v>
      </c>
      <c r="IV15" s="1243"/>
      <c r="IW15" s="1244" t="s">
        <v>1018</v>
      </c>
      <c r="IX15" s="1245" t="s">
        <v>1752</v>
      </c>
      <c r="IY15" s="1243">
        <v>0.3</v>
      </c>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83" t="str">
        <f t="shared" si="0"/>
        <v>G73</v>
      </c>
      <c r="B16" s="2684">
        <f t="shared" si="0"/>
        <v>7</v>
      </c>
      <c r="C16" s="2685" t="s">
        <v>1749</v>
      </c>
      <c r="D16" s="2686">
        <f t="shared" si="1"/>
        <v>55</v>
      </c>
      <c r="E16" s="2687">
        <f t="shared" si="2"/>
        <v>11.5</v>
      </c>
      <c r="F16" s="2688">
        <f t="shared" si="3"/>
        <v>11.125</v>
      </c>
      <c r="G16" s="2689">
        <f t="shared" si="4"/>
        <v>0</v>
      </c>
      <c r="H16" s="2690">
        <f t="shared" si="5"/>
        <v>2.75</v>
      </c>
      <c r="I16" s="2691" t="str">
        <f t="shared" si="6"/>
        <v>R</v>
      </c>
      <c r="J16" s="2686">
        <f t="shared" si="7"/>
        <v>0</v>
      </c>
      <c r="K16" s="2690">
        <f t="shared" si="8"/>
        <v>2.75</v>
      </c>
      <c r="L16" s="2692" t="str">
        <f t="shared" si="9"/>
        <v>R</v>
      </c>
      <c r="M16" s="2693">
        <f t="shared" si="10"/>
        <v>7.5</v>
      </c>
      <c r="N16" s="2694">
        <f t="shared" si="10"/>
        <v>7.5</v>
      </c>
      <c r="O16" s="2689">
        <f t="shared" si="11"/>
        <v>0</v>
      </c>
      <c r="P16" s="2690">
        <f t="shared" si="12"/>
        <v>7.75</v>
      </c>
      <c r="Q16" s="2686">
        <f t="shared" si="13"/>
        <v>0</v>
      </c>
      <c r="R16" s="2687">
        <f t="shared" si="14"/>
        <v>7.75</v>
      </c>
      <c r="S16" s="2695">
        <f t="shared" si="15"/>
        <v>0</v>
      </c>
      <c r="T16" s="2690">
        <f t="shared" si="16"/>
        <v>7.25</v>
      </c>
      <c r="U16" s="2686">
        <f t="shared" si="17"/>
        <v>0</v>
      </c>
      <c r="V16" s="2690">
        <f t="shared" si="18"/>
        <v>7.25</v>
      </c>
      <c r="W16" s="2694">
        <f t="shared" si="19"/>
        <v>5</v>
      </c>
      <c r="X16" s="2696" t="str">
        <f t="shared" si="20"/>
        <v/>
      </c>
      <c r="Y16" s="2697" t="str">
        <f t="shared" si="21"/>
        <v/>
      </c>
      <c r="Z16" s="2698" t="s">
        <v>1936</v>
      </c>
      <c r="AA16" s="2758" t="str">
        <f t="shared" si="22"/>
        <v/>
      </c>
      <c r="AB16" s="2683" t="str">
        <f t="shared" si="23"/>
        <v>G73</v>
      </c>
      <c r="AC16" s="2691" t="str">
        <f t="shared" si="24"/>
        <v>B</v>
      </c>
      <c r="AD16" s="2686">
        <f t="shared" ca="1" si="25"/>
        <v>7</v>
      </c>
      <c r="AE16" s="2690">
        <f t="shared" ca="1" si="26"/>
        <v>9</v>
      </c>
      <c r="AF16" s="2691">
        <f t="shared" ca="1" si="27"/>
        <v>5</v>
      </c>
      <c r="AG16" s="2686">
        <f t="shared" ca="1" si="28"/>
        <v>8</v>
      </c>
      <c r="AH16" s="2690">
        <f t="shared" ca="1" si="29"/>
        <v>0</v>
      </c>
      <c r="AI16" s="2686">
        <f t="shared" ca="1" si="30"/>
        <v>7</v>
      </c>
      <c r="AJ16" s="2690">
        <f t="shared" ca="1" si="31"/>
        <v>9</v>
      </c>
      <c r="AK16" s="2732" t="str">
        <f t="shared" si="32"/>
        <v/>
      </c>
      <c r="AL16" s="2733" t="str">
        <f t="shared" si="33"/>
        <v/>
      </c>
      <c r="AM16" s="2734">
        <f t="shared" si="32"/>
        <v>5</v>
      </c>
      <c r="AN16" s="2691">
        <f t="shared" si="32"/>
        <v>13</v>
      </c>
      <c r="AO16" s="2694">
        <f t="shared" si="32"/>
        <v>4</v>
      </c>
      <c r="AP16" s="2693">
        <f t="shared" si="34"/>
        <v>1.75</v>
      </c>
      <c r="AQ16" s="2736">
        <f t="shared" si="34"/>
        <v>1.75</v>
      </c>
      <c r="AR16" s="2689">
        <f t="shared" si="35"/>
        <v>1</v>
      </c>
      <c r="AS16" s="2690">
        <f t="shared" si="36"/>
        <v>0</v>
      </c>
      <c r="AT16" s="2737" t="str">
        <f t="shared" si="37"/>
        <v/>
      </c>
      <c r="AU16" s="2738" t="str">
        <f t="shared" si="38"/>
        <v>B</v>
      </c>
      <c r="AV16" s="2695">
        <f t="shared" si="39"/>
        <v>55</v>
      </c>
      <c r="AW16" s="2690">
        <f t="shared" si="40"/>
        <v>0</v>
      </c>
      <c r="AX16" s="2737" t="str">
        <f t="shared" si="41"/>
        <v/>
      </c>
      <c r="AY16" s="2738" t="str">
        <f t="shared" si="42"/>
        <v>B</v>
      </c>
      <c r="AZ16" s="2695" t="str">
        <f t="shared" si="43"/>
        <v/>
      </c>
      <c r="BA16" s="2690" t="str">
        <f t="shared" si="44"/>
        <v/>
      </c>
      <c r="BB16" s="2737" t="str">
        <f t="shared" si="45"/>
        <v/>
      </c>
      <c r="BC16" s="2738" t="str">
        <f t="shared" si="46"/>
        <v/>
      </c>
      <c r="BD16" s="2695" t="str">
        <f t="shared" si="47"/>
        <v/>
      </c>
      <c r="BE16" s="2690" t="str">
        <f t="shared" si="48"/>
        <v/>
      </c>
      <c r="BF16" s="2737" t="str">
        <f t="shared" si="49"/>
        <v/>
      </c>
      <c r="BG16" s="2738" t="str">
        <f t="shared" si="50"/>
        <v/>
      </c>
      <c r="BH16" s="1417"/>
      <c r="BJ16" s="995" t="str">
        <f t="shared" ref="BJ16:BJ45" si="93">IF(AND(OR(ISBLANK(A16),A16=""),Z16&lt;&gt;""),BJ15,IF(OR(ISBLANK(A16),A16=""),"",A16))</f>
        <v>G73</v>
      </c>
      <c r="BK16" s="993" t="b">
        <f t="shared" si="51"/>
        <v>0</v>
      </c>
      <c r="BL16" s="1784" t="b">
        <v>0</v>
      </c>
      <c r="BM16" s="989">
        <f t="shared" si="52"/>
        <v>72</v>
      </c>
      <c r="BN16" s="989" t="str">
        <f t="shared" si="53"/>
        <v>G</v>
      </c>
      <c r="BO16" s="989">
        <f t="shared" si="54"/>
        <v>7</v>
      </c>
      <c r="BP16" s="989" t="str">
        <f t="shared" si="55"/>
        <v>13/6</v>
      </c>
      <c r="BQ16" s="989">
        <f t="shared" si="56"/>
        <v>2.4</v>
      </c>
      <c r="BR16" s="989" t="b">
        <f t="shared" si="57"/>
        <v>1</v>
      </c>
      <c r="BS16" s="1303">
        <f t="shared" si="58"/>
        <v>8.75</v>
      </c>
      <c r="BT16" s="990" t="str">
        <f t="shared" si="59"/>
        <v>Yes</v>
      </c>
      <c r="BU16" s="1303">
        <f t="shared" si="60"/>
        <v>8.75</v>
      </c>
      <c r="BV16" s="990" t="str">
        <f t="shared" si="61"/>
        <v>Yes</v>
      </c>
      <c r="BW16" s="991">
        <f t="shared" ca="1" si="62"/>
        <v>20</v>
      </c>
      <c r="BX16" s="991" t="str">
        <f t="shared" ca="1" si="63"/>
        <v>G73</v>
      </c>
      <c r="BY16" s="991" t="b">
        <f t="shared" ca="1" si="64"/>
        <v>0</v>
      </c>
      <c r="BZ16" s="991" t="b">
        <f t="shared" si="86"/>
        <v>0</v>
      </c>
      <c r="CB16" s="672" t="s">
        <v>1469</v>
      </c>
      <c r="CC16" s="1685">
        <v>7</v>
      </c>
      <c r="CD16" s="699" t="s">
        <v>1749</v>
      </c>
      <c r="CE16" s="700">
        <v>56</v>
      </c>
      <c r="CF16" s="701">
        <v>0</v>
      </c>
      <c r="CG16" s="672">
        <v>7</v>
      </c>
      <c r="CH16" s="713"/>
      <c r="CI16" s="714"/>
      <c r="CJ16" s="713"/>
      <c r="CK16" s="714"/>
      <c r="CL16" s="715"/>
      <c r="CM16" s="743"/>
      <c r="CN16" s="738"/>
      <c r="CO16" s="1552"/>
      <c r="CP16" s="910"/>
      <c r="CQ16" s="672">
        <v>7</v>
      </c>
      <c r="CR16" s="713"/>
      <c r="CS16" s="714"/>
      <c r="CT16" s="713"/>
      <c r="CU16" s="714"/>
      <c r="CV16" s="715"/>
      <c r="CW16" s="743"/>
      <c r="CX16" s="738"/>
      <c r="CY16" s="1552"/>
      <c r="CZ16" s="910"/>
      <c r="DA16" s="717"/>
      <c r="DB16" s="702">
        <v>11</v>
      </c>
      <c r="DC16" s="703"/>
      <c r="DD16" s="725"/>
      <c r="DE16" s="726">
        <v>11.125</v>
      </c>
      <c r="DF16" s="141"/>
      <c r="DG16" s="141"/>
      <c r="DH16" s="672" t="s">
        <v>1469</v>
      </c>
      <c r="DI16" s="673" t="s">
        <v>35</v>
      </c>
      <c r="DJ16" s="692">
        <v>8</v>
      </c>
      <c r="DK16" s="1332">
        <v>0</v>
      </c>
      <c r="DL16" s="674">
        <v>5</v>
      </c>
      <c r="DM16" s="693">
        <v>8</v>
      </c>
      <c r="DN16" s="1335">
        <v>0</v>
      </c>
      <c r="DO16" s="675"/>
      <c r="DP16" s="676"/>
      <c r="DQ16" s="1420">
        <v>5</v>
      </c>
      <c r="DR16" s="677">
        <v>13</v>
      </c>
      <c r="DS16" s="1420">
        <v>4</v>
      </c>
      <c r="DT16" s="1422">
        <v>2</v>
      </c>
      <c r="DU16" s="1423">
        <v>2</v>
      </c>
      <c r="DV16" s="2661">
        <v>1</v>
      </c>
      <c r="DW16" s="2664">
        <v>0.25</v>
      </c>
      <c r="DX16" s="679"/>
      <c r="DY16" s="2665" t="s">
        <v>35</v>
      </c>
      <c r="DZ16" s="2661">
        <v>55</v>
      </c>
      <c r="EA16" s="2664">
        <v>0.25</v>
      </c>
      <c r="EB16" s="679"/>
      <c r="EC16" s="2665" t="s">
        <v>35</v>
      </c>
      <c r="ED16" s="678"/>
      <c r="EE16" s="1337"/>
      <c r="EF16" s="679"/>
      <c r="EG16" s="674"/>
      <c r="EH16" s="678"/>
      <c r="EI16" s="1337"/>
      <c r="EJ16" s="679"/>
      <c r="EK16" s="680"/>
      <c r="EL16" s="241"/>
      <c r="EM16" s="1632" t="str">
        <f t="shared" si="65"/>
        <v>G73</v>
      </c>
      <c r="EN16" s="1429" t="str">
        <f t="shared" si="66"/>
        <v/>
      </c>
      <c r="EO16" s="1430" t="str">
        <f t="shared" si="67"/>
        <v/>
      </c>
      <c r="EP16" s="1431" t="str">
        <f t="shared" si="68"/>
        <v/>
      </c>
      <c r="EQ16" s="1435" t="str">
        <f t="shared" si="69"/>
        <v/>
      </c>
      <c r="ER16" s="1441" t="str">
        <f t="shared" si="70"/>
        <v/>
      </c>
      <c r="ES16" s="1442" t="str">
        <f t="shared" si="71"/>
        <v/>
      </c>
      <c r="ET16" s="1443" t="str">
        <f t="shared" si="72"/>
        <v/>
      </c>
      <c r="EU16" s="1444" t="str">
        <f t="shared" si="87"/>
        <v/>
      </c>
      <c r="EX16" s="503" t="str">
        <f t="shared" ca="1" si="88"/>
        <v>G73B</v>
      </c>
      <c r="EY16" s="940" t="b">
        <f t="shared" ca="1" si="73"/>
        <v>1</v>
      </c>
      <c r="EZ16" s="940">
        <f t="shared" ca="1" si="89"/>
        <v>5</v>
      </c>
      <c r="FA16" s="958" t="b">
        <f t="shared" ref="FA16:FA45" ca="1" si="94">IF(FB16="","",IF(FC16=0,FA15,FB16=FF16))</f>
        <v>1</v>
      </c>
      <c r="FB16" s="134">
        <f t="shared" ca="1" si="90"/>
        <v>666</v>
      </c>
      <c r="FC16" s="134">
        <f t="shared" ca="1" si="74"/>
        <v>93</v>
      </c>
      <c r="FD16" s="134">
        <f t="shared" ca="1" si="75"/>
        <v>480</v>
      </c>
      <c r="FE16" s="134">
        <f t="shared" ca="1" si="76"/>
        <v>93</v>
      </c>
      <c r="FF16" s="134">
        <f t="shared" ca="1" si="91"/>
        <v>666</v>
      </c>
      <c r="FN16" s="754" t="b">
        <v>0</v>
      </c>
      <c r="FO16" s="754" t="b">
        <f t="shared" si="77"/>
        <v>1</v>
      </c>
      <c r="FP16" s="754" t="b">
        <v>0</v>
      </c>
      <c r="FQ16" s="754" t="b">
        <f t="shared" si="92"/>
        <v>1</v>
      </c>
      <c r="FW16" s="2"/>
      <c r="FX16" s="2"/>
      <c r="FZ16" s="2"/>
      <c r="GA16" s="581">
        <f t="shared" si="78"/>
        <v>56</v>
      </c>
      <c r="GB16" s="623">
        <f t="shared" si="79"/>
        <v>0</v>
      </c>
      <c r="GC16" s="625">
        <f t="shared" si="80"/>
        <v>-0.25</v>
      </c>
      <c r="GD16" s="626">
        <f t="shared" si="81"/>
        <v>-0.25</v>
      </c>
      <c r="GE16" s="624">
        <f t="shared" si="82"/>
        <v>0</v>
      </c>
      <c r="GF16" s="582" t="str">
        <f t="shared" si="83"/>
        <v>G73</v>
      </c>
      <c r="GG16" s="692">
        <v>0</v>
      </c>
      <c r="GH16" s="1136">
        <v>0</v>
      </c>
      <c r="GI16" s="692"/>
      <c r="GJ16" s="1136"/>
      <c r="GK16" s="1641">
        <f t="shared" si="84"/>
        <v>671.5</v>
      </c>
      <c r="GL16" s="1641">
        <f t="shared" si="85"/>
        <v>671.5</v>
      </c>
      <c r="GM16" s="1642">
        <f>IF(ABS(GK16-GL16)&gt;='Job Info.'!$L$22,ABS(GK16-GL16),0)</f>
        <v>0</v>
      </c>
      <c r="GO16" s="140"/>
      <c r="GP16" s="140"/>
      <c r="GZ16" s="140"/>
      <c r="HA16" s="1242" t="s">
        <v>1469</v>
      </c>
      <c r="HB16" s="1243">
        <v>7</v>
      </c>
      <c r="HC16" s="1243" t="s">
        <v>1749</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11</v>
      </c>
      <c r="IB16" s="1247"/>
      <c r="IC16" s="1247"/>
      <c r="ID16" s="1262">
        <v>11.125</v>
      </c>
      <c r="IE16" s="1242" t="s">
        <v>1469</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5">IF(ISBLANK(JK16),IF(JL15=0,0,IF(VALUE(OFFSET(JK16,JL15*-1,0))&lt;JL15+1,0,JL15+1)),1)</f>
        <v>1</v>
      </c>
    </row>
    <row r="17" spans="1:272" ht="12.6" customHeight="1" x14ac:dyDescent="0.25">
      <c r="A17" s="2683" t="str">
        <f t="shared" si="0"/>
        <v>G74</v>
      </c>
      <c r="B17" s="2684">
        <f t="shared" si="0"/>
        <v>1</v>
      </c>
      <c r="C17" s="2685" t="s">
        <v>1749</v>
      </c>
      <c r="D17" s="2686">
        <f t="shared" si="1"/>
        <v>55</v>
      </c>
      <c r="E17" s="2687">
        <f t="shared" si="2"/>
        <v>3.375</v>
      </c>
      <c r="F17" s="2688">
        <f t="shared" si="3"/>
        <v>11.125</v>
      </c>
      <c r="G17" s="2689">
        <f t="shared" si="4"/>
        <v>0</v>
      </c>
      <c r="H17" s="2690">
        <f t="shared" si="5"/>
        <v>2.75</v>
      </c>
      <c r="I17" s="2691" t="str">
        <f t="shared" si="6"/>
        <v>R</v>
      </c>
      <c r="J17" s="2686" t="str">
        <f t="shared" si="7"/>
        <v/>
      </c>
      <c r="K17" s="2690" t="str">
        <f t="shared" si="8"/>
        <v/>
      </c>
      <c r="L17" s="2692" t="str">
        <f t="shared" si="9"/>
        <v/>
      </c>
      <c r="M17" s="2693">
        <f t="shared" si="10"/>
        <v>7.5</v>
      </c>
      <c r="N17" s="2694">
        <f t="shared" si="10"/>
        <v>7.5</v>
      </c>
      <c r="O17" s="2689">
        <f t="shared" si="11"/>
        <v>0</v>
      </c>
      <c r="P17" s="2690">
        <f t="shared" si="12"/>
        <v>7.75</v>
      </c>
      <c r="Q17" s="2686">
        <f t="shared" si="13"/>
        <v>0</v>
      </c>
      <c r="R17" s="2687">
        <f t="shared" si="14"/>
        <v>1</v>
      </c>
      <c r="S17" s="2695">
        <f t="shared" si="15"/>
        <v>0</v>
      </c>
      <c r="T17" s="2690">
        <f t="shared" si="16"/>
        <v>7.25</v>
      </c>
      <c r="U17" s="2686">
        <f t="shared" si="17"/>
        <v>0</v>
      </c>
      <c r="V17" s="2690">
        <f t="shared" si="18"/>
        <v>1.5</v>
      </c>
      <c r="W17" s="2694">
        <f t="shared" si="19"/>
        <v>5</v>
      </c>
      <c r="X17" s="2696" t="str">
        <f t="shared" si="20"/>
        <v/>
      </c>
      <c r="Y17" s="2697" t="str">
        <f t="shared" si="21"/>
        <v/>
      </c>
      <c r="Z17" s="2698" t="s">
        <v>1937</v>
      </c>
      <c r="AA17" s="2758" t="str">
        <f t="shared" si="22"/>
        <v/>
      </c>
      <c r="AB17" s="2683" t="str">
        <f t="shared" si="23"/>
        <v>G74</v>
      </c>
      <c r="AC17" s="2691" t="str">
        <f t="shared" si="24"/>
        <v>B</v>
      </c>
      <c r="AD17" s="2686">
        <f t="shared" ca="1" si="25"/>
        <v>7</v>
      </c>
      <c r="AE17" s="2690">
        <f t="shared" ca="1" si="26"/>
        <v>9</v>
      </c>
      <c r="AF17" s="2691">
        <f t="shared" ca="1" si="27"/>
        <v>5</v>
      </c>
      <c r="AG17" s="2686">
        <f t="shared" ca="1" si="28"/>
        <v>8</v>
      </c>
      <c r="AH17" s="2690">
        <f t="shared" ca="1" si="29"/>
        <v>0</v>
      </c>
      <c r="AI17" s="2686">
        <f t="shared" ca="1" si="30"/>
        <v>7</v>
      </c>
      <c r="AJ17" s="2690">
        <f t="shared" ca="1" si="31"/>
        <v>3.625</v>
      </c>
      <c r="AK17" s="2732" t="str">
        <f t="shared" si="32"/>
        <v/>
      </c>
      <c r="AL17" s="2733" t="str">
        <f t="shared" si="33"/>
        <v/>
      </c>
      <c r="AM17" s="2734">
        <f t="shared" si="32"/>
        <v>5</v>
      </c>
      <c r="AN17" s="2691">
        <f t="shared" si="32"/>
        <v>13</v>
      </c>
      <c r="AO17" s="2694">
        <f t="shared" si="32"/>
        <v>4</v>
      </c>
      <c r="AP17" s="2693">
        <f t="shared" si="34"/>
        <v>1.75</v>
      </c>
      <c r="AQ17" s="2736" t="str">
        <f t="shared" si="34"/>
        <v/>
      </c>
      <c r="AR17" s="2689">
        <f t="shared" si="35"/>
        <v>1</v>
      </c>
      <c r="AS17" s="2690">
        <f t="shared" si="36"/>
        <v>0</v>
      </c>
      <c r="AT17" s="2737" t="str">
        <f t="shared" si="37"/>
        <v/>
      </c>
      <c r="AU17" s="2738" t="str">
        <f t="shared" si="38"/>
        <v>B</v>
      </c>
      <c r="AV17" s="2695" t="str">
        <f t="shared" si="39"/>
        <v/>
      </c>
      <c r="AW17" s="2690" t="str">
        <f t="shared" si="40"/>
        <v/>
      </c>
      <c r="AX17" s="2737" t="str">
        <f t="shared" si="41"/>
        <v/>
      </c>
      <c r="AY17" s="2738" t="str">
        <f t="shared" si="42"/>
        <v/>
      </c>
      <c r="AZ17" s="2695" t="str">
        <f t="shared" si="43"/>
        <v/>
      </c>
      <c r="BA17" s="2690" t="str">
        <f t="shared" si="44"/>
        <v/>
      </c>
      <c r="BB17" s="2737" t="str">
        <f t="shared" si="45"/>
        <v/>
      </c>
      <c r="BC17" s="2738" t="str">
        <f t="shared" si="46"/>
        <v/>
      </c>
      <c r="BD17" s="2695" t="str">
        <f t="shared" si="47"/>
        <v/>
      </c>
      <c r="BE17" s="2690" t="str">
        <f t="shared" si="48"/>
        <v/>
      </c>
      <c r="BF17" s="2737" t="str">
        <f t="shared" si="49"/>
        <v/>
      </c>
      <c r="BG17" s="2738" t="str">
        <f t="shared" si="50"/>
        <v/>
      </c>
      <c r="BH17" s="1417"/>
      <c r="BJ17" s="995" t="str">
        <f t="shared" si="93"/>
        <v>G74</v>
      </c>
      <c r="BK17" s="993" t="b">
        <f t="shared" si="51"/>
        <v>0</v>
      </c>
      <c r="BL17" s="1784" t="b">
        <v>0</v>
      </c>
      <c r="BM17" s="989">
        <f t="shared" si="52"/>
        <v>72</v>
      </c>
      <c r="BN17" s="989" t="str">
        <f t="shared" si="53"/>
        <v>G</v>
      </c>
      <c r="BO17" s="989">
        <f t="shared" si="54"/>
        <v>7</v>
      </c>
      <c r="BP17" s="989" t="str">
        <f t="shared" si="55"/>
        <v>13/6</v>
      </c>
      <c r="BQ17" s="989">
        <f t="shared" si="56"/>
        <v>2.4</v>
      </c>
      <c r="BR17" s="989" t="b">
        <f t="shared" si="57"/>
        <v>1</v>
      </c>
      <c r="BS17" s="1303">
        <f t="shared" si="58"/>
        <v>8.75</v>
      </c>
      <c r="BT17" s="990" t="str">
        <f t="shared" si="59"/>
        <v>Yes</v>
      </c>
      <c r="BU17" s="1303">
        <f t="shared" si="60"/>
        <v>6</v>
      </c>
      <c r="BV17" s="990" t="str">
        <f t="shared" si="61"/>
        <v>Yes</v>
      </c>
      <c r="BW17" s="991">
        <f t="shared" ca="1" si="62"/>
        <v>16</v>
      </c>
      <c r="BX17" s="991" t="str">
        <f t="shared" ca="1" si="63"/>
        <v>G74</v>
      </c>
      <c r="BY17" s="991" t="b">
        <f t="shared" ca="1" si="64"/>
        <v>0</v>
      </c>
      <c r="BZ17" s="991" t="b">
        <f t="shared" si="86"/>
        <v>0</v>
      </c>
      <c r="CB17" s="672" t="s">
        <v>1470</v>
      </c>
      <c r="CC17" s="1685">
        <v>1</v>
      </c>
      <c r="CD17" s="699" t="s">
        <v>1749</v>
      </c>
      <c r="CE17" s="700">
        <v>56</v>
      </c>
      <c r="CF17" s="701">
        <v>0</v>
      </c>
      <c r="CG17" s="672">
        <v>7</v>
      </c>
      <c r="CH17" s="713"/>
      <c r="CI17" s="714"/>
      <c r="CJ17" s="713"/>
      <c r="CK17" s="714"/>
      <c r="CL17" s="715"/>
      <c r="CM17" s="743"/>
      <c r="CN17" s="738"/>
      <c r="CO17" s="1552"/>
      <c r="CP17" s="910"/>
      <c r="CQ17" s="672">
        <v>11</v>
      </c>
      <c r="CR17" s="713"/>
      <c r="CS17" s="714"/>
      <c r="CT17" s="713"/>
      <c r="CU17" s="714"/>
      <c r="CV17" s="715"/>
      <c r="CW17" s="743"/>
      <c r="CX17" s="738"/>
      <c r="CY17" s="1552"/>
      <c r="CZ17" s="910"/>
      <c r="DA17" s="717"/>
      <c r="DB17" s="702">
        <v>11</v>
      </c>
      <c r="DC17" s="703"/>
      <c r="DD17" s="725"/>
      <c r="DE17" s="726">
        <v>11.125</v>
      </c>
      <c r="DF17" s="141"/>
      <c r="DG17" s="141"/>
      <c r="DH17" s="672" t="s">
        <v>1470</v>
      </c>
      <c r="DI17" s="673" t="s">
        <v>35</v>
      </c>
      <c r="DJ17" s="692">
        <v>8</v>
      </c>
      <c r="DK17" s="1332">
        <v>0</v>
      </c>
      <c r="DL17" s="674">
        <v>5</v>
      </c>
      <c r="DM17" s="693">
        <v>8</v>
      </c>
      <c r="DN17" s="1335">
        <v>0</v>
      </c>
      <c r="DO17" s="675"/>
      <c r="DP17" s="676"/>
      <c r="DQ17" s="1420">
        <v>5</v>
      </c>
      <c r="DR17" s="677">
        <v>13</v>
      </c>
      <c r="DS17" s="1420">
        <v>4</v>
      </c>
      <c r="DT17" s="1422">
        <v>2</v>
      </c>
      <c r="DU17" s="1423"/>
      <c r="DV17" s="2661">
        <v>1</v>
      </c>
      <c r="DW17" s="2664">
        <v>0.25</v>
      </c>
      <c r="DX17" s="679"/>
      <c r="DY17" s="2665" t="s">
        <v>35</v>
      </c>
      <c r="DZ17" s="678"/>
      <c r="EA17" s="1337"/>
      <c r="EB17" s="679"/>
      <c r="EC17" s="674"/>
      <c r="ED17" s="678"/>
      <c r="EE17" s="1337"/>
      <c r="EF17" s="679"/>
      <c r="EG17" s="674"/>
      <c r="EH17" s="678"/>
      <c r="EI17" s="1337"/>
      <c r="EJ17" s="679"/>
      <c r="EK17" s="680"/>
      <c r="EL17" s="241"/>
      <c r="EM17" s="1632" t="str">
        <f t="shared" si="65"/>
        <v>G74</v>
      </c>
      <c r="EN17" s="1429" t="str">
        <f t="shared" si="66"/>
        <v/>
      </c>
      <c r="EO17" s="1430" t="str">
        <f t="shared" si="67"/>
        <v/>
      </c>
      <c r="EP17" s="1431" t="str">
        <f t="shared" si="68"/>
        <v/>
      </c>
      <c r="EQ17" s="1435" t="str">
        <f t="shared" si="69"/>
        <v/>
      </c>
      <c r="ER17" s="1441" t="str">
        <f t="shared" si="70"/>
        <v/>
      </c>
      <c r="ES17" s="1442" t="str">
        <f t="shared" si="71"/>
        <v/>
      </c>
      <c r="ET17" s="1443" t="str">
        <f t="shared" si="72"/>
        <v/>
      </c>
      <c r="EU17" s="1444" t="str">
        <f t="shared" si="87"/>
        <v/>
      </c>
      <c r="EX17" s="503" t="str">
        <f t="shared" ca="1" si="88"/>
        <v>G74B</v>
      </c>
      <c r="EY17" s="940" t="b">
        <f t="shared" ca="1" si="73"/>
        <v>1</v>
      </c>
      <c r="EZ17" s="940">
        <f t="shared" ca="1" si="89"/>
        <v>5</v>
      </c>
      <c r="FA17" s="958" t="b">
        <f t="shared" ca="1" si="94"/>
        <v>1</v>
      </c>
      <c r="FB17" s="134">
        <f t="shared" ca="1" si="90"/>
        <v>660.625</v>
      </c>
      <c r="FC17" s="134">
        <f t="shared" ca="1" si="74"/>
        <v>93</v>
      </c>
      <c r="FD17" s="134">
        <f t="shared" ca="1" si="75"/>
        <v>480</v>
      </c>
      <c r="FE17" s="134">
        <f t="shared" ca="1" si="76"/>
        <v>87.625</v>
      </c>
      <c r="FF17" s="134">
        <f t="shared" ca="1" si="91"/>
        <v>660.625</v>
      </c>
      <c r="FN17" s="754" t="b">
        <v>0</v>
      </c>
      <c r="FO17" s="754" t="b">
        <f t="shared" si="77"/>
        <v>1</v>
      </c>
      <c r="FP17" s="754" t="b">
        <v>0</v>
      </c>
      <c r="FQ17" s="754" t="b">
        <f t="shared" si="92"/>
        <v>1</v>
      </c>
      <c r="FW17" s="2"/>
      <c r="FX17" s="2"/>
      <c r="FZ17" s="2"/>
      <c r="GA17" s="581">
        <f t="shared" si="78"/>
        <v>56</v>
      </c>
      <c r="GB17" s="623">
        <f t="shared" si="79"/>
        <v>0</v>
      </c>
      <c r="GC17" s="625">
        <f t="shared" si="80"/>
        <v>-0.25</v>
      </c>
      <c r="GD17" s="626">
        <f t="shared" si="81"/>
        <v>-8.375</v>
      </c>
      <c r="GE17" s="624">
        <f t="shared" si="82"/>
        <v>0</v>
      </c>
      <c r="GF17" s="582" t="str">
        <f t="shared" si="83"/>
        <v>G74</v>
      </c>
      <c r="GG17" s="692">
        <v>0</v>
      </c>
      <c r="GH17" s="1136">
        <v>0</v>
      </c>
      <c r="GI17" s="692"/>
      <c r="GJ17" s="1136"/>
      <c r="GK17" s="1641">
        <f t="shared" si="84"/>
        <v>663.375</v>
      </c>
      <c r="GL17" s="1641">
        <f t="shared" si="85"/>
        <v>663.375</v>
      </c>
      <c r="GM17" s="1642">
        <f>IF(ABS(GK17-GL17)&gt;='Job Info.'!$L$22,ABS(GK17-GL17),0)</f>
        <v>0</v>
      </c>
      <c r="HA17" s="1242" t="s">
        <v>1470</v>
      </c>
      <c r="HB17" s="1243">
        <v>1</v>
      </c>
      <c r="HC17" s="1243" t="s">
        <v>1749</v>
      </c>
      <c r="HD17" s="1244">
        <v>56</v>
      </c>
      <c r="HE17" s="1245">
        <v>0</v>
      </c>
      <c r="HF17" s="1243">
        <v>7</v>
      </c>
      <c r="HG17" s="1243"/>
      <c r="HH17" s="1243"/>
      <c r="HI17" s="1243"/>
      <c r="HJ17" s="1243"/>
      <c r="HK17" s="1243"/>
      <c r="HL17" s="1243"/>
      <c r="HM17" s="1243"/>
      <c r="HN17" s="1243"/>
      <c r="HO17" s="1243"/>
      <c r="HP17" s="1243">
        <v>11</v>
      </c>
      <c r="HQ17" s="1243"/>
      <c r="HR17" s="1243"/>
      <c r="HS17" s="1243"/>
      <c r="HT17" s="1243"/>
      <c r="HU17" s="1243"/>
      <c r="HV17" s="1243"/>
      <c r="HW17" s="1243"/>
      <c r="HX17" s="1243"/>
      <c r="HY17" s="1247"/>
      <c r="HZ17" s="1247"/>
      <c r="IA17" s="1247">
        <v>11</v>
      </c>
      <c r="IB17" s="1247"/>
      <c r="IC17" s="1247"/>
      <c r="ID17" s="1262">
        <v>11.125</v>
      </c>
      <c r="IE17" s="1242" t="s">
        <v>1470</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5"/>
        <v>1</v>
      </c>
    </row>
    <row r="18" spans="1:272" ht="12.6" customHeight="1" x14ac:dyDescent="0.25">
      <c r="A18" s="2683" t="str">
        <f t="shared" si="0"/>
        <v>G75</v>
      </c>
      <c r="B18" s="2684">
        <f t="shared" si="0"/>
        <v>1</v>
      </c>
      <c r="C18" s="2685" t="s">
        <v>1749</v>
      </c>
      <c r="D18" s="2686">
        <f t="shared" si="1"/>
        <v>55</v>
      </c>
      <c r="E18" s="2687">
        <f t="shared" si="2"/>
        <v>3.375</v>
      </c>
      <c r="F18" s="2688">
        <f t="shared" si="3"/>
        <v>11.125</v>
      </c>
      <c r="G18" s="2689">
        <f t="shared" si="4"/>
        <v>0</v>
      </c>
      <c r="H18" s="2690">
        <f t="shared" si="5"/>
        <v>2.75</v>
      </c>
      <c r="I18" s="2691" t="str">
        <f t="shared" si="6"/>
        <v>R</v>
      </c>
      <c r="J18" s="2686" t="str">
        <f t="shared" si="7"/>
        <v/>
      </c>
      <c r="K18" s="2690" t="str">
        <f t="shared" si="8"/>
        <v/>
      </c>
      <c r="L18" s="2692" t="str">
        <f t="shared" si="9"/>
        <v/>
      </c>
      <c r="M18" s="2693">
        <f t="shared" si="10"/>
        <v>7.5</v>
      </c>
      <c r="N18" s="2694">
        <f t="shared" si="10"/>
        <v>7.5</v>
      </c>
      <c r="O18" s="2689">
        <f t="shared" si="11"/>
        <v>0</v>
      </c>
      <c r="P18" s="2690">
        <f t="shared" si="12"/>
        <v>7.75</v>
      </c>
      <c r="Q18" s="2686">
        <f t="shared" si="13"/>
        <v>0</v>
      </c>
      <c r="R18" s="2687">
        <f t="shared" si="14"/>
        <v>1</v>
      </c>
      <c r="S18" s="2695">
        <f t="shared" si="15"/>
        <v>0</v>
      </c>
      <c r="T18" s="2690">
        <f t="shared" si="16"/>
        <v>7.25</v>
      </c>
      <c r="U18" s="2686">
        <f t="shared" si="17"/>
        <v>0</v>
      </c>
      <c r="V18" s="2690">
        <f t="shared" si="18"/>
        <v>1.5</v>
      </c>
      <c r="W18" s="2694">
        <f t="shared" si="19"/>
        <v>5</v>
      </c>
      <c r="X18" s="2696" t="str">
        <f t="shared" si="20"/>
        <v/>
      </c>
      <c r="Y18" s="2697" t="str">
        <f t="shared" si="21"/>
        <v/>
      </c>
      <c r="Z18" s="2698" t="s">
        <v>1938</v>
      </c>
      <c r="AA18" s="2758" t="str">
        <f t="shared" si="22"/>
        <v/>
      </c>
      <c r="AB18" s="2683" t="str">
        <f t="shared" si="23"/>
        <v>G75</v>
      </c>
      <c r="AC18" s="2691" t="str">
        <f t="shared" si="24"/>
        <v>B</v>
      </c>
      <c r="AD18" s="2686">
        <f t="shared" ca="1" si="25"/>
        <v>7</v>
      </c>
      <c r="AE18" s="2690">
        <f t="shared" ca="1" si="26"/>
        <v>9</v>
      </c>
      <c r="AF18" s="2691">
        <f t="shared" ca="1" si="27"/>
        <v>5</v>
      </c>
      <c r="AG18" s="2686">
        <f t="shared" ca="1" si="28"/>
        <v>8</v>
      </c>
      <c r="AH18" s="2690">
        <f t="shared" ca="1" si="29"/>
        <v>0</v>
      </c>
      <c r="AI18" s="2686">
        <f t="shared" ca="1" si="30"/>
        <v>7</v>
      </c>
      <c r="AJ18" s="2690">
        <f t="shared" ca="1" si="31"/>
        <v>3.625</v>
      </c>
      <c r="AK18" s="2732" t="str">
        <f t="shared" si="32"/>
        <v/>
      </c>
      <c r="AL18" s="2733" t="str">
        <f t="shared" si="33"/>
        <v/>
      </c>
      <c r="AM18" s="2734">
        <f t="shared" si="32"/>
        <v>5</v>
      </c>
      <c r="AN18" s="2691">
        <f t="shared" si="32"/>
        <v>13</v>
      </c>
      <c r="AO18" s="2694">
        <f t="shared" si="32"/>
        <v>4</v>
      </c>
      <c r="AP18" s="2693">
        <f t="shared" si="34"/>
        <v>1.75</v>
      </c>
      <c r="AQ18" s="2736" t="str">
        <f t="shared" si="34"/>
        <v/>
      </c>
      <c r="AR18" s="2689">
        <f t="shared" si="35"/>
        <v>1</v>
      </c>
      <c r="AS18" s="2690">
        <f t="shared" si="36"/>
        <v>0</v>
      </c>
      <c r="AT18" s="2737" t="str">
        <f t="shared" si="37"/>
        <v/>
      </c>
      <c r="AU18" s="2738" t="str">
        <f t="shared" si="38"/>
        <v>B</v>
      </c>
      <c r="AV18" s="2695" t="str">
        <f t="shared" si="39"/>
        <v/>
      </c>
      <c r="AW18" s="2690" t="str">
        <f t="shared" si="40"/>
        <v/>
      </c>
      <c r="AX18" s="2737" t="str">
        <f t="shared" si="41"/>
        <v/>
      </c>
      <c r="AY18" s="2738" t="str">
        <f t="shared" si="42"/>
        <v/>
      </c>
      <c r="AZ18" s="2695" t="str">
        <f t="shared" si="43"/>
        <v/>
      </c>
      <c r="BA18" s="2690" t="str">
        <f t="shared" si="44"/>
        <v/>
      </c>
      <c r="BB18" s="2737" t="str">
        <f t="shared" si="45"/>
        <v/>
      </c>
      <c r="BC18" s="2738" t="str">
        <f t="shared" si="46"/>
        <v/>
      </c>
      <c r="BD18" s="2695" t="str">
        <f t="shared" si="47"/>
        <v/>
      </c>
      <c r="BE18" s="2690" t="str">
        <f t="shared" si="48"/>
        <v/>
      </c>
      <c r="BF18" s="2737" t="str">
        <f t="shared" si="49"/>
        <v/>
      </c>
      <c r="BG18" s="2738" t="str">
        <f t="shared" si="50"/>
        <v/>
      </c>
      <c r="BH18" s="1417"/>
      <c r="BJ18" s="995" t="str">
        <f t="shared" si="93"/>
        <v>G75</v>
      </c>
      <c r="BK18" s="993" t="b">
        <f t="shared" si="51"/>
        <v>0</v>
      </c>
      <c r="BL18" s="1784" t="b">
        <v>0</v>
      </c>
      <c r="BM18" s="989">
        <f t="shared" si="52"/>
        <v>72</v>
      </c>
      <c r="BN18" s="989" t="str">
        <f t="shared" si="53"/>
        <v>G</v>
      </c>
      <c r="BO18" s="989">
        <f t="shared" si="54"/>
        <v>7</v>
      </c>
      <c r="BP18" s="989" t="str">
        <f t="shared" si="55"/>
        <v>13/6</v>
      </c>
      <c r="BQ18" s="989">
        <f t="shared" si="56"/>
        <v>2.4</v>
      </c>
      <c r="BR18" s="989" t="b">
        <f t="shared" si="57"/>
        <v>1</v>
      </c>
      <c r="BS18" s="1303">
        <f t="shared" si="58"/>
        <v>8.75</v>
      </c>
      <c r="BT18" s="990" t="str">
        <f t="shared" si="59"/>
        <v>Yes</v>
      </c>
      <c r="BU18" s="1303">
        <f t="shared" si="60"/>
        <v>6</v>
      </c>
      <c r="BV18" s="990" t="str">
        <f t="shared" si="61"/>
        <v>Yes</v>
      </c>
      <c r="BW18" s="991">
        <f t="shared" ca="1" si="62"/>
        <v>16</v>
      </c>
      <c r="BX18" s="991" t="str">
        <f t="shared" ca="1" si="63"/>
        <v>G75</v>
      </c>
      <c r="BY18" s="991" t="b">
        <f t="shared" ca="1" si="64"/>
        <v>0</v>
      </c>
      <c r="BZ18" s="991" t="b">
        <f t="shared" si="86"/>
        <v>0</v>
      </c>
      <c r="CB18" s="672" t="s">
        <v>1471</v>
      </c>
      <c r="CC18" s="1685">
        <v>1</v>
      </c>
      <c r="CD18" s="699" t="s">
        <v>1749</v>
      </c>
      <c r="CE18" s="700">
        <v>56</v>
      </c>
      <c r="CF18" s="701">
        <v>0</v>
      </c>
      <c r="CG18" s="672">
        <v>7</v>
      </c>
      <c r="CH18" s="713"/>
      <c r="CI18" s="714"/>
      <c r="CJ18" s="713"/>
      <c r="CK18" s="714"/>
      <c r="CL18" s="715"/>
      <c r="CM18" s="743"/>
      <c r="CN18" s="738"/>
      <c r="CO18" s="1552"/>
      <c r="CP18" s="910"/>
      <c r="CQ18" s="672">
        <v>11</v>
      </c>
      <c r="CR18" s="713"/>
      <c r="CS18" s="714"/>
      <c r="CT18" s="713"/>
      <c r="CU18" s="714"/>
      <c r="CV18" s="715"/>
      <c r="CW18" s="743"/>
      <c r="CX18" s="738"/>
      <c r="CY18" s="1552"/>
      <c r="CZ18" s="910"/>
      <c r="DA18" s="717"/>
      <c r="DB18" s="702" t="s">
        <v>1744</v>
      </c>
      <c r="DC18" s="703"/>
      <c r="DD18" s="725"/>
      <c r="DE18" s="726">
        <v>11.125</v>
      </c>
      <c r="DF18" s="141"/>
      <c r="DG18" s="141"/>
      <c r="DH18" s="672" t="s">
        <v>1471</v>
      </c>
      <c r="DI18" s="673" t="s">
        <v>35</v>
      </c>
      <c r="DJ18" s="692">
        <v>8</v>
      </c>
      <c r="DK18" s="1332">
        <v>0</v>
      </c>
      <c r="DL18" s="674">
        <v>5</v>
      </c>
      <c r="DM18" s="693">
        <v>8</v>
      </c>
      <c r="DN18" s="1335">
        <v>0</v>
      </c>
      <c r="DO18" s="675"/>
      <c r="DP18" s="676"/>
      <c r="DQ18" s="1420">
        <v>5</v>
      </c>
      <c r="DR18" s="677">
        <v>13</v>
      </c>
      <c r="DS18" s="1420">
        <v>4</v>
      </c>
      <c r="DT18" s="1422">
        <v>2</v>
      </c>
      <c r="DU18" s="1423"/>
      <c r="DV18" s="2661">
        <v>1</v>
      </c>
      <c r="DW18" s="2664">
        <v>0.25</v>
      </c>
      <c r="DX18" s="679"/>
      <c r="DY18" s="2665" t="s">
        <v>35</v>
      </c>
      <c r="DZ18" s="678"/>
      <c r="EA18" s="1337"/>
      <c r="EB18" s="679"/>
      <c r="EC18" s="674"/>
      <c r="ED18" s="678"/>
      <c r="EE18" s="1337"/>
      <c r="EF18" s="679"/>
      <c r="EG18" s="674"/>
      <c r="EH18" s="678"/>
      <c r="EI18" s="1337"/>
      <c r="EJ18" s="679"/>
      <c r="EK18" s="680"/>
      <c r="EL18" s="241"/>
      <c r="EM18" s="1632" t="str">
        <f t="shared" si="65"/>
        <v>G75</v>
      </c>
      <c r="EN18" s="1429" t="str">
        <f t="shared" si="66"/>
        <v/>
      </c>
      <c r="EO18" s="1430" t="str">
        <f t="shared" si="67"/>
        <v/>
      </c>
      <c r="EP18" s="1431" t="str">
        <f t="shared" si="68"/>
        <v/>
      </c>
      <c r="EQ18" s="1435" t="str">
        <f t="shared" si="69"/>
        <v/>
      </c>
      <c r="ER18" s="1441" t="str">
        <f t="shared" si="70"/>
        <v/>
      </c>
      <c r="ES18" s="1442" t="str">
        <f t="shared" si="71"/>
        <v/>
      </c>
      <c r="ET18" s="1443" t="str">
        <f t="shared" si="72"/>
        <v/>
      </c>
      <c r="EU18" s="1444" t="str">
        <f t="shared" si="87"/>
        <v/>
      </c>
      <c r="EX18" s="503" t="str">
        <f t="shared" ca="1" si="88"/>
        <v>G75B</v>
      </c>
      <c r="EY18" s="940" t="b">
        <f t="shared" ca="1" si="73"/>
        <v>1</v>
      </c>
      <c r="EZ18" s="940">
        <f t="shared" ca="1" si="89"/>
        <v>5</v>
      </c>
      <c r="FA18" s="958" t="b">
        <f t="shared" ca="1" si="94"/>
        <v>1</v>
      </c>
      <c r="FB18" s="134">
        <f t="shared" ca="1" si="90"/>
        <v>660.625</v>
      </c>
      <c r="FC18" s="134">
        <f t="shared" ca="1" si="74"/>
        <v>93</v>
      </c>
      <c r="FD18" s="134">
        <f t="shared" ca="1" si="75"/>
        <v>480</v>
      </c>
      <c r="FE18" s="134">
        <f t="shared" ca="1" si="76"/>
        <v>87.625</v>
      </c>
      <c r="FF18" s="134">
        <f t="shared" ca="1" si="91"/>
        <v>660.625</v>
      </c>
      <c r="FN18" s="754" t="b">
        <v>0</v>
      </c>
      <c r="FO18" s="754" t="b">
        <f t="shared" si="77"/>
        <v>1</v>
      </c>
      <c r="FP18" s="754" t="b">
        <v>0</v>
      </c>
      <c r="FQ18" s="754" t="b">
        <f t="shared" si="92"/>
        <v>1</v>
      </c>
      <c r="FW18" s="2"/>
      <c r="FX18" s="2"/>
      <c r="FZ18" s="2"/>
      <c r="GA18" s="581">
        <f t="shared" si="78"/>
        <v>56</v>
      </c>
      <c r="GB18" s="623">
        <f t="shared" si="79"/>
        <v>0</v>
      </c>
      <c r="GC18" s="625">
        <f t="shared" si="80"/>
        <v>-0.25</v>
      </c>
      <c r="GD18" s="626">
        <f t="shared" si="81"/>
        <v>-8.375</v>
      </c>
      <c r="GE18" s="624">
        <f t="shared" si="82"/>
        <v>0</v>
      </c>
      <c r="GF18" s="582" t="str">
        <f t="shared" si="83"/>
        <v>G75</v>
      </c>
      <c r="GG18" s="692">
        <v>0</v>
      </c>
      <c r="GH18" s="1136">
        <v>0</v>
      </c>
      <c r="GI18" s="692"/>
      <c r="GJ18" s="1136"/>
      <c r="GK18" s="1641">
        <f t="shared" si="84"/>
        <v>663.375</v>
      </c>
      <c r="GL18" s="1641">
        <f t="shared" si="85"/>
        <v>663.375</v>
      </c>
      <c r="GM18" s="1642">
        <f>IF(ABS(GK18-GL18)&gt;='Job Info.'!$L$22,ABS(GK18-GL18),0)</f>
        <v>0</v>
      </c>
      <c r="HA18" s="1242" t="s">
        <v>1471</v>
      </c>
      <c r="HB18" s="1243">
        <v>1</v>
      </c>
      <c r="HC18" s="1243" t="s">
        <v>1749</v>
      </c>
      <c r="HD18" s="1244">
        <v>56</v>
      </c>
      <c r="HE18" s="1245">
        <v>0</v>
      </c>
      <c r="HF18" s="1243">
        <v>7</v>
      </c>
      <c r="HG18" s="1243"/>
      <c r="HH18" s="1243"/>
      <c r="HI18" s="1243"/>
      <c r="HJ18" s="1243"/>
      <c r="HK18" s="1243"/>
      <c r="HL18" s="1243"/>
      <c r="HM18" s="1243"/>
      <c r="HN18" s="1243"/>
      <c r="HO18" s="1243"/>
      <c r="HP18" s="1243">
        <v>11</v>
      </c>
      <c r="HQ18" s="1243"/>
      <c r="HR18" s="1243"/>
      <c r="HS18" s="1243"/>
      <c r="HT18" s="1243"/>
      <c r="HU18" s="1243"/>
      <c r="HV18" s="1243"/>
      <c r="HW18" s="1243"/>
      <c r="HX18" s="1243"/>
      <c r="HY18" s="1247"/>
      <c r="HZ18" s="1247"/>
      <c r="IA18" s="1247" t="s">
        <v>1744</v>
      </c>
      <c r="IB18" s="1247"/>
      <c r="IC18" s="1247"/>
      <c r="ID18" s="1262">
        <v>11.125</v>
      </c>
      <c r="IE18" s="1242" t="s">
        <v>1471</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5"/>
        <v>1</v>
      </c>
    </row>
    <row r="19" spans="1:272" ht="12.6" customHeight="1" x14ac:dyDescent="0.25">
      <c r="A19" s="2683" t="str">
        <f t="shared" si="0"/>
        <v>G76</v>
      </c>
      <c r="B19" s="2684">
        <f t="shared" si="0"/>
        <v>1</v>
      </c>
      <c r="C19" s="2685" t="s">
        <v>1749</v>
      </c>
      <c r="D19" s="2686">
        <f t="shared" si="1"/>
        <v>55</v>
      </c>
      <c r="E19" s="2687">
        <f t="shared" si="2"/>
        <v>11.5</v>
      </c>
      <c r="F19" s="2688">
        <f t="shared" si="3"/>
        <v>11.125</v>
      </c>
      <c r="G19" s="2689">
        <f t="shared" si="4"/>
        <v>0</v>
      </c>
      <c r="H19" s="2690">
        <f t="shared" si="5"/>
        <v>2.75</v>
      </c>
      <c r="I19" s="2691" t="str">
        <f t="shared" si="6"/>
        <v>R</v>
      </c>
      <c r="J19" s="2686">
        <f t="shared" si="7"/>
        <v>0</v>
      </c>
      <c r="K19" s="2690">
        <f t="shared" si="8"/>
        <v>2.75</v>
      </c>
      <c r="L19" s="2692" t="str">
        <f t="shared" si="9"/>
        <v>R</v>
      </c>
      <c r="M19" s="2693">
        <f t="shared" si="10"/>
        <v>7.5</v>
      </c>
      <c r="N19" s="2694">
        <f t="shared" si="10"/>
        <v>7.5</v>
      </c>
      <c r="O19" s="2689">
        <f t="shared" si="11"/>
        <v>0</v>
      </c>
      <c r="P19" s="2690">
        <f t="shared" si="12"/>
        <v>7.75</v>
      </c>
      <c r="Q19" s="2686">
        <f t="shared" si="13"/>
        <v>0</v>
      </c>
      <c r="R19" s="2687">
        <f t="shared" si="14"/>
        <v>7.75</v>
      </c>
      <c r="S19" s="2695">
        <f t="shared" si="15"/>
        <v>0</v>
      </c>
      <c r="T19" s="2690">
        <f t="shared" si="16"/>
        <v>7.25</v>
      </c>
      <c r="U19" s="2686">
        <f t="shared" si="17"/>
        <v>0</v>
      </c>
      <c r="V19" s="2690">
        <f t="shared" si="18"/>
        <v>7.25</v>
      </c>
      <c r="W19" s="2694">
        <f t="shared" si="19"/>
        <v>5</v>
      </c>
      <c r="X19" s="2696" t="str">
        <f t="shared" si="20"/>
        <v/>
      </c>
      <c r="Y19" s="2697" t="str">
        <f t="shared" si="21"/>
        <v/>
      </c>
      <c r="Z19" s="2698" t="s">
        <v>1939</v>
      </c>
      <c r="AA19" s="2758" t="str">
        <f t="shared" si="22"/>
        <v/>
      </c>
      <c r="AB19" s="2683" t="str">
        <f t="shared" si="23"/>
        <v>G76</v>
      </c>
      <c r="AC19" s="2691" t="str">
        <f t="shared" si="24"/>
        <v>B</v>
      </c>
      <c r="AD19" s="2686">
        <f t="shared" ca="1" si="25"/>
        <v>7</v>
      </c>
      <c r="AE19" s="2690">
        <f t="shared" ca="1" si="26"/>
        <v>9</v>
      </c>
      <c r="AF19" s="2691">
        <f t="shared" ca="1" si="27"/>
        <v>5</v>
      </c>
      <c r="AG19" s="2686">
        <f t="shared" ca="1" si="28"/>
        <v>8</v>
      </c>
      <c r="AH19" s="2690">
        <f t="shared" ca="1" si="29"/>
        <v>0</v>
      </c>
      <c r="AI19" s="2686">
        <f t="shared" ca="1" si="30"/>
        <v>7</v>
      </c>
      <c r="AJ19" s="2690">
        <f t="shared" ca="1" si="31"/>
        <v>9</v>
      </c>
      <c r="AK19" s="2732" t="str">
        <f t="shared" si="32"/>
        <v/>
      </c>
      <c r="AL19" s="2733" t="str">
        <f t="shared" si="33"/>
        <v/>
      </c>
      <c r="AM19" s="2734">
        <f t="shared" si="32"/>
        <v>5</v>
      </c>
      <c r="AN19" s="2691">
        <f t="shared" si="32"/>
        <v>13</v>
      </c>
      <c r="AO19" s="2694">
        <f t="shared" si="32"/>
        <v>4</v>
      </c>
      <c r="AP19" s="2693">
        <f t="shared" si="34"/>
        <v>1.75</v>
      </c>
      <c r="AQ19" s="2736">
        <f t="shared" si="34"/>
        <v>1.75</v>
      </c>
      <c r="AR19" s="2689">
        <f t="shared" si="35"/>
        <v>1</v>
      </c>
      <c r="AS19" s="2690">
        <f t="shared" si="36"/>
        <v>0</v>
      </c>
      <c r="AT19" s="2737" t="str">
        <f t="shared" si="37"/>
        <v/>
      </c>
      <c r="AU19" s="2738" t="str">
        <f t="shared" si="38"/>
        <v>B</v>
      </c>
      <c r="AV19" s="2695">
        <f t="shared" si="39"/>
        <v>55</v>
      </c>
      <c r="AW19" s="2690">
        <f t="shared" si="40"/>
        <v>0</v>
      </c>
      <c r="AX19" s="2737" t="str">
        <f t="shared" si="41"/>
        <v/>
      </c>
      <c r="AY19" s="2738" t="str">
        <f t="shared" si="42"/>
        <v>B</v>
      </c>
      <c r="AZ19" s="2695" t="str">
        <f t="shared" si="43"/>
        <v/>
      </c>
      <c r="BA19" s="2690" t="str">
        <f t="shared" si="44"/>
        <v/>
      </c>
      <c r="BB19" s="2737" t="str">
        <f t="shared" si="45"/>
        <v/>
      </c>
      <c r="BC19" s="2738" t="str">
        <f t="shared" si="46"/>
        <v/>
      </c>
      <c r="BD19" s="2695" t="str">
        <f t="shared" si="47"/>
        <v/>
      </c>
      <c r="BE19" s="2690" t="str">
        <f t="shared" si="48"/>
        <v/>
      </c>
      <c r="BF19" s="2737" t="str">
        <f t="shared" si="49"/>
        <v/>
      </c>
      <c r="BG19" s="2738" t="str">
        <f t="shared" si="50"/>
        <v/>
      </c>
      <c r="BH19" s="1417"/>
      <c r="BJ19" s="995" t="str">
        <f t="shared" si="93"/>
        <v>G76</v>
      </c>
      <c r="BK19" s="993" t="b">
        <f t="shared" si="51"/>
        <v>0</v>
      </c>
      <c r="BL19" s="1784" t="b">
        <v>0</v>
      </c>
      <c r="BM19" s="989">
        <f t="shared" si="52"/>
        <v>72</v>
      </c>
      <c r="BN19" s="989" t="str">
        <f t="shared" si="53"/>
        <v>G</v>
      </c>
      <c r="BO19" s="989">
        <f t="shared" si="54"/>
        <v>7</v>
      </c>
      <c r="BP19" s="989" t="str">
        <f t="shared" si="55"/>
        <v>13/6</v>
      </c>
      <c r="BQ19" s="989">
        <f t="shared" si="56"/>
        <v>2.4</v>
      </c>
      <c r="BR19" s="989" t="b">
        <f t="shared" si="57"/>
        <v>1</v>
      </c>
      <c r="BS19" s="1303">
        <f t="shared" si="58"/>
        <v>8.75</v>
      </c>
      <c r="BT19" s="990" t="str">
        <f t="shared" si="59"/>
        <v>Yes</v>
      </c>
      <c r="BU19" s="1303">
        <f t="shared" si="60"/>
        <v>8.75</v>
      </c>
      <c r="BV19" s="990" t="str">
        <f t="shared" si="61"/>
        <v>Yes</v>
      </c>
      <c r="BW19" s="991">
        <f t="shared" ca="1" si="62"/>
        <v>20</v>
      </c>
      <c r="BX19" s="991" t="str">
        <f t="shared" ca="1" si="63"/>
        <v>G76</v>
      </c>
      <c r="BY19" s="991" t="b">
        <f t="shared" ca="1" si="64"/>
        <v>0</v>
      </c>
      <c r="BZ19" s="991" t="b">
        <f t="shared" si="86"/>
        <v>0</v>
      </c>
      <c r="CB19" s="672" t="s">
        <v>1472</v>
      </c>
      <c r="CC19" s="1685">
        <v>1</v>
      </c>
      <c r="CD19" s="699" t="s">
        <v>1749</v>
      </c>
      <c r="CE19" s="700">
        <v>56</v>
      </c>
      <c r="CF19" s="701">
        <v>0</v>
      </c>
      <c r="CG19" s="672">
        <v>7</v>
      </c>
      <c r="CH19" s="713"/>
      <c r="CI19" s="714"/>
      <c r="CJ19" s="713"/>
      <c r="CK19" s="714"/>
      <c r="CL19" s="715"/>
      <c r="CM19" s="743"/>
      <c r="CN19" s="738"/>
      <c r="CO19" s="1552"/>
      <c r="CP19" s="910"/>
      <c r="CQ19" s="672">
        <v>7</v>
      </c>
      <c r="CR19" s="713"/>
      <c r="CS19" s="714"/>
      <c r="CT19" s="713"/>
      <c r="CU19" s="714"/>
      <c r="CV19" s="715"/>
      <c r="CW19" s="743"/>
      <c r="CX19" s="738"/>
      <c r="CY19" s="1552"/>
      <c r="CZ19" s="910"/>
      <c r="DA19" s="717"/>
      <c r="DB19" s="702" t="s">
        <v>1753</v>
      </c>
      <c r="DC19" s="703" t="s">
        <v>34</v>
      </c>
      <c r="DD19" s="725"/>
      <c r="DE19" s="726">
        <v>11.125</v>
      </c>
      <c r="DF19" s="141"/>
      <c r="DG19" s="141"/>
      <c r="DH19" s="672" t="s">
        <v>1472</v>
      </c>
      <c r="DI19" s="673" t="s">
        <v>35</v>
      </c>
      <c r="DJ19" s="692">
        <v>8</v>
      </c>
      <c r="DK19" s="1332">
        <v>0</v>
      </c>
      <c r="DL19" s="674">
        <v>5</v>
      </c>
      <c r="DM19" s="693">
        <v>8</v>
      </c>
      <c r="DN19" s="1335">
        <v>0</v>
      </c>
      <c r="DO19" s="675"/>
      <c r="DP19" s="676"/>
      <c r="DQ19" s="1420">
        <v>5</v>
      </c>
      <c r="DR19" s="677">
        <v>13</v>
      </c>
      <c r="DS19" s="1420">
        <v>4</v>
      </c>
      <c r="DT19" s="1422">
        <v>2</v>
      </c>
      <c r="DU19" s="1423">
        <v>2</v>
      </c>
      <c r="DV19" s="2661">
        <v>1</v>
      </c>
      <c r="DW19" s="2664">
        <v>0.25</v>
      </c>
      <c r="DX19" s="679"/>
      <c r="DY19" s="2665" t="s">
        <v>35</v>
      </c>
      <c r="DZ19" s="2661">
        <v>55</v>
      </c>
      <c r="EA19" s="2664">
        <v>0.25</v>
      </c>
      <c r="EB19" s="679"/>
      <c r="EC19" s="2665" t="s">
        <v>35</v>
      </c>
      <c r="ED19" s="678"/>
      <c r="EE19" s="1337"/>
      <c r="EF19" s="679"/>
      <c r="EG19" s="674"/>
      <c r="EH19" s="678"/>
      <c r="EI19" s="1337"/>
      <c r="EJ19" s="679"/>
      <c r="EK19" s="680"/>
      <c r="EL19" s="241"/>
      <c r="EM19" s="1632" t="str">
        <f t="shared" si="65"/>
        <v>G76</v>
      </c>
      <c r="EN19" s="1429" t="str">
        <f t="shared" si="66"/>
        <v/>
      </c>
      <c r="EO19" s="1430" t="str">
        <f t="shared" si="67"/>
        <v/>
      </c>
      <c r="EP19" s="1431" t="str">
        <f t="shared" si="68"/>
        <v/>
      </c>
      <c r="EQ19" s="1435" t="str">
        <f t="shared" si="69"/>
        <v/>
      </c>
      <c r="ER19" s="1441" t="str">
        <f t="shared" si="70"/>
        <v/>
      </c>
      <c r="ES19" s="1442" t="str">
        <f t="shared" si="71"/>
        <v/>
      </c>
      <c r="ET19" s="1443" t="str">
        <f t="shared" si="72"/>
        <v/>
      </c>
      <c r="EU19" s="1444" t="str">
        <f t="shared" si="87"/>
        <v/>
      </c>
      <c r="EX19" s="503" t="str">
        <f t="shared" ca="1" si="88"/>
        <v>G76B</v>
      </c>
      <c r="EY19" s="940" t="b">
        <f t="shared" ca="1" si="73"/>
        <v>1</v>
      </c>
      <c r="EZ19" s="940">
        <f t="shared" ca="1" si="89"/>
        <v>5</v>
      </c>
      <c r="FA19" s="958" t="b">
        <f t="shared" ca="1" si="94"/>
        <v>1</v>
      </c>
      <c r="FB19" s="134">
        <f t="shared" ca="1" si="90"/>
        <v>666</v>
      </c>
      <c r="FC19" s="134">
        <f t="shared" ca="1" si="74"/>
        <v>93</v>
      </c>
      <c r="FD19" s="134">
        <f t="shared" ca="1" si="75"/>
        <v>480</v>
      </c>
      <c r="FE19" s="134">
        <f t="shared" ca="1" si="76"/>
        <v>93</v>
      </c>
      <c r="FF19" s="134">
        <f t="shared" ca="1" si="91"/>
        <v>666</v>
      </c>
      <c r="FN19" s="754" t="b">
        <v>0</v>
      </c>
      <c r="FO19" s="754" t="b">
        <f t="shared" si="77"/>
        <v>1</v>
      </c>
      <c r="FP19" s="754" t="b">
        <v>0</v>
      </c>
      <c r="FQ19" s="754" t="b">
        <f t="shared" si="92"/>
        <v>1</v>
      </c>
      <c r="FW19" s="2"/>
      <c r="FX19" s="2"/>
      <c r="FZ19" s="2"/>
      <c r="GA19" s="581">
        <f t="shared" si="78"/>
        <v>56</v>
      </c>
      <c r="GB19" s="623">
        <f t="shared" si="79"/>
        <v>0</v>
      </c>
      <c r="GC19" s="625">
        <f t="shared" si="80"/>
        <v>-0.25</v>
      </c>
      <c r="GD19" s="626">
        <f t="shared" si="81"/>
        <v>-0.25</v>
      </c>
      <c r="GE19" s="624">
        <f t="shared" si="82"/>
        <v>0</v>
      </c>
      <c r="GF19" s="582" t="str">
        <f t="shared" si="83"/>
        <v>G76</v>
      </c>
      <c r="GG19" s="692">
        <v>0</v>
      </c>
      <c r="GH19" s="1136">
        <v>0</v>
      </c>
      <c r="GI19" s="692"/>
      <c r="GJ19" s="1136"/>
      <c r="GK19" s="1641">
        <f t="shared" si="84"/>
        <v>671.5</v>
      </c>
      <c r="GL19" s="1641">
        <f t="shared" si="85"/>
        <v>671.5</v>
      </c>
      <c r="GM19" s="1642">
        <f>IF(ABS(GK19-GL19)&gt;='Job Info.'!$L$22,ABS(GK19-GL19),0)</f>
        <v>0</v>
      </c>
      <c r="HA19" s="1242" t="s">
        <v>1472</v>
      </c>
      <c r="HB19" s="1243">
        <v>1</v>
      </c>
      <c r="HC19" s="1243" t="s">
        <v>1749</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1753</v>
      </c>
      <c r="IB19" s="1247" t="s">
        <v>34</v>
      </c>
      <c r="IC19" s="1247"/>
      <c r="ID19" s="1262">
        <v>11.125</v>
      </c>
      <c r="IE19" s="1242" t="s">
        <v>1472</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5"/>
        <v>1</v>
      </c>
    </row>
    <row r="20" spans="1:272" ht="12.6" customHeight="1" x14ac:dyDescent="0.25">
      <c r="A20" s="2683" t="str">
        <f t="shared" si="0"/>
        <v>G77</v>
      </c>
      <c r="B20" s="2684">
        <f t="shared" si="0"/>
        <v>1</v>
      </c>
      <c r="C20" s="2685" t="s">
        <v>1749</v>
      </c>
      <c r="D20" s="2686">
        <f t="shared" si="1"/>
        <v>55</v>
      </c>
      <c r="E20" s="2687">
        <f t="shared" si="2"/>
        <v>11.5</v>
      </c>
      <c r="F20" s="2688">
        <f t="shared" si="3"/>
        <v>11.125</v>
      </c>
      <c r="G20" s="2689">
        <f t="shared" si="4"/>
        <v>0</v>
      </c>
      <c r="H20" s="2690">
        <f t="shared" si="5"/>
        <v>2.75</v>
      </c>
      <c r="I20" s="2691" t="str">
        <f t="shared" si="6"/>
        <v>R</v>
      </c>
      <c r="J20" s="2686">
        <f t="shared" si="7"/>
        <v>0</v>
      </c>
      <c r="K20" s="2690">
        <f t="shared" si="8"/>
        <v>2.75</v>
      </c>
      <c r="L20" s="2692" t="str">
        <f t="shared" si="9"/>
        <v>R</v>
      </c>
      <c r="M20" s="2693">
        <f t="shared" si="10"/>
        <v>7.5</v>
      </c>
      <c r="N20" s="2694">
        <f t="shared" si="10"/>
        <v>7.5</v>
      </c>
      <c r="O20" s="2689">
        <f t="shared" si="11"/>
        <v>0</v>
      </c>
      <c r="P20" s="2690">
        <f t="shared" si="12"/>
        <v>7.75</v>
      </c>
      <c r="Q20" s="2686">
        <f t="shared" si="13"/>
        <v>0</v>
      </c>
      <c r="R20" s="2687">
        <f t="shared" si="14"/>
        <v>7.75</v>
      </c>
      <c r="S20" s="2695">
        <f t="shared" si="15"/>
        <v>0</v>
      </c>
      <c r="T20" s="2690">
        <f t="shared" si="16"/>
        <v>7.25</v>
      </c>
      <c r="U20" s="2686">
        <f t="shared" si="17"/>
        <v>0</v>
      </c>
      <c r="V20" s="2690">
        <f t="shared" si="18"/>
        <v>7.25</v>
      </c>
      <c r="W20" s="2694">
        <f t="shared" si="19"/>
        <v>5</v>
      </c>
      <c r="X20" s="2696" t="str">
        <f t="shared" si="20"/>
        <v/>
      </c>
      <c r="Y20" s="2697" t="str">
        <f t="shared" si="21"/>
        <v/>
      </c>
      <c r="Z20" s="2698" t="s">
        <v>1940</v>
      </c>
      <c r="AA20" s="2758" t="str">
        <f t="shared" si="22"/>
        <v/>
      </c>
      <c r="AB20" s="2683" t="str">
        <f t="shared" si="23"/>
        <v>G77</v>
      </c>
      <c r="AC20" s="2691" t="str">
        <f t="shared" si="24"/>
        <v>B</v>
      </c>
      <c r="AD20" s="2686">
        <f t="shared" ca="1" si="25"/>
        <v>7</v>
      </c>
      <c r="AE20" s="2690">
        <f t="shared" ca="1" si="26"/>
        <v>9</v>
      </c>
      <c r="AF20" s="2691">
        <f t="shared" ca="1" si="27"/>
        <v>5</v>
      </c>
      <c r="AG20" s="2686">
        <f t="shared" ca="1" si="28"/>
        <v>8</v>
      </c>
      <c r="AH20" s="2690">
        <f t="shared" ca="1" si="29"/>
        <v>0</v>
      </c>
      <c r="AI20" s="2686">
        <f t="shared" ca="1" si="30"/>
        <v>7</v>
      </c>
      <c r="AJ20" s="2690">
        <f t="shared" ca="1" si="31"/>
        <v>9</v>
      </c>
      <c r="AK20" s="2732" t="str">
        <f t="shared" si="32"/>
        <v/>
      </c>
      <c r="AL20" s="2733" t="str">
        <f t="shared" si="33"/>
        <v/>
      </c>
      <c r="AM20" s="2734">
        <f t="shared" si="32"/>
        <v>5</v>
      </c>
      <c r="AN20" s="2691">
        <f t="shared" si="32"/>
        <v>13</v>
      </c>
      <c r="AO20" s="2694">
        <f t="shared" si="32"/>
        <v>4</v>
      </c>
      <c r="AP20" s="2693">
        <f t="shared" si="34"/>
        <v>1.75</v>
      </c>
      <c r="AQ20" s="2736">
        <f t="shared" si="34"/>
        <v>1.75</v>
      </c>
      <c r="AR20" s="2689">
        <f t="shared" si="35"/>
        <v>1</v>
      </c>
      <c r="AS20" s="2690">
        <f t="shared" si="36"/>
        <v>0</v>
      </c>
      <c r="AT20" s="2737" t="str">
        <f t="shared" si="37"/>
        <v/>
      </c>
      <c r="AU20" s="2738" t="str">
        <f t="shared" si="38"/>
        <v>B</v>
      </c>
      <c r="AV20" s="2695">
        <f t="shared" si="39"/>
        <v>55</v>
      </c>
      <c r="AW20" s="2690">
        <f t="shared" si="40"/>
        <v>0</v>
      </c>
      <c r="AX20" s="2737" t="str">
        <f t="shared" si="41"/>
        <v/>
      </c>
      <c r="AY20" s="2738" t="str">
        <f t="shared" si="42"/>
        <v>B</v>
      </c>
      <c r="AZ20" s="2695" t="str">
        <f t="shared" si="43"/>
        <v/>
      </c>
      <c r="BA20" s="2690" t="str">
        <f t="shared" si="44"/>
        <v/>
      </c>
      <c r="BB20" s="2737" t="str">
        <f t="shared" si="45"/>
        <v/>
      </c>
      <c r="BC20" s="2738" t="str">
        <f t="shared" si="46"/>
        <v/>
      </c>
      <c r="BD20" s="2695" t="str">
        <f t="shared" si="47"/>
        <v/>
      </c>
      <c r="BE20" s="2690" t="str">
        <f t="shared" si="48"/>
        <v/>
      </c>
      <c r="BF20" s="2737" t="str">
        <f t="shared" si="49"/>
        <v/>
      </c>
      <c r="BG20" s="2738" t="str">
        <f t="shared" si="50"/>
        <v/>
      </c>
      <c r="BH20" s="1417"/>
      <c r="BJ20" s="995" t="str">
        <f t="shared" si="93"/>
        <v>G77</v>
      </c>
      <c r="BK20" s="993" t="b">
        <f t="shared" si="51"/>
        <v>0</v>
      </c>
      <c r="BL20" s="1784" t="b">
        <v>0</v>
      </c>
      <c r="BM20" s="989">
        <f t="shared" si="52"/>
        <v>72</v>
      </c>
      <c r="BN20" s="989" t="str">
        <f t="shared" si="53"/>
        <v>G</v>
      </c>
      <c r="BO20" s="989">
        <f t="shared" si="54"/>
        <v>7</v>
      </c>
      <c r="BP20" s="989" t="str">
        <f t="shared" si="55"/>
        <v>13/6</v>
      </c>
      <c r="BQ20" s="989">
        <f t="shared" si="56"/>
        <v>2.4</v>
      </c>
      <c r="BR20" s="989" t="b">
        <f t="shared" si="57"/>
        <v>1</v>
      </c>
      <c r="BS20" s="1303">
        <f t="shared" si="58"/>
        <v>8.75</v>
      </c>
      <c r="BT20" s="990" t="str">
        <f t="shared" si="59"/>
        <v>Yes</v>
      </c>
      <c r="BU20" s="1303">
        <f t="shared" si="60"/>
        <v>8.75</v>
      </c>
      <c r="BV20" s="990" t="str">
        <f t="shared" si="61"/>
        <v>Yes</v>
      </c>
      <c r="BW20" s="991">
        <f t="shared" ca="1" si="62"/>
        <v>20</v>
      </c>
      <c r="BX20" s="991" t="str">
        <f t="shared" ca="1" si="63"/>
        <v>G77</v>
      </c>
      <c r="BY20" s="991" t="b">
        <f t="shared" ca="1" si="64"/>
        <v>0</v>
      </c>
      <c r="BZ20" s="991" t="b">
        <f t="shared" si="86"/>
        <v>0</v>
      </c>
      <c r="CB20" s="672" t="s">
        <v>1473</v>
      </c>
      <c r="CC20" s="1685">
        <v>1</v>
      </c>
      <c r="CD20" s="699" t="s">
        <v>1749</v>
      </c>
      <c r="CE20" s="700">
        <v>56</v>
      </c>
      <c r="CF20" s="701">
        <v>0</v>
      </c>
      <c r="CG20" s="672">
        <v>7</v>
      </c>
      <c r="CH20" s="713"/>
      <c r="CI20" s="714"/>
      <c r="CJ20" s="713"/>
      <c r="CK20" s="714"/>
      <c r="CL20" s="715"/>
      <c r="CM20" s="743"/>
      <c r="CN20" s="738"/>
      <c r="CO20" s="1552"/>
      <c r="CP20" s="910"/>
      <c r="CQ20" s="672">
        <v>7</v>
      </c>
      <c r="CR20" s="713"/>
      <c r="CS20" s="714"/>
      <c r="CT20" s="713"/>
      <c r="CU20" s="714"/>
      <c r="CV20" s="715"/>
      <c r="CW20" s="743"/>
      <c r="CX20" s="738"/>
      <c r="CY20" s="1552"/>
      <c r="CZ20" s="910"/>
      <c r="DA20" s="717"/>
      <c r="DB20" s="702" t="s">
        <v>1742</v>
      </c>
      <c r="DC20" s="703"/>
      <c r="DD20" s="725"/>
      <c r="DE20" s="726">
        <v>11.125</v>
      </c>
      <c r="DF20" s="141"/>
      <c r="DG20" s="141"/>
      <c r="DH20" s="672" t="s">
        <v>1473</v>
      </c>
      <c r="DI20" s="673" t="s">
        <v>35</v>
      </c>
      <c r="DJ20" s="692">
        <v>8</v>
      </c>
      <c r="DK20" s="1332">
        <v>0</v>
      </c>
      <c r="DL20" s="674">
        <v>5</v>
      </c>
      <c r="DM20" s="693">
        <v>8</v>
      </c>
      <c r="DN20" s="1335">
        <v>0</v>
      </c>
      <c r="DO20" s="675"/>
      <c r="DP20" s="676"/>
      <c r="DQ20" s="1420">
        <v>5</v>
      </c>
      <c r="DR20" s="677">
        <v>13</v>
      </c>
      <c r="DS20" s="1420">
        <v>4</v>
      </c>
      <c r="DT20" s="1422">
        <v>2</v>
      </c>
      <c r="DU20" s="1423">
        <v>2</v>
      </c>
      <c r="DV20" s="2661">
        <v>1</v>
      </c>
      <c r="DW20" s="2664">
        <v>0.25</v>
      </c>
      <c r="DX20" s="679"/>
      <c r="DY20" s="2665" t="s">
        <v>35</v>
      </c>
      <c r="DZ20" s="2661">
        <v>55</v>
      </c>
      <c r="EA20" s="2664">
        <v>0.25</v>
      </c>
      <c r="EB20" s="679"/>
      <c r="EC20" s="2665" t="s">
        <v>35</v>
      </c>
      <c r="ED20" s="678"/>
      <c r="EE20" s="1337"/>
      <c r="EF20" s="679"/>
      <c r="EG20" s="674"/>
      <c r="EH20" s="678"/>
      <c r="EI20" s="1337"/>
      <c r="EJ20" s="679"/>
      <c r="EK20" s="680"/>
      <c r="EL20" s="241"/>
      <c r="EM20" s="1632" t="str">
        <f t="shared" si="65"/>
        <v>G77</v>
      </c>
      <c r="EN20" s="1429" t="str">
        <f t="shared" si="66"/>
        <v/>
      </c>
      <c r="EO20" s="1430" t="str">
        <f t="shared" si="67"/>
        <v/>
      </c>
      <c r="EP20" s="1431" t="str">
        <f t="shared" si="68"/>
        <v/>
      </c>
      <c r="EQ20" s="1435" t="str">
        <f t="shared" si="69"/>
        <v/>
      </c>
      <c r="ER20" s="1441" t="str">
        <f t="shared" si="70"/>
        <v/>
      </c>
      <c r="ES20" s="1442" t="str">
        <f t="shared" si="71"/>
        <v/>
      </c>
      <c r="ET20" s="1443" t="str">
        <f t="shared" si="72"/>
        <v/>
      </c>
      <c r="EU20" s="1444" t="str">
        <f t="shared" si="87"/>
        <v/>
      </c>
      <c r="EX20" s="503" t="str">
        <f t="shared" ca="1" si="88"/>
        <v>G77B</v>
      </c>
      <c r="EY20" s="940" t="b">
        <f t="shared" ca="1" si="73"/>
        <v>1</v>
      </c>
      <c r="EZ20" s="940">
        <f t="shared" ca="1" si="89"/>
        <v>5</v>
      </c>
      <c r="FA20" s="958" t="b">
        <f t="shared" ca="1" si="94"/>
        <v>1</v>
      </c>
      <c r="FB20" s="134">
        <f t="shared" ca="1" si="90"/>
        <v>666</v>
      </c>
      <c r="FC20" s="134">
        <f t="shared" ca="1" si="74"/>
        <v>93</v>
      </c>
      <c r="FD20" s="134">
        <f t="shared" ca="1" si="75"/>
        <v>480</v>
      </c>
      <c r="FE20" s="134">
        <f t="shared" ca="1" si="76"/>
        <v>93</v>
      </c>
      <c r="FF20" s="134">
        <f t="shared" ca="1" si="91"/>
        <v>666</v>
      </c>
      <c r="FN20" s="754" t="b">
        <v>0</v>
      </c>
      <c r="FO20" s="754" t="b">
        <f t="shared" si="77"/>
        <v>1</v>
      </c>
      <c r="FP20" s="754" t="b">
        <v>0</v>
      </c>
      <c r="FQ20" s="754" t="b">
        <f t="shared" si="92"/>
        <v>1</v>
      </c>
      <c r="FW20" s="2"/>
      <c r="FX20" s="2"/>
      <c r="FZ20" s="2"/>
      <c r="GA20" s="581">
        <f t="shared" si="78"/>
        <v>56</v>
      </c>
      <c r="GB20" s="623">
        <f t="shared" si="79"/>
        <v>0</v>
      </c>
      <c r="GC20" s="625">
        <f t="shared" si="80"/>
        <v>-0.25</v>
      </c>
      <c r="GD20" s="626">
        <f t="shared" si="81"/>
        <v>-0.25</v>
      </c>
      <c r="GE20" s="624">
        <f t="shared" si="82"/>
        <v>0</v>
      </c>
      <c r="GF20" s="582" t="str">
        <f t="shared" si="83"/>
        <v>G77</v>
      </c>
      <c r="GG20" s="692">
        <v>0</v>
      </c>
      <c r="GH20" s="1136">
        <v>0</v>
      </c>
      <c r="GI20" s="692"/>
      <c r="GJ20" s="1136"/>
      <c r="GK20" s="1641">
        <f t="shared" si="84"/>
        <v>671.5</v>
      </c>
      <c r="GL20" s="1641">
        <f t="shared" si="85"/>
        <v>671.5</v>
      </c>
      <c r="GM20" s="1642">
        <f>IF(ABS(GK20-GL20)&gt;='Job Info.'!$L$22,ABS(GK20-GL20),0)</f>
        <v>0</v>
      </c>
      <c r="HA20" s="1242" t="s">
        <v>1473</v>
      </c>
      <c r="HB20" s="1243">
        <v>1</v>
      </c>
      <c r="HC20" s="1243" t="s">
        <v>1749</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t="s">
        <v>1742</v>
      </c>
      <c r="IB20" s="1247"/>
      <c r="IC20" s="1247"/>
      <c r="ID20" s="1262">
        <v>11.125</v>
      </c>
      <c r="IE20" s="1242" t="s">
        <v>1473</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5"/>
        <v>1</v>
      </c>
    </row>
    <row r="21" spans="1:272" ht="12.6" customHeight="1" x14ac:dyDescent="0.25">
      <c r="A21" s="2683" t="str">
        <f t="shared" si="0"/>
        <v>G78</v>
      </c>
      <c r="B21" s="2684">
        <f t="shared" si="0"/>
        <v>1</v>
      </c>
      <c r="C21" s="2685" t="s">
        <v>1749</v>
      </c>
      <c r="D21" s="2686">
        <f t="shared" si="1"/>
        <v>55</v>
      </c>
      <c r="E21" s="2687">
        <f t="shared" si="2"/>
        <v>11.5</v>
      </c>
      <c r="F21" s="2688">
        <f t="shared" si="3"/>
        <v>11.125</v>
      </c>
      <c r="G21" s="2689">
        <f t="shared" si="4"/>
        <v>0</v>
      </c>
      <c r="H21" s="2690">
        <f t="shared" si="5"/>
        <v>2.75</v>
      </c>
      <c r="I21" s="2691" t="str">
        <f t="shared" si="6"/>
        <v>R</v>
      </c>
      <c r="J21" s="2686">
        <f t="shared" si="7"/>
        <v>0</v>
      </c>
      <c r="K21" s="2690">
        <f t="shared" si="8"/>
        <v>2.75</v>
      </c>
      <c r="L21" s="2692" t="str">
        <f t="shared" si="9"/>
        <v>R</v>
      </c>
      <c r="M21" s="2693">
        <f t="shared" si="10"/>
        <v>7.5</v>
      </c>
      <c r="N21" s="2694">
        <f t="shared" si="10"/>
        <v>7.5</v>
      </c>
      <c r="O21" s="2689">
        <f t="shared" si="11"/>
        <v>0</v>
      </c>
      <c r="P21" s="2690">
        <f t="shared" si="12"/>
        <v>7.75</v>
      </c>
      <c r="Q21" s="2686">
        <f t="shared" si="13"/>
        <v>0</v>
      </c>
      <c r="R21" s="2687">
        <f t="shared" si="14"/>
        <v>7.75</v>
      </c>
      <c r="S21" s="2695">
        <f t="shared" si="15"/>
        <v>0</v>
      </c>
      <c r="T21" s="2690">
        <f t="shared" si="16"/>
        <v>7.25</v>
      </c>
      <c r="U21" s="2686">
        <f t="shared" si="17"/>
        <v>0</v>
      </c>
      <c r="V21" s="2690">
        <f t="shared" si="18"/>
        <v>7.25</v>
      </c>
      <c r="W21" s="2694">
        <f t="shared" si="19"/>
        <v>5</v>
      </c>
      <c r="X21" s="2696" t="str">
        <f t="shared" si="20"/>
        <v/>
      </c>
      <c r="Y21" s="2697" t="str">
        <f t="shared" si="21"/>
        <v/>
      </c>
      <c r="Z21" s="2698" t="s">
        <v>1941</v>
      </c>
      <c r="AA21" s="2758" t="str">
        <f t="shared" si="22"/>
        <v/>
      </c>
      <c r="AB21" s="2683" t="str">
        <f t="shared" si="23"/>
        <v>G78</v>
      </c>
      <c r="AC21" s="2691" t="str">
        <f t="shared" si="24"/>
        <v>B</v>
      </c>
      <c r="AD21" s="2686">
        <f t="shared" ca="1" si="25"/>
        <v>7</v>
      </c>
      <c r="AE21" s="2690">
        <f t="shared" ca="1" si="26"/>
        <v>9</v>
      </c>
      <c r="AF21" s="2691">
        <f t="shared" ca="1" si="27"/>
        <v>5</v>
      </c>
      <c r="AG21" s="2686">
        <f t="shared" ca="1" si="28"/>
        <v>8</v>
      </c>
      <c r="AH21" s="2690">
        <f t="shared" ca="1" si="29"/>
        <v>0</v>
      </c>
      <c r="AI21" s="2686">
        <f t="shared" ca="1" si="30"/>
        <v>7</v>
      </c>
      <c r="AJ21" s="2690">
        <f t="shared" ca="1" si="31"/>
        <v>9</v>
      </c>
      <c r="AK21" s="2732" t="str">
        <f t="shared" si="32"/>
        <v/>
      </c>
      <c r="AL21" s="2733" t="str">
        <f t="shared" si="33"/>
        <v/>
      </c>
      <c r="AM21" s="2734">
        <f t="shared" si="32"/>
        <v>5</v>
      </c>
      <c r="AN21" s="2691">
        <f t="shared" si="32"/>
        <v>13</v>
      </c>
      <c r="AO21" s="2694">
        <f t="shared" si="32"/>
        <v>4</v>
      </c>
      <c r="AP21" s="2693">
        <f t="shared" si="34"/>
        <v>1.75</v>
      </c>
      <c r="AQ21" s="2736">
        <f t="shared" si="34"/>
        <v>1.75</v>
      </c>
      <c r="AR21" s="2689">
        <f t="shared" si="35"/>
        <v>1</v>
      </c>
      <c r="AS21" s="2690">
        <f t="shared" si="36"/>
        <v>0</v>
      </c>
      <c r="AT21" s="2737" t="str">
        <f t="shared" si="37"/>
        <v/>
      </c>
      <c r="AU21" s="2738" t="str">
        <f t="shared" si="38"/>
        <v>B</v>
      </c>
      <c r="AV21" s="2695">
        <f t="shared" si="39"/>
        <v>55</v>
      </c>
      <c r="AW21" s="2690">
        <f t="shared" si="40"/>
        <v>0</v>
      </c>
      <c r="AX21" s="2737" t="str">
        <f t="shared" si="41"/>
        <v/>
      </c>
      <c r="AY21" s="2738" t="str">
        <f t="shared" si="42"/>
        <v>B</v>
      </c>
      <c r="AZ21" s="2695" t="str">
        <f t="shared" si="43"/>
        <v/>
      </c>
      <c r="BA21" s="2690" t="str">
        <f t="shared" si="44"/>
        <v/>
      </c>
      <c r="BB21" s="2737" t="str">
        <f t="shared" si="45"/>
        <v/>
      </c>
      <c r="BC21" s="2738" t="str">
        <f t="shared" si="46"/>
        <v/>
      </c>
      <c r="BD21" s="2695" t="str">
        <f t="shared" si="47"/>
        <v/>
      </c>
      <c r="BE21" s="2690" t="str">
        <f t="shared" si="48"/>
        <v/>
      </c>
      <c r="BF21" s="2737" t="str">
        <f t="shared" si="49"/>
        <v/>
      </c>
      <c r="BG21" s="2738" t="str">
        <f t="shared" si="50"/>
        <v/>
      </c>
      <c r="BH21" s="1417"/>
      <c r="BJ21" s="995" t="str">
        <f t="shared" si="93"/>
        <v>G78</v>
      </c>
      <c r="BK21" s="993" t="b">
        <f t="shared" si="51"/>
        <v>0</v>
      </c>
      <c r="BL21" s="1784" t="b">
        <v>0</v>
      </c>
      <c r="BM21" s="989">
        <f t="shared" si="52"/>
        <v>72</v>
      </c>
      <c r="BN21" s="989" t="str">
        <f t="shared" si="53"/>
        <v>G</v>
      </c>
      <c r="BO21" s="989">
        <f t="shared" si="54"/>
        <v>7</v>
      </c>
      <c r="BP21" s="989" t="str">
        <f t="shared" si="55"/>
        <v>13/6</v>
      </c>
      <c r="BQ21" s="989">
        <f t="shared" si="56"/>
        <v>2.4</v>
      </c>
      <c r="BR21" s="989" t="b">
        <f t="shared" si="57"/>
        <v>1</v>
      </c>
      <c r="BS21" s="1303">
        <f t="shared" si="58"/>
        <v>8.75</v>
      </c>
      <c r="BT21" s="990" t="str">
        <f t="shared" si="59"/>
        <v>Yes</v>
      </c>
      <c r="BU21" s="1303">
        <f t="shared" si="60"/>
        <v>8.75</v>
      </c>
      <c r="BV21" s="990" t="str">
        <f t="shared" si="61"/>
        <v>Yes</v>
      </c>
      <c r="BW21" s="991">
        <f t="shared" ca="1" si="62"/>
        <v>20</v>
      </c>
      <c r="BX21" s="991" t="str">
        <f t="shared" ca="1" si="63"/>
        <v>G78</v>
      </c>
      <c r="BY21" s="991" t="b">
        <f t="shared" ca="1" si="64"/>
        <v>0</v>
      </c>
      <c r="BZ21" s="991" t="b">
        <f t="shared" si="86"/>
        <v>0</v>
      </c>
      <c r="CB21" s="672" t="s">
        <v>1474</v>
      </c>
      <c r="CC21" s="1685">
        <v>1</v>
      </c>
      <c r="CD21" s="699" t="s">
        <v>1749</v>
      </c>
      <c r="CE21" s="700">
        <v>56</v>
      </c>
      <c r="CF21" s="701">
        <v>0</v>
      </c>
      <c r="CG21" s="672">
        <v>7</v>
      </c>
      <c r="CH21" s="713"/>
      <c r="CI21" s="714"/>
      <c r="CJ21" s="713"/>
      <c r="CK21" s="714"/>
      <c r="CL21" s="715"/>
      <c r="CM21" s="743"/>
      <c r="CN21" s="738"/>
      <c r="CO21" s="1552"/>
      <c r="CP21" s="910"/>
      <c r="CQ21" s="672">
        <v>7</v>
      </c>
      <c r="CR21" s="713"/>
      <c r="CS21" s="714"/>
      <c r="CT21" s="713"/>
      <c r="CU21" s="714"/>
      <c r="CV21" s="715"/>
      <c r="CW21" s="743"/>
      <c r="CX21" s="738"/>
      <c r="CY21" s="1552"/>
      <c r="CZ21" s="910"/>
      <c r="DA21" s="717"/>
      <c r="DB21" s="702" t="s">
        <v>1754</v>
      </c>
      <c r="DC21" s="703"/>
      <c r="DD21" s="725"/>
      <c r="DE21" s="726">
        <v>11.125</v>
      </c>
      <c r="DF21" s="141"/>
      <c r="DG21" s="141"/>
      <c r="DH21" s="672" t="s">
        <v>1474</v>
      </c>
      <c r="DI21" s="673" t="s">
        <v>35</v>
      </c>
      <c r="DJ21" s="692">
        <v>8</v>
      </c>
      <c r="DK21" s="1332">
        <v>0</v>
      </c>
      <c r="DL21" s="674">
        <v>5</v>
      </c>
      <c r="DM21" s="693">
        <v>8</v>
      </c>
      <c r="DN21" s="1335">
        <v>0</v>
      </c>
      <c r="DO21" s="675"/>
      <c r="DP21" s="676"/>
      <c r="DQ21" s="1420">
        <v>5</v>
      </c>
      <c r="DR21" s="677">
        <v>13</v>
      </c>
      <c r="DS21" s="1420">
        <v>4</v>
      </c>
      <c r="DT21" s="1422">
        <v>2</v>
      </c>
      <c r="DU21" s="1423">
        <v>2</v>
      </c>
      <c r="DV21" s="2661">
        <v>1</v>
      </c>
      <c r="DW21" s="2664">
        <v>0.25</v>
      </c>
      <c r="DX21" s="679"/>
      <c r="DY21" s="2665" t="s">
        <v>35</v>
      </c>
      <c r="DZ21" s="2661">
        <v>55</v>
      </c>
      <c r="EA21" s="2664">
        <v>0.25</v>
      </c>
      <c r="EB21" s="679"/>
      <c r="EC21" s="2665" t="s">
        <v>35</v>
      </c>
      <c r="ED21" s="678"/>
      <c r="EE21" s="1337"/>
      <c r="EF21" s="679"/>
      <c r="EG21" s="674"/>
      <c r="EH21" s="678"/>
      <c r="EI21" s="1337"/>
      <c r="EJ21" s="679"/>
      <c r="EK21" s="680"/>
      <c r="EL21" s="241"/>
      <c r="EM21" s="1632" t="str">
        <f t="shared" si="65"/>
        <v>G78</v>
      </c>
      <c r="EN21" s="1429" t="str">
        <f t="shared" si="66"/>
        <v/>
      </c>
      <c r="EO21" s="1430" t="str">
        <f t="shared" si="67"/>
        <v/>
      </c>
      <c r="EP21" s="1431" t="str">
        <f t="shared" si="68"/>
        <v/>
      </c>
      <c r="EQ21" s="1435" t="str">
        <f t="shared" si="69"/>
        <v/>
      </c>
      <c r="ER21" s="1441" t="str">
        <f t="shared" si="70"/>
        <v/>
      </c>
      <c r="ES21" s="1442" t="str">
        <f t="shared" si="71"/>
        <v/>
      </c>
      <c r="ET21" s="1443" t="str">
        <f t="shared" si="72"/>
        <v/>
      </c>
      <c r="EU21" s="1444" t="str">
        <f t="shared" si="87"/>
        <v/>
      </c>
      <c r="EX21" s="503" t="str">
        <f t="shared" ca="1" si="88"/>
        <v>G78B</v>
      </c>
      <c r="EY21" s="940" t="b">
        <f t="shared" ca="1" si="73"/>
        <v>1</v>
      </c>
      <c r="EZ21" s="940">
        <f t="shared" ca="1" si="89"/>
        <v>5</v>
      </c>
      <c r="FA21" s="958" t="b">
        <f t="shared" ca="1" si="94"/>
        <v>1</v>
      </c>
      <c r="FB21" s="134">
        <f t="shared" ca="1" si="90"/>
        <v>666</v>
      </c>
      <c r="FC21" s="134">
        <f t="shared" ca="1" si="74"/>
        <v>93</v>
      </c>
      <c r="FD21" s="134">
        <f t="shared" ca="1" si="75"/>
        <v>480</v>
      </c>
      <c r="FE21" s="134">
        <f t="shared" ca="1" si="76"/>
        <v>93</v>
      </c>
      <c r="FF21" s="134">
        <f t="shared" ca="1" si="91"/>
        <v>666</v>
      </c>
      <c r="FN21" s="754" t="b">
        <v>0</v>
      </c>
      <c r="FO21" s="754" t="b">
        <f t="shared" si="77"/>
        <v>1</v>
      </c>
      <c r="FP21" s="754" t="b">
        <v>0</v>
      </c>
      <c r="FQ21" s="754" t="b">
        <f t="shared" si="92"/>
        <v>1</v>
      </c>
      <c r="FW21" s="23"/>
      <c r="FX21" s="23"/>
      <c r="FZ21" s="23"/>
      <c r="GA21" s="581">
        <f t="shared" si="78"/>
        <v>56</v>
      </c>
      <c r="GB21" s="623">
        <f t="shared" si="79"/>
        <v>0</v>
      </c>
      <c r="GC21" s="625">
        <f t="shared" si="80"/>
        <v>-0.25</v>
      </c>
      <c r="GD21" s="626">
        <f t="shared" si="81"/>
        <v>-0.25</v>
      </c>
      <c r="GE21" s="624">
        <f t="shared" si="82"/>
        <v>0</v>
      </c>
      <c r="GF21" s="582" t="str">
        <f t="shared" si="83"/>
        <v>G78</v>
      </c>
      <c r="GG21" s="692">
        <v>0</v>
      </c>
      <c r="GH21" s="1136">
        <v>0</v>
      </c>
      <c r="GI21" s="692"/>
      <c r="GJ21" s="1136"/>
      <c r="GK21" s="1641">
        <f t="shared" si="84"/>
        <v>671.5</v>
      </c>
      <c r="GL21" s="1641">
        <f t="shared" si="85"/>
        <v>671.5</v>
      </c>
      <c r="GM21" s="1642">
        <f>IF(ABS(GK21-GL21)&gt;='Job Info.'!$L$22,ABS(GK21-GL21),0)</f>
        <v>0</v>
      </c>
      <c r="HA21" s="1242" t="s">
        <v>1474</v>
      </c>
      <c r="HB21" s="1243">
        <v>1</v>
      </c>
      <c r="HC21" s="1243" t="s">
        <v>1749</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1754</v>
      </c>
      <c r="IB21" s="1247"/>
      <c r="IC21" s="1247"/>
      <c r="ID21" s="1262">
        <v>11.125</v>
      </c>
      <c r="IE21" s="1242" t="s">
        <v>1474</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5"/>
        <v>1</v>
      </c>
    </row>
    <row r="22" spans="1:272" ht="12.6" customHeight="1" x14ac:dyDescent="0.25">
      <c r="A22" s="2683" t="str">
        <f t="shared" si="0"/>
        <v>G79</v>
      </c>
      <c r="B22" s="2684">
        <f t="shared" si="0"/>
        <v>1</v>
      </c>
      <c r="C22" s="2685" t="s">
        <v>1749</v>
      </c>
      <c r="D22" s="2686">
        <f t="shared" si="1"/>
        <v>55</v>
      </c>
      <c r="E22" s="2687">
        <f t="shared" si="2"/>
        <v>11.5</v>
      </c>
      <c r="F22" s="2688">
        <f t="shared" si="3"/>
        <v>11.125</v>
      </c>
      <c r="G22" s="2689">
        <f t="shared" si="4"/>
        <v>0</v>
      </c>
      <c r="H22" s="2690">
        <f t="shared" si="5"/>
        <v>2.75</v>
      </c>
      <c r="I22" s="2691" t="str">
        <f t="shared" si="6"/>
        <v>R</v>
      </c>
      <c r="J22" s="2686">
        <f t="shared" si="7"/>
        <v>0</v>
      </c>
      <c r="K22" s="2690">
        <f t="shared" si="8"/>
        <v>2.75</v>
      </c>
      <c r="L22" s="2692" t="str">
        <f t="shared" si="9"/>
        <v>R</v>
      </c>
      <c r="M22" s="2693">
        <f t="shared" si="10"/>
        <v>7.5</v>
      </c>
      <c r="N22" s="2694">
        <f t="shared" si="10"/>
        <v>7.5</v>
      </c>
      <c r="O22" s="2689">
        <f t="shared" si="11"/>
        <v>0</v>
      </c>
      <c r="P22" s="2690">
        <f t="shared" si="12"/>
        <v>7.75</v>
      </c>
      <c r="Q22" s="2686">
        <f t="shared" si="13"/>
        <v>0</v>
      </c>
      <c r="R22" s="2687">
        <f t="shared" si="14"/>
        <v>7.75</v>
      </c>
      <c r="S22" s="2695">
        <f t="shared" si="15"/>
        <v>0</v>
      </c>
      <c r="T22" s="2690">
        <f t="shared" si="16"/>
        <v>7.25</v>
      </c>
      <c r="U22" s="2686">
        <f t="shared" si="17"/>
        <v>0</v>
      </c>
      <c r="V22" s="2690">
        <f t="shared" si="18"/>
        <v>7.25</v>
      </c>
      <c r="W22" s="2694">
        <f t="shared" si="19"/>
        <v>5</v>
      </c>
      <c r="X22" s="2696" t="str">
        <f t="shared" si="20"/>
        <v/>
      </c>
      <c r="Y22" s="2697" t="str">
        <f t="shared" si="21"/>
        <v/>
      </c>
      <c r="Z22" s="2698" t="s">
        <v>1942</v>
      </c>
      <c r="AA22" s="2758" t="str">
        <f t="shared" si="22"/>
        <v/>
      </c>
      <c r="AB22" s="2683" t="str">
        <f t="shared" si="23"/>
        <v>G79</v>
      </c>
      <c r="AC22" s="2691" t="str">
        <f t="shared" si="24"/>
        <v>B</v>
      </c>
      <c r="AD22" s="2686">
        <f t="shared" ca="1" si="25"/>
        <v>7</v>
      </c>
      <c r="AE22" s="2690">
        <f t="shared" ca="1" si="26"/>
        <v>9</v>
      </c>
      <c r="AF22" s="2691">
        <f t="shared" ca="1" si="27"/>
        <v>5</v>
      </c>
      <c r="AG22" s="2686">
        <f t="shared" ca="1" si="28"/>
        <v>8</v>
      </c>
      <c r="AH22" s="2690">
        <f t="shared" ca="1" si="29"/>
        <v>0</v>
      </c>
      <c r="AI22" s="2686">
        <f t="shared" ca="1" si="30"/>
        <v>7</v>
      </c>
      <c r="AJ22" s="2690">
        <f t="shared" ca="1" si="31"/>
        <v>9</v>
      </c>
      <c r="AK22" s="2732" t="str">
        <f t="shared" si="32"/>
        <v/>
      </c>
      <c r="AL22" s="2733" t="str">
        <f t="shared" si="33"/>
        <v/>
      </c>
      <c r="AM22" s="2734">
        <f t="shared" si="32"/>
        <v>5</v>
      </c>
      <c r="AN22" s="2691">
        <f t="shared" si="32"/>
        <v>13</v>
      </c>
      <c r="AO22" s="2694">
        <f t="shared" si="32"/>
        <v>4</v>
      </c>
      <c r="AP22" s="2693">
        <f t="shared" si="34"/>
        <v>1.75</v>
      </c>
      <c r="AQ22" s="2736">
        <f t="shared" si="34"/>
        <v>1.75</v>
      </c>
      <c r="AR22" s="2689">
        <f t="shared" si="35"/>
        <v>1</v>
      </c>
      <c r="AS22" s="2690">
        <f t="shared" si="36"/>
        <v>0</v>
      </c>
      <c r="AT22" s="2737" t="str">
        <f t="shared" si="37"/>
        <v/>
      </c>
      <c r="AU22" s="2738" t="str">
        <f t="shared" si="38"/>
        <v>B</v>
      </c>
      <c r="AV22" s="2695">
        <f t="shared" si="39"/>
        <v>55</v>
      </c>
      <c r="AW22" s="2690">
        <f t="shared" si="40"/>
        <v>0</v>
      </c>
      <c r="AX22" s="2737" t="str">
        <f t="shared" si="41"/>
        <v/>
      </c>
      <c r="AY22" s="2738" t="str">
        <f t="shared" si="42"/>
        <v>B</v>
      </c>
      <c r="AZ22" s="2695" t="str">
        <f t="shared" si="43"/>
        <v/>
      </c>
      <c r="BA22" s="2690" t="str">
        <f t="shared" si="44"/>
        <v/>
      </c>
      <c r="BB22" s="2737" t="str">
        <f t="shared" si="45"/>
        <v/>
      </c>
      <c r="BC22" s="2738" t="str">
        <f t="shared" si="46"/>
        <v/>
      </c>
      <c r="BD22" s="2695" t="str">
        <f t="shared" si="47"/>
        <v/>
      </c>
      <c r="BE22" s="2690" t="str">
        <f t="shared" si="48"/>
        <v/>
      </c>
      <c r="BF22" s="2737" t="str">
        <f t="shared" si="49"/>
        <v/>
      </c>
      <c r="BG22" s="2738" t="str">
        <f t="shared" si="50"/>
        <v/>
      </c>
      <c r="BH22" s="1417"/>
      <c r="BJ22" s="995" t="str">
        <f t="shared" si="93"/>
        <v>G79</v>
      </c>
      <c r="BK22" s="993" t="b">
        <f t="shared" si="51"/>
        <v>0</v>
      </c>
      <c r="BL22" s="1784" t="b">
        <v>0</v>
      </c>
      <c r="BM22" s="989">
        <f t="shared" si="52"/>
        <v>72</v>
      </c>
      <c r="BN22" s="989" t="str">
        <f t="shared" si="53"/>
        <v>G</v>
      </c>
      <c r="BO22" s="989">
        <f t="shared" si="54"/>
        <v>7</v>
      </c>
      <c r="BP22" s="989" t="str">
        <f t="shared" si="55"/>
        <v>13/6</v>
      </c>
      <c r="BQ22" s="989">
        <f t="shared" si="56"/>
        <v>2.4</v>
      </c>
      <c r="BR22" s="989" t="b">
        <f t="shared" si="57"/>
        <v>1</v>
      </c>
      <c r="BS22" s="1303">
        <f t="shared" si="58"/>
        <v>8.75</v>
      </c>
      <c r="BT22" s="990" t="str">
        <f t="shared" si="59"/>
        <v>Yes</v>
      </c>
      <c r="BU22" s="1303">
        <f t="shared" si="60"/>
        <v>8.75</v>
      </c>
      <c r="BV22" s="990" t="str">
        <f t="shared" si="61"/>
        <v>Yes</v>
      </c>
      <c r="BW22" s="991">
        <f t="shared" ca="1" si="62"/>
        <v>20</v>
      </c>
      <c r="BX22" s="991" t="str">
        <f t="shared" ca="1" si="63"/>
        <v>G79</v>
      </c>
      <c r="BY22" s="991" t="b">
        <f t="shared" ca="1" si="64"/>
        <v>0</v>
      </c>
      <c r="BZ22" s="991" t="b">
        <f t="shared" si="86"/>
        <v>0</v>
      </c>
      <c r="CB22" s="672" t="s">
        <v>1475</v>
      </c>
      <c r="CC22" s="1685">
        <v>1</v>
      </c>
      <c r="CD22" s="699" t="s">
        <v>1749</v>
      </c>
      <c r="CE22" s="700">
        <v>56</v>
      </c>
      <c r="CF22" s="701">
        <v>0</v>
      </c>
      <c r="CG22" s="672">
        <v>7</v>
      </c>
      <c r="CH22" s="713"/>
      <c r="CI22" s="714"/>
      <c r="CJ22" s="713"/>
      <c r="CK22" s="714"/>
      <c r="CL22" s="715"/>
      <c r="CM22" s="743"/>
      <c r="CN22" s="738"/>
      <c r="CO22" s="1552"/>
      <c r="CP22" s="910"/>
      <c r="CQ22" s="672">
        <v>7</v>
      </c>
      <c r="CR22" s="713"/>
      <c r="CS22" s="714"/>
      <c r="CT22" s="713"/>
      <c r="CU22" s="714"/>
      <c r="CV22" s="715"/>
      <c r="CW22" s="743"/>
      <c r="CX22" s="738"/>
      <c r="CY22" s="1552"/>
      <c r="CZ22" s="910"/>
      <c r="DA22" s="717"/>
      <c r="DB22" s="702" t="s">
        <v>1755</v>
      </c>
      <c r="DC22" s="703" t="s">
        <v>34</v>
      </c>
      <c r="DD22" s="725"/>
      <c r="DE22" s="726">
        <v>11.125</v>
      </c>
      <c r="DF22" s="141"/>
      <c r="DG22" s="141"/>
      <c r="DH22" s="672" t="s">
        <v>1475</v>
      </c>
      <c r="DI22" s="673" t="s">
        <v>35</v>
      </c>
      <c r="DJ22" s="692">
        <v>8</v>
      </c>
      <c r="DK22" s="1332">
        <v>0</v>
      </c>
      <c r="DL22" s="674">
        <v>5</v>
      </c>
      <c r="DM22" s="693">
        <v>8</v>
      </c>
      <c r="DN22" s="1335">
        <v>0</v>
      </c>
      <c r="DO22" s="675"/>
      <c r="DP22" s="676"/>
      <c r="DQ22" s="1420">
        <v>5</v>
      </c>
      <c r="DR22" s="677">
        <v>13</v>
      </c>
      <c r="DS22" s="1420">
        <v>4</v>
      </c>
      <c r="DT22" s="1422">
        <v>2</v>
      </c>
      <c r="DU22" s="1423">
        <v>2</v>
      </c>
      <c r="DV22" s="2661">
        <v>1</v>
      </c>
      <c r="DW22" s="2664">
        <v>0.25</v>
      </c>
      <c r="DX22" s="679"/>
      <c r="DY22" s="2665" t="s">
        <v>35</v>
      </c>
      <c r="DZ22" s="2661">
        <v>55</v>
      </c>
      <c r="EA22" s="2664">
        <v>0.25</v>
      </c>
      <c r="EB22" s="679"/>
      <c r="EC22" s="2665" t="s">
        <v>35</v>
      </c>
      <c r="ED22" s="678"/>
      <c r="EE22" s="1337"/>
      <c r="EF22" s="679"/>
      <c r="EG22" s="674"/>
      <c r="EH22" s="678"/>
      <c r="EI22" s="1337"/>
      <c r="EJ22" s="679"/>
      <c r="EK22" s="680"/>
      <c r="EL22" s="241"/>
      <c r="EM22" s="1632" t="str">
        <f t="shared" si="65"/>
        <v>G79</v>
      </c>
      <c r="EN22" s="1429" t="str">
        <f t="shared" si="66"/>
        <v/>
      </c>
      <c r="EO22" s="1430" t="str">
        <f t="shared" si="67"/>
        <v/>
      </c>
      <c r="EP22" s="1431" t="str">
        <f t="shared" si="68"/>
        <v/>
      </c>
      <c r="EQ22" s="1435" t="str">
        <f t="shared" si="69"/>
        <v/>
      </c>
      <c r="ER22" s="1441" t="str">
        <f t="shared" si="70"/>
        <v/>
      </c>
      <c r="ES22" s="1442" t="str">
        <f t="shared" si="71"/>
        <v/>
      </c>
      <c r="ET22" s="1443" t="str">
        <f t="shared" si="72"/>
        <v/>
      </c>
      <c r="EU22" s="1444" t="str">
        <f t="shared" si="87"/>
        <v/>
      </c>
      <c r="EX22" s="503" t="str">
        <f t="shared" ca="1" si="88"/>
        <v>G79B</v>
      </c>
      <c r="EY22" s="940" t="b">
        <f t="shared" ca="1" si="73"/>
        <v>1</v>
      </c>
      <c r="EZ22" s="940">
        <f t="shared" ca="1" si="89"/>
        <v>5</v>
      </c>
      <c r="FA22" s="958" t="b">
        <f t="shared" ca="1" si="94"/>
        <v>1</v>
      </c>
      <c r="FB22" s="134">
        <f t="shared" ca="1" si="90"/>
        <v>666</v>
      </c>
      <c r="FC22" s="134">
        <f t="shared" ca="1" si="74"/>
        <v>93</v>
      </c>
      <c r="FD22" s="134">
        <f t="shared" ca="1" si="75"/>
        <v>480</v>
      </c>
      <c r="FE22" s="134">
        <f t="shared" ca="1" si="76"/>
        <v>93</v>
      </c>
      <c r="FF22" s="134">
        <f t="shared" ca="1" si="91"/>
        <v>666</v>
      </c>
      <c r="FN22" s="754" t="b">
        <v>0</v>
      </c>
      <c r="FO22" s="754" t="b">
        <f t="shared" si="77"/>
        <v>1</v>
      </c>
      <c r="FP22" s="754" t="b">
        <v>0</v>
      </c>
      <c r="FQ22" s="754" t="b">
        <f t="shared" si="92"/>
        <v>1</v>
      </c>
      <c r="FW22" s="23"/>
      <c r="FX22" s="23"/>
      <c r="FZ22" s="23"/>
      <c r="GA22" s="581">
        <f t="shared" si="78"/>
        <v>56</v>
      </c>
      <c r="GB22" s="623">
        <f t="shared" si="79"/>
        <v>0</v>
      </c>
      <c r="GC22" s="625">
        <f t="shared" si="80"/>
        <v>-0.25</v>
      </c>
      <c r="GD22" s="626">
        <f t="shared" si="81"/>
        <v>-0.25</v>
      </c>
      <c r="GE22" s="624">
        <f t="shared" si="82"/>
        <v>0</v>
      </c>
      <c r="GF22" s="582" t="str">
        <f t="shared" si="83"/>
        <v>G79</v>
      </c>
      <c r="GG22" s="692">
        <v>0</v>
      </c>
      <c r="GH22" s="1136">
        <v>0</v>
      </c>
      <c r="GI22" s="692"/>
      <c r="GJ22" s="1136"/>
      <c r="GK22" s="1641">
        <f t="shared" si="84"/>
        <v>671.5</v>
      </c>
      <c r="GL22" s="1641">
        <f t="shared" si="85"/>
        <v>671.5</v>
      </c>
      <c r="GM22" s="1642">
        <f>IF(ABS(GK22-GL22)&gt;='Job Info.'!$L$22,ABS(GK22-GL22),0)</f>
        <v>0</v>
      </c>
      <c r="HA22" s="1242" t="s">
        <v>1475</v>
      </c>
      <c r="HB22" s="1243">
        <v>1</v>
      </c>
      <c r="HC22" s="1243" t="s">
        <v>1749</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1755</v>
      </c>
      <c r="IB22" s="1247" t="s">
        <v>34</v>
      </c>
      <c r="IC22" s="1247"/>
      <c r="ID22" s="1262">
        <v>11.125</v>
      </c>
      <c r="IE22" s="1242" t="s">
        <v>1475</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5"/>
        <v>1</v>
      </c>
    </row>
    <row r="23" spans="1:272" ht="12.6" customHeight="1" x14ac:dyDescent="0.25">
      <c r="A23" s="2683" t="str">
        <f t="shared" si="0"/>
        <v>G80</v>
      </c>
      <c r="B23" s="2684">
        <f t="shared" si="0"/>
        <v>1</v>
      </c>
      <c r="C23" s="2685" t="s">
        <v>1748</v>
      </c>
      <c r="D23" s="2686">
        <f t="shared" si="1"/>
        <v>59</v>
      </c>
      <c r="E23" s="2687">
        <f t="shared" si="2"/>
        <v>11.5</v>
      </c>
      <c r="F23" s="2688">
        <f t="shared" si="3"/>
        <v>11.125</v>
      </c>
      <c r="G23" s="2689">
        <f t="shared" si="4"/>
        <v>0</v>
      </c>
      <c r="H23" s="2690">
        <f t="shared" si="5"/>
        <v>2.75</v>
      </c>
      <c r="I23" s="2691" t="str">
        <f t="shared" si="6"/>
        <v>R</v>
      </c>
      <c r="J23" s="2686">
        <f t="shared" si="7"/>
        <v>0</v>
      </c>
      <c r="K23" s="2690">
        <f t="shared" si="8"/>
        <v>2.75</v>
      </c>
      <c r="L23" s="2692" t="str">
        <f t="shared" si="9"/>
        <v>R</v>
      </c>
      <c r="M23" s="2693">
        <f t="shared" si="10"/>
        <v>7.5</v>
      </c>
      <c r="N23" s="2694">
        <f t="shared" si="10"/>
        <v>7.5</v>
      </c>
      <c r="O23" s="2689">
        <f t="shared" si="11"/>
        <v>0</v>
      </c>
      <c r="P23" s="2690">
        <f t="shared" si="12"/>
        <v>7.75</v>
      </c>
      <c r="Q23" s="2686">
        <f t="shared" si="13"/>
        <v>0</v>
      </c>
      <c r="R23" s="2687">
        <f t="shared" si="14"/>
        <v>7.75</v>
      </c>
      <c r="S23" s="2695">
        <f t="shared" si="15"/>
        <v>0</v>
      </c>
      <c r="T23" s="2690">
        <f t="shared" si="16"/>
        <v>7.25</v>
      </c>
      <c r="U23" s="2686">
        <f t="shared" si="17"/>
        <v>0</v>
      </c>
      <c r="V23" s="2690">
        <f t="shared" si="18"/>
        <v>7.25</v>
      </c>
      <c r="W23" s="2694">
        <f t="shared" si="19"/>
        <v>5</v>
      </c>
      <c r="X23" s="2696" t="str">
        <f t="shared" si="20"/>
        <v/>
      </c>
      <c r="Y23" s="2697" t="str">
        <f t="shared" si="21"/>
        <v/>
      </c>
      <c r="Z23" s="2698" t="s">
        <v>1943</v>
      </c>
      <c r="AA23" s="2758" t="str">
        <f t="shared" si="22"/>
        <v/>
      </c>
      <c r="AB23" s="2683" t="str">
        <f t="shared" si="23"/>
        <v>G80</v>
      </c>
      <c r="AC23" s="2691" t="str">
        <f t="shared" si="24"/>
        <v>B</v>
      </c>
      <c r="AD23" s="2686">
        <f t="shared" ca="1" si="25"/>
        <v>7</v>
      </c>
      <c r="AE23" s="2690">
        <f t="shared" ca="1" si="26"/>
        <v>9</v>
      </c>
      <c r="AF23" s="2691">
        <f t="shared" ca="1" si="27"/>
        <v>6</v>
      </c>
      <c r="AG23" s="2686">
        <f t="shared" ca="1" si="28"/>
        <v>8</v>
      </c>
      <c r="AH23" s="2690">
        <f t="shared" ca="1" si="29"/>
        <v>0</v>
      </c>
      <c r="AI23" s="2686">
        <f t="shared" ca="1" si="30"/>
        <v>3</v>
      </c>
      <c r="AJ23" s="2690">
        <f t="shared" ca="1" si="31"/>
        <v>9</v>
      </c>
      <c r="AK23" s="2732" t="str">
        <f t="shared" si="32"/>
        <v/>
      </c>
      <c r="AL23" s="2733" t="str">
        <f t="shared" si="33"/>
        <v/>
      </c>
      <c r="AM23" s="2734">
        <f t="shared" si="32"/>
        <v>5</v>
      </c>
      <c r="AN23" s="2691">
        <f t="shared" si="32"/>
        <v>13</v>
      </c>
      <c r="AO23" s="2694">
        <f t="shared" si="32"/>
        <v>4</v>
      </c>
      <c r="AP23" s="2693">
        <f t="shared" si="34"/>
        <v>1.75</v>
      </c>
      <c r="AQ23" s="2736" t="str">
        <f t="shared" si="34"/>
        <v/>
      </c>
      <c r="AR23" s="2689" t="str">
        <f t="shared" si="35"/>
        <v>P</v>
      </c>
      <c r="AS23" s="2690" t="str">
        <f t="shared" si="36"/>
        <v>#7</v>
      </c>
      <c r="AT23" s="2737" t="str">
        <f t="shared" si="37"/>
        <v/>
      </c>
      <c r="AU23" s="2738" t="str">
        <f t="shared" si="38"/>
        <v>B</v>
      </c>
      <c r="AV23" s="2695">
        <f t="shared" si="39"/>
        <v>1</v>
      </c>
      <c r="AW23" s="2690">
        <f t="shared" si="40"/>
        <v>0</v>
      </c>
      <c r="AX23" s="2737" t="str">
        <f t="shared" si="41"/>
        <v/>
      </c>
      <c r="AY23" s="2738" t="str">
        <f t="shared" si="42"/>
        <v>B</v>
      </c>
      <c r="AZ23" s="2695" t="str">
        <f t="shared" si="43"/>
        <v/>
      </c>
      <c r="BA23" s="2690" t="str">
        <f t="shared" si="44"/>
        <v/>
      </c>
      <c r="BB23" s="2737" t="str">
        <f t="shared" si="45"/>
        <v/>
      </c>
      <c r="BC23" s="2738" t="str">
        <f t="shared" si="46"/>
        <v/>
      </c>
      <c r="BD23" s="2695" t="str">
        <f t="shared" si="47"/>
        <v/>
      </c>
      <c r="BE23" s="2690" t="str">
        <f t="shared" si="48"/>
        <v/>
      </c>
      <c r="BF23" s="2737" t="str">
        <f t="shared" si="49"/>
        <v/>
      </c>
      <c r="BG23" s="2738" t="str">
        <f t="shared" si="50"/>
        <v/>
      </c>
      <c r="BH23" s="1417"/>
      <c r="BJ23" s="995" t="str">
        <f t="shared" si="93"/>
        <v>G80</v>
      </c>
      <c r="BK23" s="993" t="b">
        <f t="shared" si="51"/>
        <v>0</v>
      </c>
      <c r="BL23" s="1784" t="b">
        <v>0</v>
      </c>
      <c r="BM23" s="989">
        <f t="shared" si="52"/>
        <v>72</v>
      </c>
      <c r="BN23" s="989" t="str">
        <f t="shared" si="53"/>
        <v>G</v>
      </c>
      <c r="BO23" s="989">
        <f t="shared" si="54"/>
        <v>8</v>
      </c>
      <c r="BP23" s="989" t="str">
        <f t="shared" si="55"/>
        <v>13/6</v>
      </c>
      <c r="BQ23" s="989">
        <f t="shared" si="56"/>
        <v>2.4</v>
      </c>
      <c r="BR23" s="989" t="b">
        <f t="shared" si="57"/>
        <v>1</v>
      </c>
      <c r="BS23" s="1303">
        <f t="shared" si="58"/>
        <v>8.75</v>
      </c>
      <c r="BT23" s="990" t="str">
        <f t="shared" si="59"/>
        <v>Yes</v>
      </c>
      <c r="BU23" s="1303">
        <f t="shared" si="60"/>
        <v>8.75</v>
      </c>
      <c r="BV23" s="990" t="str">
        <f t="shared" si="61"/>
        <v>Yes</v>
      </c>
      <c r="BW23" s="991">
        <f t="shared" ca="1" si="62"/>
        <v>19</v>
      </c>
      <c r="BX23" s="991" t="str">
        <f t="shared" ca="1" si="63"/>
        <v>G80</v>
      </c>
      <c r="BY23" s="991" t="b">
        <f t="shared" ca="1" si="64"/>
        <v>0</v>
      </c>
      <c r="BZ23" s="991" t="b">
        <f t="shared" si="86"/>
        <v>0</v>
      </c>
      <c r="CB23" s="672" t="s">
        <v>1476</v>
      </c>
      <c r="CC23" s="1685">
        <v>1</v>
      </c>
      <c r="CD23" s="699" t="s">
        <v>1748</v>
      </c>
      <c r="CE23" s="700">
        <v>60</v>
      </c>
      <c r="CF23" s="701">
        <v>0</v>
      </c>
      <c r="CG23" s="672">
        <v>7</v>
      </c>
      <c r="CH23" s="713"/>
      <c r="CI23" s="714"/>
      <c r="CJ23" s="713"/>
      <c r="CK23" s="714"/>
      <c r="CL23" s="715"/>
      <c r="CM23" s="743"/>
      <c r="CN23" s="738"/>
      <c r="CO23" s="1552"/>
      <c r="CP23" s="910"/>
      <c r="CQ23" s="672">
        <v>7</v>
      </c>
      <c r="CR23" s="713"/>
      <c r="CS23" s="714"/>
      <c r="CT23" s="713"/>
      <c r="CU23" s="714"/>
      <c r="CV23" s="715"/>
      <c r="CW23" s="743"/>
      <c r="CX23" s="738"/>
      <c r="CY23" s="1552"/>
      <c r="CZ23" s="910"/>
      <c r="DA23" s="717"/>
      <c r="DB23" s="702">
        <v>11</v>
      </c>
      <c r="DC23" s="703"/>
      <c r="DD23" s="725"/>
      <c r="DE23" s="726">
        <v>11.125</v>
      </c>
      <c r="DF23" s="141"/>
      <c r="DG23" s="141"/>
      <c r="DH23" s="672" t="s">
        <v>1476</v>
      </c>
      <c r="DI23" s="673" t="s">
        <v>35</v>
      </c>
      <c r="DJ23" s="692">
        <v>8</v>
      </c>
      <c r="DK23" s="1332">
        <v>0</v>
      </c>
      <c r="DL23" s="674">
        <v>6</v>
      </c>
      <c r="DM23" s="693">
        <v>8</v>
      </c>
      <c r="DN23" s="1335">
        <v>0</v>
      </c>
      <c r="DO23" s="675"/>
      <c r="DP23" s="676"/>
      <c r="DQ23" s="1420">
        <v>5</v>
      </c>
      <c r="DR23" s="677">
        <v>13</v>
      </c>
      <c r="DS23" s="1420">
        <v>4</v>
      </c>
      <c r="DT23" s="1422">
        <v>2</v>
      </c>
      <c r="DU23" s="1423"/>
      <c r="DV23" s="678" t="s">
        <v>1018</v>
      </c>
      <c r="DW23" s="1337" t="s">
        <v>1739</v>
      </c>
      <c r="DX23" s="679"/>
      <c r="DY23" s="674" t="s">
        <v>35</v>
      </c>
      <c r="DZ23" s="2661">
        <v>1</v>
      </c>
      <c r="EA23" s="2664">
        <v>0.25</v>
      </c>
      <c r="EB23" s="679"/>
      <c r="EC23" s="2665" t="s">
        <v>35</v>
      </c>
      <c r="ED23" s="678"/>
      <c r="EE23" s="1337"/>
      <c r="EF23" s="679"/>
      <c r="EG23" s="674"/>
      <c r="EH23" s="678"/>
      <c r="EI23" s="1337"/>
      <c r="EJ23" s="679"/>
      <c r="EK23" s="680"/>
      <c r="EL23" s="241"/>
      <c r="EM23" s="1632" t="str">
        <f t="shared" si="65"/>
        <v>G80</v>
      </c>
      <c r="EN23" s="1429" t="str">
        <f t="shared" si="66"/>
        <v/>
      </c>
      <c r="EO23" s="1430" t="str">
        <f t="shared" si="67"/>
        <v/>
      </c>
      <c r="EP23" s="1431" t="str">
        <f t="shared" si="68"/>
        <v/>
      </c>
      <c r="EQ23" s="1435" t="str">
        <f t="shared" si="69"/>
        <v/>
      </c>
      <c r="ER23" s="1441" t="str">
        <f t="shared" si="70"/>
        <v/>
      </c>
      <c r="ES23" s="1442" t="str">
        <f t="shared" si="71"/>
        <v/>
      </c>
      <c r="ET23" s="1443" t="str">
        <f t="shared" si="72"/>
        <v/>
      </c>
      <c r="EU23" s="1444" t="str">
        <f t="shared" si="87"/>
        <v/>
      </c>
      <c r="EX23" s="503" t="str">
        <f t="shared" ca="1" si="88"/>
        <v>G80B</v>
      </c>
      <c r="EY23" s="940" t="b">
        <f t="shared" ca="1" si="73"/>
        <v>1</v>
      </c>
      <c r="EZ23" s="940">
        <f t="shared" ca="1" si="89"/>
        <v>5</v>
      </c>
      <c r="FA23" s="958" t="b">
        <f t="shared" ca="1" si="94"/>
        <v>1</v>
      </c>
      <c r="FB23" s="134">
        <f t="shared" ca="1" si="90"/>
        <v>714</v>
      </c>
      <c r="FC23" s="134">
        <f t="shared" ca="1" si="74"/>
        <v>93</v>
      </c>
      <c r="FD23" s="134">
        <f t="shared" ca="1" si="75"/>
        <v>576</v>
      </c>
      <c r="FE23" s="134">
        <f t="shared" ca="1" si="76"/>
        <v>45</v>
      </c>
      <c r="FF23" s="134">
        <f t="shared" ca="1" si="91"/>
        <v>714</v>
      </c>
      <c r="FN23" s="754" t="b">
        <v>0</v>
      </c>
      <c r="FO23" s="754" t="b">
        <f t="shared" si="77"/>
        <v>1</v>
      </c>
      <c r="FP23" s="754" t="b">
        <v>0</v>
      </c>
      <c r="FQ23" s="754" t="b">
        <f t="shared" si="92"/>
        <v>1</v>
      </c>
      <c r="FW23" s="2"/>
      <c r="FX23" s="2"/>
      <c r="FZ23" s="2"/>
      <c r="GA23" s="581">
        <f t="shared" si="78"/>
        <v>60</v>
      </c>
      <c r="GB23" s="623">
        <f t="shared" si="79"/>
        <v>0</v>
      </c>
      <c r="GC23" s="625">
        <f t="shared" si="80"/>
        <v>-0.25</v>
      </c>
      <c r="GD23" s="626">
        <f t="shared" si="81"/>
        <v>-0.25</v>
      </c>
      <c r="GE23" s="624">
        <f t="shared" si="82"/>
        <v>0</v>
      </c>
      <c r="GF23" s="582" t="str">
        <f t="shared" si="83"/>
        <v>G80</v>
      </c>
      <c r="GG23" s="692">
        <v>0</v>
      </c>
      <c r="GH23" s="1136">
        <v>0</v>
      </c>
      <c r="GI23" s="692"/>
      <c r="GJ23" s="1136"/>
      <c r="GK23" s="1641">
        <f t="shared" si="84"/>
        <v>719.5</v>
      </c>
      <c r="GL23" s="1641">
        <f t="shared" si="85"/>
        <v>719.5</v>
      </c>
      <c r="GM23" s="1642">
        <f>IF(ABS(GK23-GL23)&gt;='Job Info.'!$L$22,ABS(GK23-GL23),0)</f>
        <v>0</v>
      </c>
      <c r="HA23" s="1242" t="s">
        <v>1476</v>
      </c>
      <c r="HB23" s="1243">
        <v>1</v>
      </c>
      <c r="HC23" s="1243" t="s">
        <v>1748</v>
      </c>
      <c r="HD23" s="1244">
        <v>60</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11</v>
      </c>
      <c r="IB23" s="1247"/>
      <c r="IC23" s="1247"/>
      <c r="ID23" s="1262">
        <v>11.125</v>
      </c>
      <c r="IE23" s="1242" t="s">
        <v>1476</v>
      </c>
      <c r="IF23" s="1243" t="s">
        <v>35</v>
      </c>
      <c r="IG23" s="1244">
        <v>8</v>
      </c>
      <c r="IH23" s="1245">
        <v>0</v>
      </c>
      <c r="II23" s="1243">
        <v>6</v>
      </c>
      <c r="IJ23" s="1244">
        <v>8</v>
      </c>
      <c r="IK23" s="1245">
        <v>0</v>
      </c>
      <c r="IL23" s="1243"/>
      <c r="IM23" s="1243"/>
      <c r="IN23" s="1243">
        <v>5</v>
      </c>
      <c r="IO23" s="1243">
        <v>13</v>
      </c>
      <c r="IP23" s="1243">
        <v>4</v>
      </c>
      <c r="IQ23" s="1243">
        <v>2</v>
      </c>
      <c r="IR23" s="1243"/>
      <c r="IS23" s="1244" t="s">
        <v>1018</v>
      </c>
      <c r="IT23" s="1245" t="s">
        <v>1739</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5"/>
        <v>1</v>
      </c>
    </row>
    <row r="24" spans="1:272" ht="12.6" customHeight="1" x14ac:dyDescent="0.25">
      <c r="A24" s="2683" t="str">
        <f t="shared" si="0"/>
        <v/>
      </c>
      <c r="B24" s="2684" t="str">
        <f t="shared" si="0"/>
        <v/>
      </c>
      <c r="C24" s="2685"/>
      <c r="D24" s="2686" t="str">
        <f t="shared" si="1"/>
        <v/>
      </c>
      <c r="E24" s="2687" t="str">
        <f t="shared" si="2"/>
        <v/>
      </c>
      <c r="F24" s="2688" t="str">
        <f t="shared" si="3"/>
        <v/>
      </c>
      <c r="G24" s="2689" t="str">
        <f t="shared" si="4"/>
        <v/>
      </c>
      <c r="H24" s="2690" t="str">
        <f t="shared" si="5"/>
        <v/>
      </c>
      <c r="I24" s="2691" t="str">
        <f t="shared" si="6"/>
        <v/>
      </c>
      <c r="J24" s="2686" t="str">
        <f t="shared" si="7"/>
        <v/>
      </c>
      <c r="K24" s="2690" t="str">
        <f t="shared" si="8"/>
        <v/>
      </c>
      <c r="L24" s="2692" t="str">
        <f t="shared" si="9"/>
        <v/>
      </c>
      <c r="M24" s="2693" t="str">
        <f t="shared" si="10"/>
        <v/>
      </c>
      <c r="N24" s="2694" t="str">
        <f t="shared" si="10"/>
        <v/>
      </c>
      <c r="O24" s="2689" t="str">
        <f t="shared" si="11"/>
        <v/>
      </c>
      <c r="P24" s="2690" t="str">
        <f t="shared" si="12"/>
        <v/>
      </c>
      <c r="Q24" s="2686" t="str">
        <f t="shared" si="13"/>
        <v/>
      </c>
      <c r="R24" s="2687" t="str">
        <f t="shared" si="14"/>
        <v/>
      </c>
      <c r="S24" s="2695" t="str">
        <f t="shared" si="15"/>
        <v/>
      </c>
      <c r="T24" s="2690" t="str">
        <f t="shared" si="16"/>
        <v/>
      </c>
      <c r="U24" s="2686" t="str">
        <f t="shared" si="17"/>
        <v/>
      </c>
      <c r="V24" s="2690" t="str">
        <f t="shared" si="18"/>
        <v/>
      </c>
      <c r="W24" s="2694">
        <f t="shared" si="19"/>
        <v>0</v>
      </c>
      <c r="X24" s="2696" t="str">
        <f t="shared" si="20"/>
        <v/>
      </c>
      <c r="Y24" s="2697" t="str">
        <f t="shared" si="21"/>
        <v/>
      </c>
      <c r="Z24" s="2698" t="s">
        <v>116</v>
      </c>
      <c r="AA24" s="2758" t="str">
        <f t="shared" si="22"/>
        <v/>
      </c>
      <c r="AB24" s="2683" t="str">
        <f t="shared" si="23"/>
        <v/>
      </c>
      <c r="AC24" s="2691" t="str">
        <f t="shared" si="24"/>
        <v/>
      </c>
      <c r="AD24" s="2686" t="str">
        <f t="shared" ca="1" si="25"/>
        <v/>
      </c>
      <c r="AE24" s="2690" t="str">
        <f t="shared" ca="1" si="26"/>
        <v/>
      </c>
      <c r="AF24" s="2691" t="str">
        <f t="shared" ca="1" si="27"/>
        <v/>
      </c>
      <c r="AG24" s="2686" t="str">
        <f t="shared" ca="1" si="28"/>
        <v/>
      </c>
      <c r="AH24" s="2690" t="str">
        <f t="shared" ca="1" si="29"/>
        <v/>
      </c>
      <c r="AI24" s="2686" t="str">
        <f t="shared" ca="1" si="30"/>
        <v/>
      </c>
      <c r="AJ24" s="2690" t="str">
        <f t="shared" ca="1" si="31"/>
        <v/>
      </c>
      <c r="AK24" s="2732" t="str">
        <f t="shared" si="32"/>
        <v/>
      </c>
      <c r="AL24" s="2733" t="str">
        <f t="shared" si="33"/>
        <v/>
      </c>
      <c r="AM24" s="2734" t="str">
        <f t="shared" si="32"/>
        <v/>
      </c>
      <c r="AN24" s="2691" t="str">
        <f t="shared" si="32"/>
        <v/>
      </c>
      <c r="AO24" s="2694" t="str">
        <f t="shared" si="32"/>
        <v/>
      </c>
      <c r="AP24" s="2693" t="str">
        <f t="shared" si="34"/>
        <v/>
      </c>
      <c r="AQ24" s="2736" t="str">
        <f t="shared" si="34"/>
        <v/>
      </c>
      <c r="AR24" s="2689" t="str">
        <f t="shared" si="35"/>
        <v/>
      </c>
      <c r="AS24" s="2690" t="str">
        <f t="shared" si="36"/>
        <v/>
      </c>
      <c r="AT24" s="2737" t="str">
        <f t="shared" si="37"/>
        <v/>
      </c>
      <c r="AU24" s="2738" t="str">
        <f t="shared" si="38"/>
        <v/>
      </c>
      <c r="AV24" s="2695" t="str">
        <f t="shared" si="39"/>
        <v/>
      </c>
      <c r="AW24" s="2690" t="str">
        <f t="shared" si="40"/>
        <v/>
      </c>
      <c r="AX24" s="2737" t="str">
        <f t="shared" si="41"/>
        <v/>
      </c>
      <c r="AY24" s="2738" t="str">
        <f t="shared" si="42"/>
        <v/>
      </c>
      <c r="AZ24" s="2695" t="str">
        <f t="shared" si="43"/>
        <v/>
      </c>
      <c r="BA24" s="2690" t="str">
        <f t="shared" si="44"/>
        <v/>
      </c>
      <c r="BB24" s="2737" t="str">
        <f t="shared" si="45"/>
        <v/>
      </c>
      <c r="BC24" s="2738" t="str">
        <f t="shared" si="46"/>
        <v/>
      </c>
      <c r="BD24" s="2695" t="str">
        <f t="shared" si="47"/>
        <v/>
      </c>
      <c r="BE24" s="2690" t="str">
        <f t="shared" si="48"/>
        <v/>
      </c>
      <c r="BF24" s="2737" t="str">
        <f t="shared" si="49"/>
        <v/>
      </c>
      <c r="BG24" s="2738" t="str">
        <f t="shared" si="50"/>
        <v/>
      </c>
      <c r="BH24" s="1417"/>
      <c r="BJ24" s="995" t="str">
        <f t="shared" si="93"/>
        <v/>
      </c>
      <c r="BK24" s="993" t="b">
        <f t="shared" si="51"/>
        <v>0</v>
      </c>
      <c r="BL24" s="1784" t="b">
        <v>0</v>
      </c>
      <c r="BM24" s="989">
        <f t="shared" si="52"/>
        <v>0</v>
      </c>
      <c r="BN24" s="989">
        <f t="shared" si="53"/>
        <v>0</v>
      </c>
      <c r="BO24" s="989">
        <f t="shared" si="54"/>
        <v>0</v>
      </c>
      <c r="BP24" s="989">
        <f t="shared" si="55"/>
        <v>0</v>
      </c>
      <c r="BQ24" s="989">
        <f t="shared" si="56"/>
        <v>0</v>
      </c>
      <c r="BR24" s="989" t="b">
        <f t="shared" si="57"/>
        <v>1</v>
      </c>
      <c r="BS24" s="1303">
        <f t="shared" si="58"/>
        <v>6</v>
      </c>
      <c r="BT24" s="990" t="str">
        <f t="shared" si="59"/>
        <v>No</v>
      </c>
      <c r="BU24" s="1303">
        <f t="shared" si="60"/>
        <v>6</v>
      </c>
      <c r="BV24" s="990" t="str">
        <f t="shared" si="61"/>
        <v>No</v>
      </c>
      <c r="BW24" s="991">
        <f t="shared" ca="1" si="62"/>
        <v>0</v>
      </c>
      <c r="BX24" s="991" t="str">
        <f t="shared" ca="1" si="63"/>
        <v/>
      </c>
      <c r="BY24" s="991" t="b">
        <f t="shared" ca="1" si="64"/>
        <v>0</v>
      </c>
      <c r="BZ24" s="991" t="b">
        <f t="shared" si="86"/>
        <v>0</v>
      </c>
      <c r="CB24" s="672"/>
      <c r="CC24" s="1685"/>
      <c r="CD24" s="699"/>
      <c r="CE24" s="700"/>
      <c r="CF24" s="701"/>
      <c r="CG24" s="672"/>
      <c r="CH24" s="713"/>
      <c r="CI24" s="714"/>
      <c r="CJ24" s="713"/>
      <c r="CK24" s="714"/>
      <c r="CL24" s="715"/>
      <c r="CM24" s="743"/>
      <c r="CN24" s="738"/>
      <c r="CO24" s="1552"/>
      <c r="CP24" s="910"/>
      <c r="CQ24" s="672"/>
      <c r="CR24" s="713"/>
      <c r="CS24" s="714"/>
      <c r="CT24" s="713"/>
      <c r="CU24" s="714"/>
      <c r="CV24" s="715"/>
      <c r="CW24" s="743"/>
      <c r="CX24" s="738"/>
      <c r="CY24" s="1552"/>
      <c r="CZ24" s="910"/>
      <c r="DA24" s="717"/>
      <c r="DB24" s="702"/>
      <c r="DC24" s="703"/>
      <c r="DD24" s="725"/>
      <c r="DE24" s="726"/>
      <c r="DF24" s="141"/>
      <c r="DG24" s="141"/>
      <c r="DH24" s="2660"/>
      <c r="DI24" s="2763"/>
      <c r="DJ24" s="2764"/>
      <c r="DK24" s="1332"/>
      <c r="DL24" s="2665"/>
      <c r="DM24" s="2765"/>
      <c r="DN24" s="1335"/>
      <c r="DO24" s="675"/>
      <c r="DP24" s="676"/>
      <c r="DQ24" s="2766"/>
      <c r="DR24" s="2767"/>
      <c r="DS24" s="2766"/>
      <c r="DT24" s="2768"/>
      <c r="DU24" s="2769"/>
      <c r="DV24" s="2661"/>
      <c r="DW24" s="2664"/>
      <c r="DX24" s="2761"/>
      <c r="DY24" s="674"/>
      <c r="DZ24" s="2661"/>
      <c r="EA24" s="2664"/>
      <c r="EB24" s="2761"/>
      <c r="EC24" s="674"/>
      <c r="ED24" s="678"/>
      <c r="EE24" s="1337"/>
      <c r="EF24" s="679"/>
      <c r="EG24" s="674"/>
      <c r="EH24" s="678"/>
      <c r="EI24" s="1337"/>
      <c r="EJ24" s="679"/>
      <c r="EK24" s="680"/>
      <c r="EL24" s="241"/>
      <c r="EM24" s="1632" t="str">
        <f t="shared" si="65"/>
        <v/>
      </c>
      <c r="EN24" s="1429" t="str">
        <f t="shared" si="66"/>
        <v/>
      </c>
      <c r="EO24" s="1430" t="str">
        <f t="shared" si="67"/>
        <v/>
      </c>
      <c r="EP24" s="1431" t="str">
        <f t="shared" si="68"/>
        <v/>
      </c>
      <c r="EQ24" s="1435" t="str">
        <f t="shared" si="69"/>
        <v/>
      </c>
      <c r="ER24" s="1441" t="str">
        <f t="shared" si="70"/>
        <v/>
      </c>
      <c r="ES24" s="1442" t="str">
        <f t="shared" si="71"/>
        <v/>
      </c>
      <c r="ET24" s="1443" t="str">
        <f t="shared" si="72"/>
        <v/>
      </c>
      <c r="EU24" s="1444" t="str">
        <f t="shared" si="87"/>
        <v/>
      </c>
      <c r="EX24" s="503" t="str">
        <f t="shared" ca="1" si="88"/>
        <v/>
      </c>
      <c r="EY24" s="940" t="str">
        <f t="shared" si="73"/>
        <v/>
      </c>
      <c r="EZ24" s="940" t="str">
        <f t="shared" si="89"/>
        <v/>
      </c>
      <c r="FA24" s="958" t="str">
        <f t="shared" ca="1" si="94"/>
        <v/>
      </c>
      <c r="FB24" s="134" t="str">
        <f t="shared" ca="1" si="90"/>
        <v/>
      </c>
      <c r="FC24" s="134">
        <f t="shared" ca="1" si="74"/>
        <v>0</v>
      </c>
      <c r="FD24" s="134">
        <f t="shared" ca="1" si="75"/>
        <v>0</v>
      </c>
      <c r="FE24" s="134">
        <f t="shared" ca="1" si="76"/>
        <v>0</v>
      </c>
      <c r="FF24" s="134">
        <f t="shared" ca="1" si="91"/>
        <v>666</v>
      </c>
      <c r="FN24" s="754" t="b">
        <v>0</v>
      </c>
      <c r="FO24" s="754" t="b">
        <f t="shared" si="77"/>
        <v>1</v>
      </c>
      <c r="FP24" s="754" t="b">
        <v>0</v>
      </c>
      <c r="FQ24" s="754" t="b">
        <f t="shared" si="92"/>
        <v>1</v>
      </c>
      <c r="FW24" s="2"/>
      <c r="FX24" s="2"/>
      <c r="FZ24" s="2"/>
      <c r="GA24" s="581" t="str">
        <f t="shared" si="78"/>
        <v/>
      </c>
      <c r="GB24" s="623" t="str">
        <f t="shared" si="79"/>
        <v/>
      </c>
      <c r="GC24" s="625" t="str">
        <f t="shared" si="80"/>
        <v/>
      </c>
      <c r="GD24" s="626" t="str">
        <f t="shared" si="81"/>
        <v/>
      </c>
      <c r="GE24" s="624" t="str">
        <f t="shared" si="82"/>
        <v/>
      </c>
      <c r="GF24" s="582" t="str">
        <f t="shared" si="83"/>
        <v/>
      </c>
      <c r="GG24" s="692">
        <v>0</v>
      </c>
      <c r="GH24" s="1136">
        <v>0</v>
      </c>
      <c r="GI24" s="692"/>
      <c r="GJ24" s="1136"/>
      <c r="GK24" s="1641">
        <f t="shared" si="84"/>
        <v>0</v>
      </c>
      <c r="GL24" s="1641" t="e">
        <f t="shared" si="85"/>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t="s">
        <v>1477</v>
      </c>
      <c r="IF24" s="1243" t="s">
        <v>35</v>
      </c>
      <c r="IG24" s="1244">
        <v>8</v>
      </c>
      <c r="IH24" s="1245">
        <v>0</v>
      </c>
      <c r="II24" s="1243">
        <v>5</v>
      </c>
      <c r="IJ24" s="1244">
        <v>8</v>
      </c>
      <c r="IK24" s="1245">
        <v>0</v>
      </c>
      <c r="IL24" s="1243"/>
      <c r="IM24" s="1243"/>
      <c r="IN24" s="1243">
        <v>5</v>
      </c>
      <c r="IO24" s="1243">
        <v>13</v>
      </c>
      <c r="IP24" s="1243">
        <v>4</v>
      </c>
      <c r="IQ24" s="1243">
        <v>2</v>
      </c>
      <c r="IR24" s="1243">
        <v>2</v>
      </c>
      <c r="IS24" s="1244" t="s">
        <v>1018</v>
      </c>
      <c r="IT24" s="1245" t="s">
        <v>1750</v>
      </c>
      <c r="IU24" s="1243">
        <v>0.3</v>
      </c>
      <c r="IV24" s="1243"/>
      <c r="IW24" s="1244" t="s">
        <v>1018</v>
      </c>
      <c r="IX24" s="1245" t="s">
        <v>1706</v>
      </c>
      <c r="IY24" s="1243">
        <v>0.3</v>
      </c>
      <c r="IZ24" s="1243"/>
      <c r="JA24" s="1244"/>
      <c r="JB24" s="1245"/>
      <c r="JC24" s="1243"/>
      <c r="JD24" s="1243"/>
      <c r="JE24" s="1244"/>
      <c r="JF24" s="1245"/>
      <c r="JG24" s="1243"/>
      <c r="JH24" s="1243"/>
      <c r="JI24" s="1243"/>
      <c r="JJ24" s="1246"/>
      <c r="JK24" s="1243">
        <v>1</v>
      </c>
      <c r="JL24" s="1172">
        <f t="shared" ca="1" si="95"/>
        <v>1</v>
      </c>
    </row>
    <row r="25" spans="1:272" ht="12.6" customHeight="1" x14ac:dyDescent="0.25">
      <c r="A25" s="2683" t="str">
        <f t="shared" si="0"/>
        <v>G82</v>
      </c>
      <c r="B25" s="2684">
        <f t="shared" si="0"/>
        <v>1</v>
      </c>
      <c r="C25" s="2685" t="s">
        <v>1731</v>
      </c>
      <c r="D25" s="2686">
        <f t="shared" si="1"/>
        <v>55</v>
      </c>
      <c r="E25" s="2687">
        <f t="shared" si="2"/>
        <v>11.5</v>
      </c>
      <c r="F25" s="2688">
        <f t="shared" si="3"/>
        <v>11.125</v>
      </c>
      <c r="G25" s="2689">
        <f t="shared" si="4"/>
        <v>0</v>
      </c>
      <c r="H25" s="2690">
        <f t="shared" si="5"/>
        <v>2.75</v>
      </c>
      <c r="I25" s="2691" t="str">
        <f t="shared" si="6"/>
        <v>R</v>
      </c>
      <c r="J25" s="2686">
        <f t="shared" si="7"/>
        <v>0</v>
      </c>
      <c r="K25" s="2690">
        <f t="shared" si="8"/>
        <v>2.75</v>
      </c>
      <c r="L25" s="2692" t="str">
        <f t="shared" si="9"/>
        <v>R</v>
      </c>
      <c r="M25" s="2693">
        <f t="shared" si="10"/>
        <v>7.5</v>
      </c>
      <c r="N25" s="2694">
        <f t="shared" si="10"/>
        <v>7.5</v>
      </c>
      <c r="O25" s="2689">
        <f t="shared" si="11"/>
        <v>0</v>
      </c>
      <c r="P25" s="2690">
        <f t="shared" si="12"/>
        <v>7.75</v>
      </c>
      <c r="Q25" s="2686">
        <f t="shared" si="13"/>
        <v>0</v>
      </c>
      <c r="R25" s="2687">
        <f t="shared" si="14"/>
        <v>7.75</v>
      </c>
      <c r="S25" s="2695">
        <f t="shared" si="15"/>
        <v>0</v>
      </c>
      <c r="T25" s="2690">
        <f t="shared" si="16"/>
        <v>7.25</v>
      </c>
      <c r="U25" s="2686">
        <f t="shared" si="17"/>
        <v>0</v>
      </c>
      <c r="V25" s="2690">
        <f t="shared" si="18"/>
        <v>7.25</v>
      </c>
      <c r="W25" s="2694">
        <f t="shared" si="19"/>
        <v>5</v>
      </c>
      <c r="X25" s="2696" t="str">
        <f t="shared" si="20"/>
        <v/>
      </c>
      <c r="Y25" s="2697" t="str">
        <f t="shared" si="21"/>
        <v/>
      </c>
      <c r="Z25" s="2698" t="s">
        <v>1944</v>
      </c>
      <c r="AA25" s="2758" t="str">
        <f t="shared" si="22"/>
        <v/>
      </c>
      <c r="AB25" s="2683" t="str">
        <f t="shared" si="23"/>
        <v>G82</v>
      </c>
      <c r="AC25" s="2691" t="str">
        <f t="shared" si="24"/>
        <v>B</v>
      </c>
      <c r="AD25" s="2686">
        <f t="shared" ca="1" si="25"/>
        <v>7</v>
      </c>
      <c r="AE25" s="2690">
        <f t="shared" ca="1" si="26"/>
        <v>9</v>
      </c>
      <c r="AF25" s="2691">
        <f t="shared" ca="1" si="27"/>
        <v>5</v>
      </c>
      <c r="AG25" s="2686">
        <f t="shared" ca="1" si="28"/>
        <v>8</v>
      </c>
      <c r="AH25" s="2690">
        <f t="shared" ca="1" si="29"/>
        <v>0</v>
      </c>
      <c r="AI25" s="2686">
        <f t="shared" ca="1" si="30"/>
        <v>7</v>
      </c>
      <c r="AJ25" s="2690">
        <f t="shared" ca="1" si="31"/>
        <v>9</v>
      </c>
      <c r="AK25" s="2732" t="str">
        <f t="shared" si="32"/>
        <v/>
      </c>
      <c r="AL25" s="2733" t="str">
        <f t="shared" si="33"/>
        <v/>
      </c>
      <c r="AM25" s="2734">
        <f t="shared" si="32"/>
        <v>5</v>
      </c>
      <c r="AN25" s="2691">
        <f t="shared" si="32"/>
        <v>13</v>
      </c>
      <c r="AO25" s="2694">
        <f t="shared" si="32"/>
        <v>4</v>
      </c>
      <c r="AP25" s="2693">
        <f t="shared" si="34"/>
        <v>1.75</v>
      </c>
      <c r="AQ25" s="2736">
        <f t="shared" si="34"/>
        <v>1.75</v>
      </c>
      <c r="AR25" s="2689">
        <f t="shared" si="35"/>
        <v>1</v>
      </c>
      <c r="AS25" s="2690">
        <f t="shared" si="36"/>
        <v>0</v>
      </c>
      <c r="AT25" s="2737" t="str">
        <f t="shared" si="37"/>
        <v/>
      </c>
      <c r="AU25" s="2738" t="str">
        <f t="shared" si="38"/>
        <v>B</v>
      </c>
      <c r="AV25" s="2695">
        <f t="shared" si="39"/>
        <v>55</v>
      </c>
      <c r="AW25" s="2690">
        <f t="shared" si="40"/>
        <v>0</v>
      </c>
      <c r="AX25" s="2737" t="str">
        <f t="shared" si="41"/>
        <v/>
      </c>
      <c r="AY25" s="2738" t="str">
        <f t="shared" si="42"/>
        <v>B</v>
      </c>
      <c r="AZ25" s="2695" t="str">
        <f t="shared" si="43"/>
        <v/>
      </c>
      <c r="BA25" s="2690" t="str">
        <f t="shared" si="44"/>
        <v/>
      </c>
      <c r="BB25" s="2737" t="str">
        <f t="shared" si="45"/>
        <v/>
      </c>
      <c r="BC25" s="2738" t="str">
        <f t="shared" si="46"/>
        <v/>
      </c>
      <c r="BD25" s="2695" t="str">
        <f t="shared" si="47"/>
        <v/>
      </c>
      <c r="BE25" s="2690" t="str">
        <f t="shared" si="48"/>
        <v/>
      </c>
      <c r="BF25" s="2737" t="str">
        <f t="shared" si="49"/>
        <v/>
      </c>
      <c r="BG25" s="2738" t="str">
        <f t="shared" si="50"/>
        <v/>
      </c>
      <c r="BH25" s="1417"/>
      <c r="BJ25" s="995" t="str">
        <f t="shared" si="93"/>
        <v>G82</v>
      </c>
      <c r="BK25" s="993" t="b">
        <f t="shared" si="51"/>
        <v>0</v>
      </c>
      <c r="BL25" s="1784" t="b">
        <v>0</v>
      </c>
      <c r="BM25" s="989">
        <f t="shared" si="52"/>
        <v>52</v>
      </c>
      <c r="BN25" s="989" t="str">
        <f t="shared" si="53"/>
        <v>G</v>
      </c>
      <c r="BO25" s="989">
        <f t="shared" si="54"/>
        <v>7</v>
      </c>
      <c r="BP25" s="989" t="str">
        <f t="shared" si="55"/>
        <v>13/6</v>
      </c>
      <c r="BQ25" s="989">
        <f t="shared" si="56"/>
        <v>2.4</v>
      </c>
      <c r="BR25" s="989" t="b">
        <f t="shared" si="57"/>
        <v>1</v>
      </c>
      <c r="BS25" s="1303">
        <f t="shared" si="58"/>
        <v>8.75</v>
      </c>
      <c r="BT25" s="990" t="str">
        <f t="shared" si="59"/>
        <v>Yes</v>
      </c>
      <c r="BU25" s="1303">
        <f t="shared" si="60"/>
        <v>8.75</v>
      </c>
      <c r="BV25" s="990" t="str">
        <f t="shared" si="61"/>
        <v>Yes</v>
      </c>
      <c r="BW25" s="991">
        <f t="shared" ca="1" si="62"/>
        <v>20</v>
      </c>
      <c r="BX25" s="991" t="str">
        <f t="shared" ca="1" si="63"/>
        <v>G82</v>
      </c>
      <c r="BY25" s="991" t="b">
        <f t="shared" ca="1" si="64"/>
        <v>0</v>
      </c>
      <c r="BZ25" s="991" t="b">
        <f t="shared" si="86"/>
        <v>0</v>
      </c>
      <c r="CB25" s="672" t="s">
        <v>1478</v>
      </c>
      <c r="CC25" s="1685">
        <v>1</v>
      </c>
      <c r="CD25" s="699" t="s">
        <v>1731</v>
      </c>
      <c r="CE25" s="700">
        <v>56</v>
      </c>
      <c r="CF25" s="701">
        <v>0</v>
      </c>
      <c r="CG25" s="672">
        <v>7</v>
      </c>
      <c r="CH25" s="713"/>
      <c r="CI25" s="714"/>
      <c r="CJ25" s="713"/>
      <c r="CK25" s="714"/>
      <c r="CL25" s="715"/>
      <c r="CM25" s="743"/>
      <c r="CN25" s="738"/>
      <c r="CO25" s="1552"/>
      <c r="CP25" s="910"/>
      <c r="CQ25" s="672">
        <v>7</v>
      </c>
      <c r="CR25" s="713"/>
      <c r="CS25" s="714"/>
      <c r="CT25" s="713"/>
      <c r="CU25" s="714"/>
      <c r="CV25" s="715"/>
      <c r="CW25" s="743"/>
      <c r="CX25" s="738"/>
      <c r="CY25" s="1552"/>
      <c r="CZ25" s="910"/>
      <c r="DA25" s="717"/>
      <c r="DB25" s="702" t="s">
        <v>1756</v>
      </c>
      <c r="DC25" s="703" t="s">
        <v>34</v>
      </c>
      <c r="DD25" s="725"/>
      <c r="DE25" s="726">
        <v>11.125</v>
      </c>
      <c r="DF25" s="141"/>
      <c r="DG25" s="141"/>
      <c r="DH25" s="672" t="s">
        <v>1478</v>
      </c>
      <c r="DI25" s="673" t="s">
        <v>35</v>
      </c>
      <c r="DJ25" s="692">
        <v>8</v>
      </c>
      <c r="DK25" s="1332">
        <v>0</v>
      </c>
      <c r="DL25" s="674">
        <v>5</v>
      </c>
      <c r="DM25" s="693">
        <v>8</v>
      </c>
      <c r="DN25" s="1335">
        <v>0</v>
      </c>
      <c r="DO25" s="675"/>
      <c r="DP25" s="676"/>
      <c r="DQ25" s="1420">
        <v>5</v>
      </c>
      <c r="DR25" s="677">
        <v>13</v>
      </c>
      <c r="DS25" s="1420">
        <v>4</v>
      </c>
      <c r="DT25" s="1422">
        <v>2</v>
      </c>
      <c r="DU25" s="1423">
        <v>2</v>
      </c>
      <c r="DV25" s="2661">
        <v>1</v>
      </c>
      <c r="DW25" s="2664">
        <v>0.25</v>
      </c>
      <c r="DX25" s="2761"/>
      <c r="DY25" s="2665" t="s">
        <v>35</v>
      </c>
      <c r="DZ25" s="2661">
        <v>55</v>
      </c>
      <c r="EA25" s="2664">
        <v>0.25</v>
      </c>
      <c r="EB25" s="2761"/>
      <c r="EC25" s="2665" t="s">
        <v>35</v>
      </c>
      <c r="ED25" s="678"/>
      <c r="EE25" s="1337"/>
      <c r="EF25" s="679"/>
      <c r="EG25" s="674"/>
      <c r="EH25" s="678"/>
      <c r="EI25" s="1337"/>
      <c r="EJ25" s="679"/>
      <c r="EK25" s="680"/>
      <c r="EL25" s="241"/>
      <c r="EM25" s="1632" t="str">
        <f t="shared" si="65"/>
        <v>G82</v>
      </c>
      <c r="EN25" s="1429" t="str">
        <f t="shared" si="66"/>
        <v/>
      </c>
      <c r="EO25" s="1430" t="str">
        <f t="shared" si="67"/>
        <v/>
      </c>
      <c r="EP25" s="1431" t="str">
        <f t="shared" si="68"/>
        <v/>
      </c>
      <c r="EQ25" s="1435" t="str">
        <f t="shared" si="69"/>
        <v/>
      </c>
      <c r="ER25" s="1441" t="str">
        <f t="shared" si="70"/>
        <v/>
      </c>
      <c r="ES25" s="1442" t="str">
        <f t="shared" si="71"/>
        <v/>
      </c>
      <c r="ET25" s="1443" t="str">
        <f t="shared" si="72"/>
        <v/>
      </c>
      <c r="EU25" s="1444" t="str">
        <f t="shared" si="87"/>
        <v/>
      </c>
      <c r="EX25" s="503" t="str">
        <f t="shared" ca="1" si="88"/>
        <v>G82B</v>
      </c>
      <c r="EY25" s="940" t="b">
        <f t="shared" ca="1" si="73"/>
        <v>1</v>
      </c>
      <c r="EZ25" s="940">
        <f t="shared" ca="1" si="89"/>
        <v>5</v>
      </c>
      <c r="FA25" s="958" t="b">
        <f t="shared" ca="1" si="94"/>
        <v>1</v>
      </c>
      <c r="FB25" s="134">
        <f t="shared" ca="1" si="90"/>
        <v>666</v>
      </c>
      <c r="FC25" s="134">
        <f t="shared" ca="1" si="74"/>
        <v>93</v>
      </c>
      <c r="FD25" s="134">
        <f t="shared" ca="1" si="75"/>
        <v>480</v>
      </c>
      <c r="FE25" s="134">
        <f t="shared" ca="1" si="76"/>
        <v>93</v>
      </c>
      <c r="FF25" s="134">
        <f t="shared" ca="1" si="91"/>
        <v>666</v>
      </c>
      <c r="FN25" s="754" t="b">
        <v>0</v>
      </c>
      <c r="FO25" s="754" t="b">
        <f t="shared" si="77"/>
        <v>1</v>
      </c>
      <c r="FP25" s="754" t="b">
        <v>0</v>
      </c>
      <c r="FQ25" s="754" t="b">
        <f t="shared" si="92"/>
        <v>1</v>
      </c>
      <c r="FW25" s="2"/>
      <c r="FX25" s="2"/>
      <c r="FZ25" s="2"/>
      <c r="GA25" s="581">
        <f t="shared" si="78"/>
        <v>56</v>
      </c>
      <c r="GB25" s="623">
        <f t="shared" si="79"/>
        <v>0</v>
      </c>
      <c r="GC25" s="625">
        <f t="shared" si="80"/>
        <v>-0.25</v>
      </c>
      <c r="GD25" s="626">
        <f t="shared" si="81"/>
        <v>-0.25</v>
      </c>
      <c r="GE25" s="624">
        <f t="shared" si="82"/>
        <v>0</v>
      </c>
      <c r="GF25" s="582" t="str">
        <f t="shared" si="83"/>
        <v>G82</v>
      </c>
      <c r="GG25" s="692">
        <v>0</v>
      </c>
      <c r="GH25" s="1136">
        <v>0</v>
      </c>
      <c r="GI25" s="692"/>
      <c r="GJ25" s="1136"/>
      <c r="GK25" s="1641">
        <f t="shared" si="84"/>
        <v>671.5</v>
      </c>
      <c r="GL25" s="1641">
        <f t="shared" si="85"/>
        <v>671.5</v>
      </c>
      <c r="GM25" s="1642">
        <f>IF(ABS(GK25-GL25)&gt;='Job Info.'!$L$22,ABS(GK25-GL25),0)</f>
        <v>0</v>
      </c>
      <c r="HA25" s="1242" t="s">
        <v>1478</v>
      </c>
      <c r="HB25" s="1243">
        <v>1</v>
      </c>
      <c r="HC25" s="1243" t="s">
        <v>1731</v>
      </c>
      <c r="HD25" s="1244">
        <v>56</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t="s">
        <v>1756</v>
      </c>
      <c r="IB25" s="1247" t="s">
        <v>34</v>
      </c>
      <c r="IC25" s="1247"/>
      <c r="ID25" s="1262">
        <v>11.125</v>
      </c>
      <c r="IE25" s="1242" t="s">
        <v>1478</v>
      </c>
      <c r="IF25" s="1243" t="s">
        <v>35</v>
      </c>
      <c r="IG25" s="1244">
        <v>8</v>
      </c>
      <c r="IH25" s="1245">
        <v>0</v>
      </c>
      <c r="II25" s="1243">
        <v>5</v>
      </c>
      <c r="IJ25" s="1244">
        <v>8</v>
      </c>
      <c r="IK25" s="1245">
        <v>0</v>
      </c>
      <c r="IL25" s="1243"/>
      <c r="IM25" s="1243"/>
      <c r="IN25" s="1243">
        <v>5</v>
      </c>
      <c r="IO25" s="1243">
        <v>13</v>
      </c>
      <c r="IP25" s="1243">
        <v>4</v>
      </c>
      <c r="IQ25" s="1243">
        <v>2</v>
      </c>
      <c r="IR25" s="1243">
        <v>2</v>
      </c>
      <c r="IS25" s="1244" t="s">
        <v>1018</v>
      </c>
      <c r="IT25" s="1245" t="s">
        <v>1705</v>
      </c>
      <c r="IU25" s="1243">
        <v>0.3</v>
      </c>
      <c r="IV25" s="1243"/>
      <c r="IW25" s="1244" t="s">
        <v>1018</v>
      </c>
      <c r="IX25" s="1245" t="s">
        <v>1752</v>
      </c>
      <c r="IY25" s="1243">
        <v>0.3</v>
      </c>
      <c r="IZ25" s="1243"/>
      <c r="JA25" s="1244"/>
      <c r="JB25" s="1245"/>
      <c r="JC25" s="1243"/>
      <c r="JD25" s="1243"/>
      <c r="JE25" s="1244"/>
      <c r="JF25" s="1245"/>
      <c r="JG25" s="1243"/>
      <c r="JH25" s="1243"/>
      <c r="JI25" s="1243"/>
      <c r="JJ25" s="1246"/>
      <c r="JK25" s="1243">
        <v>1</v>
      </c>
      <c r="JL25" s="1172">
        <f t="shared" ca="1" si="95"/>
        <v>1</v>
      </c>
    </row>
    <row r="26" spans="1:272" ht="12.6" customHeight="1" x14ac:dyDescent="0.25">
      <c r="A26" s="2683" t="str">
        <f t="shared" si="0"/>
        <v>G83</v>
      </c>
      <c r="B26" s="2684">
        <f t="shared" si="0"/>
        <v>1</v>
      </c>
      <c r="C26" s="2685" t="s">
        <v>1731</v>
      </c>
      <c r="D26" s="2686">
        <f t="shared" si="1"/>
        <v>55</v>
      </c>
      <c r="E26" s="2687">
        <f t="shared" si="2"/>
        <v>5.25</v>
      </c>
      <c r="F26" s="2688">
        <f t="shared" si="3"/>
        <v>11.125</v>
      </c>
      <c r="G26" s="2689">
        <f t="shared" si="4"/>
        <v>0</v>
      </c>
      <c r="H26" s="2690">
        <f t="shared" si="5"/>
        <v>2.75</v>
      </c>
      <c r="I26" s="2691" t="str">
        <f t="shared" si="6"/>
        <v>R</v>
      </c>
      <c r="J26" s="2686" t="str">
        <f t="shared" si="7"/>
        <v/>
      </c>
      <c r="K26" s="2690" t="str">
        <f t="shared" si="8"/>
        <v/>
      </c>
      <c r="L26" s="2692" t="str">
        <f t="shared" si="9"/>
        <v/>
      </c>
      <c r="M26" s="2693">
        <f t="shared" si="10"/>
        <v>7.5</v>
      </c>
      <c r="N26" s="2694">
        <f t="shared" si="10"/>
        <v>7.5</v>
      </c>
      <c r="O26" s="2689">
        <f t="shared" si="11"/>
        <v>0</v>
      </c>
      <c r="P26" s="2690">
        <f t="shared" si="12"/>
        <v>7.75</v>
      </c>
      <c r="Q26" s="2686">
        <f t="shared" si="13"/>
        <v>0</v>
      </c>
      <c r="R26" s="2687">
        <f t="shared" si="14"/>
        <v>1.5</v>
      </c>
      <c r="S26" s="2695">
        <f t="shared" si="15"/>
        <v>0</v>
      </c>
      <c r="T26" s="2690">
        <f t="shared" si="16"/>
        <v>7.25</v>
      </c>
      <c r="U26" s="2686">
        <f t="shared" si="17"/>
        <v>0</v>
      </c>
      <c r="V26" s="2690">
        <f t="shared" si="18"/>
        <v>3</v>
      </c>
      <c r="W26" s="2694">
        <f t="shared" si="19"/>
        <v>5</v>
      </c>
      <c r="X26" s="2696" t="str">
        <f t="shared" si="20"/>
        <v/>
      </c>
      <c r="Y26" s="2697" t="str">
        <f t="shared" si="21"/>
        <v/>
      </c>
      <c r="Z26" s="2698" t="s">
        <v>1945</v>
      </c>
      <c r="AA26" s="2758" t="str">
        <f t="shared" si="22"/>
        <v/>
      </c>
      <c r="AB26" s="2683" t="str">
        <f t="shared" si="23"/>
        <v>G83</v>
      </c>
      <c r="AC26" s="2691" t="str">
        <f t="shared" si="24"/>
        <v>B</v>
      </c>
      <c r="AD26" s="2686">
        <f t="shared" ca="1" si="25"/>
        <v>7</v>
      </c>
      <c r="AE26" s="2690">
        <f t="shared" ca="1" si="26"/>
        <v>9</v>
      </c>
      <c r="AF26" s="2691">
        <f t="shared" ca="1" si="27"/>
        <v>5</v>
      </c>
      <c r="AG26" s="2686">
        <f t="shared" ca="1" si="28"/>
        <v>8</v>
      </c>
      <c r="AH26" s="2690">
        <f t="shared" ca="1" si="29"/>
        <v>0</v>
      </c>
      <c r="AI26" s="2686">
        <f t="shared" ca="1" si="30"/>
        <v>7</v>
      </c>
      <c r="AJ26" s="2690">
        <f t="shared" ca="1" si="31"/>
        <v>5.5</v>
      </c>
      <c r="AK26" s="2732" t="str">
        <f t="shared" si="32"/>
        <v/>
      </c>
      <c r="AL26" s="2733" t="str">
        <f t="shared" si="33"/>
        <v/>
      </c>
      <c r="AM26" s="2734">
        <f t="shared" si="32"/>
        <v>5</v>
      </c>
      <c r="AN26" s="2691">
        <f t="shared" si="32"/>
        <v>13</v>
      </c>
      <c r="AO26" s="2694">
        <f t="shared" si="32"/>
        <v>4</v>
      </c>
      <c r="AP26" s="2693">
        <f t="shared" si="34"/>
        <v>1.75</v>
      </c>
      <c r="AQ26" s="2736" t="str">
        <f t="shared" si="34"/>
        <v/>
      </c>
      <c r="AR26" s="2689">
        <f t="shared" si="35"/>
        <v>1</v>
      </c>
      <c r="AS26" s="2690">
        <f t="shared" si="36"/>
        <v>0</v>
      </c>
      <c r="AT26" s="2737" t="str">
        <f t="shared" si="37"/>
        <v/>
      </c>
      <c r="AU26" s="2738" t="str">
        <f t="shared" si="38"/>
        <v>B</v>
      </c>
      <c r="AV26" s="2695" t="str">
        <f t="shared" si="39"/>
        <v/>
      </c>
      <c r="AW26" s="2690" t="str">
        <f t="shared" si="40"/>
        <v/>
      </c>
      <c r="AX26" s="2737" t="str">
        <f t="shared" si="41"/>
        <v/>
      </c>
      <c r="AY26" s="2738" t="str">
        <f t="shared" si="42"/>
        <v/>
      </c>
      <c r="AZ26" s="2695" t="str">
        <f t="shared" si="43"/>
        <v/>
      </c>
      <c r="BA26" s="2690" t="str">
        <f t="shared" si="44"/>
        <v/>
      </c>
      <c r="BB26" s="2737" t="str">
        <f t="shared" si="45"/>
        <v/>
      </c>
      <c r="BC26" s="2738" t="str">
        <f t="shared" si="46"/>
        <v/>
      </c>
      <c r="BD26" s="2695" t="str">
        <f t="shared" si="47"/>
        <v/>
      </c>
      <c r="BE26" s="2690" t="str">
        <f t="shared" si="48"/>
        <v/>
      </c>
      <c r="BF26" s="2737" t="str">
        <f t="shared" si="49"/>
        <v/>
      </c>
      <c r="BG26" s="2738" t="str">
        <f t="shared" si="50"/>
        <v/>
      </c>
      <c r="BH26" s="1417"/>
      <c r="BJ26" s="995" t="str">
        <f t="shared" si="93"/>
        <v>G83</v>
      </c>
      <c r="BK26" s="993" t="b">
        <f t="shared" si="51"/>
        <v>0</v>
      </c>
      <c r="BL26" s="1784" t="b">
        <v>0</v>
      </c>
      <c r="BM26" s="989">
        <f t="shared" si="52"/>
        <v>52</v>
      </c>
      <c r="BN26" s="989" t="str">
        <f t="shared" si="53"/>
        <v>G</v>
      </c>
      <c r="BO26" s="989">
        <f t="shared" si="54"/>
        <v>7</v>
      </c>
      <c r="BP26" s="989" t="str">
        <f t="shared" si="55"/>
        <v>13/6</v>
      </c>
      <c r="BQ26" s="989">
        <f t="shared" si="56"/>
        <v>2.4</v>
      </c>
      <c r="BR26" s="989" t="b">
        <f t="shared" si="57"/>
        <v>1</v>
      </c>
      <c r="BS26" s="1303">
        <f t="shared" si="58"/>
        <v>8.75</v>
      </c>
      <c r="BT26" s="990" t="str">
        <f t="shared" si="59"/>
        <v>Yes</v>
      </c>
      <c r="BU26" s="1303">
        <f t="shared" si="60"/>
        <v>6</v>
      </c>
      <c r="BV26" s="990" t="str">
        <f t="shared" si="61"/>
        <v>Yes</v>
      </c>
      <c r="BW26" s="991">
        <f t="shared" ca="1" si="62"/>
        <v>16</v>
      </c>
      <c r="BX26" s="991" t="str">
        <f t="shared" ca="1" si="63"/>
        <v>G83</v>
      </c>
      <c r="BY26" s="991" t="b">
        <f t="shared" ca="1" si="64"/>
        <v>0</v>
      </c>
      <c r="BZ26" s="991" t="b">
        <f t="shared" si="86"/>
        <v>0</v>
      </c>
      <c r="CB26" s="672" t="s">
        <v>1479</v>
      </c>
      <c r="CC26" s="1685">
        <v>1</v>
      </c>
      <c r="CD26" s="699" t="s">
        <v>1731</v>
      </c>
      <c r="CE26" s="700">
        <v>56</v>
      </c>
      <c r="CF26" s="701">
        <v>0</v>
      </c>
      <c r="CG26" s="672">
        <v>7</v>
      </c>
      <c r="CH26" s="713"/>
      <c r="CI26" s="714"/>
      <c r="CJ26" s="713"/>
      <c r="CK26" s="714"/>
      <c r="CL26" s="715"/>
      <c r="CM26" s="743"/>
      <c r="CN26" s="738"/>
      <c r="CO26" s="1552"/>
      <c r="CP26" s="910"/>
      <c r="CQ26" s="672">
        <v>18</v>
      </c>
      <c r="CR26" s="713"/>
      <c r="CS26" s="714"/>
      <c r="CT26" s="713"/>
      <c r="CU26" s="714"/>
      <c r="CV26" s="715"/>
      <c r="CW26" s="743"/>
      <c r="CX26" s="738"/>
      <c r="CY26" s="1552"/>
      <c r="CZ26" s="910"/>
      <c r="DA26" s="717"/>
      <c r="DB26" s="702" t="s">
        <v>1732</v>
      </c>
      <c r="DC26" s="703" t="s">
        <v>158</v>
      </c>
      <c r="DD26" s="725"/>
      <c r="DE26" s="726">
        <v>11.125</v>
      </c>
      <c r="DF26" s="141"/>
      <c r="DG26" s="141"/>
      <c r="DH26" s="672" t="s">
        <v>1479</v>
      </c>
      <c r="DI26" s="673" t="s">
        <v>35</v>
      </c>
      <c r="DJ26" s="692">
        <v>8</v>
      </c>
      <c r="DK26" s="1332">
        <v>0</v>
      </c>
      <c r="DL26" s="674">
        <v>5</v>
      </c>
      <c r="DM26" s="693">
        <v>8</v>
      </c>
      <c r="DN26" s="1335">
        <v>0</v>
      </c>
      <c r="DO26" s="675"/>
      <c r="DP26" s="676"/>
      <c r="DQ26" s="1420">
        <v>5</v>
      </c>
      <c r="DR26" s="677">
        <v>13</v>
      </c>
      <c r="DS26" s="1420">
        <v>4</v>
      </c>
      <c r="DT26" s="1422">
        <v>2</v>
      </c>
      <c r="DU26" s="1423"/>
      <c r="DV26" s="2661">
        <v>1</v>
      </c>
      <c r="DW26" s="2664">
        <v>0.25</v>
      </c>
      <c r="DX26" s="679"/>
      <c r="DY26" s="2665" t="s">
        <v>35</v>
      </c>
      <c r="DZ26" s="678"/>
      <c r="EA26" s="1337"/>
      <c r="EB26" s="679"/>
      <c r="EC26" s="674"/>
      <c r="ED26" s="678"/>
      <c r="EE26" s="1337"/>
      <c r="EF26" s="679"/>
      <c r="EG26" s="674"/>
      <c r="EH26" s="678"/>
      <c r="EI26" s="1337"/>
      <c r="EJ26" s="679"/>
      <c r="EK26" s="680"/>
      <c r="EL26" s="241"/>
      <c r="EM26" s="1632" t="str">
        <f t="shared" si="65"/>
        <v>G83</v>
      </c>
      <c r="EN26" s="1429" t="str">
        <f t="shared" si="66"/>
        <v/>
      </c>
      <c r="EO26" s="1430" t="str">
        <f t="shared" si="67"/>
        <v/>
      </c>
      <c r="EP26" s="1431" t="str">
        <f t="shared" si="68"/>
        <v/>
      </c>
      <c r="EQ26" s="1435" t="str">
        <f t="shared" si="69"/>
        <v/>
      </c>
      <c r="ER26" s="1441" t="str">
        <f t="shared" si="70"/>
        <v/>
      </c>
      <c r="ES26" s="1442" t="str">
        <f t="shared" si="71"/>
        <v/>
      </c>
      <c r="ET26" s="1443" t="str">
        <f t="shared" si="72"/>
        <v/>
      </c>
      <c r="EU26" s="1444" t="str">
        <f t="shared" si="87"/>
        <v/>
      </c>
      <c r="EX26" s="503" t="str">
        <f t="shared" ca="1" si="88"/>
        <v>G83B</v>
      </c>
      <c r="EY26" s="940" t="b">
        <f t="shared" ca="1" si="73"/>
        <v>1</v>
      </c>
      <c r="EZ26" s="940">
        <f t="shared" ca="1" si="89"/>
        <v>5</v>
      </c>
      <c r="FA26" s="958" t="b">
        <f t="shared" ca="1" si="94"/>
        <v>1</v>
      </c>
      <c r="FB26" s="134">
        <f t="shared" ca="1" si="90"/>
        <v>662.5</v>
      </c>
      <c r="FC26" s="134">
        <f t="shared" ca="1" si="74"/>
        <v>93</v>
      </c>
      <c r="FD26" s="134">
        <f t="shared" ca="1" si="75"/>
        <v>480</v>
      </c>
      <c r="FE26" s="134">
        <f t="shared" ca="1" si="76"/>
        <v>89.5</v>
      </c>
      <c r="FF26" s="134">
        <f t="shared" ca="1" si="91"/>
        <v>662.5</v>
      </c>
      <c r="FN26" s="754" t="b">
        <v>0</v>
      </c>
      <c r="FO26" s="754" t="b">
        <f t="shared" si="77"/>
        <v>1</v>
      </c>
      <c r="FP26" s="754" t="b">
        <v>0</v>
      </c>
      <c r="FQ26" s="754" t="b">
        <f t="shared" si="92"/>
        <v>1</v>
      </c>
      <c r="FW26" s="2"/>
      <c r="FX26" s="2"/>
      <c r="FZ26" s="2"/>
      <c r="GA26" s="581">
        <f t="shared" si="78"/>
        <v>56</v>
      </c>
      <c r="GB26" s="623">
        <f t="shared" si="79"/>
        <v>0</v>
      </c>
      <c r="GC26" s="625">
        <f t="shared" si="80"/>
        <v>-0.25</v>
      </c>
      <c r="GD26" s="626">
        <f t="shared" si="81"/>
        <v>-6.5</v>
      </c>
      <c r="GE26" s="624">
        <f t="shared" si="82"/>
        <v>0</v>
      </c>
      <c r="GF26" s="582" t="str">
        <f t="shared" si="83"/>
        <v>G83</v>
      </c>
      <c r="GG26" s="692">
        <v>0</v>
      </c>
      <c r="GH26" s="1136">
        <v>0</v>
      </c>
      <c r="GI26" s="692"/>
      <c r="GJ26" s="1136"/>
      <c r="GK26" s="1641">
        <f t="shared" si="84"/>
        <v>665.25</v>
      </c>
      <c r="GL26" s="1641">
        <f t="shared" si="85"/>
        <v>665.25</v>
      </c>
      <c r="GM26" s="1642">
        <f>IF(ABS(GK26-GL26)&gt;='Job Info.'!$L$22,ABS(GK26-GL26),0)</f>
        <v>0</v>
      </c>
      <c r="GZ26" s="145"/>
      <c r="HA26" s="1242" t="s">
        <v>1479</v>
      </c>
      <c r="HB26" s="1243">
        <v>1</v>
      </c>
      <c r="HC26" s="1243" t="s">
        <v>1731</v>
      </c>
      <c r="HD26" s="1244">
        <v>56</v>
      </c>
      <c r="HE26" s="1245">
        <v>0</v>
      </c>
      <c r="HF26" s="1243">
        <v>7</v>
      </c>
      <c r="HG26" s="1243"/>
      <c r="HH26" s="1243"/>
      <c r="HI26" s="1243"/>
      <c r="HJ26" s="1243"/>
      <c r="HK26" s="1243"/>
      <c r="HL26" s="1243"/>
      <c r="HM26" s="1243"/>
      <c r="HN26" s="1243"/>
      <c r="HO26" s="1243"/>
      <c r="HP26" s="1243">
        <v>18</v>
      </c>
      <c r="HQ26" s="1243"/>
      <c r="HR26" s="1243"/>
      <c r="HS26" s="1243"/>
      <c r="HT26" s="1243"/>
      <c r="HU26" s="1243"/>
      <c r="HV26" s="1243"/>
      <c r="HW26" s="1243"/>
      <c r="HX26" s="1243"/>
      <c r="HY26" s="1247"/>
      <c r="HZ26" s="1247"/>
      <c r="IA26" s="1247" t="s">
        <v>1732</v>
      </c>
      <c r="IB26" s="1247" t="s">
        <v>158</v>
      </c>
      <c r="IC26" s="1247"/>
      <c r="ID26" s="1262">
        <v>11.125</v>
      </c>
      <c r="IE26" s="1242" t="s">
        <v>1479</v>
      </c>
      <c r="IF26" s="1243" t="s">
        <v>35</v>
      </c>
      <c r="IG26" s="1244">
        <v>8</v>
      </c>
      <c r="IH26" s="1245">
        <v>0</v>
      </c>
      <c r="II26" s="1243">
        <v>5</v>
      </c>
      <c r="IJ26" s="1244">
        <v>8</v>
      </c>
      <c r="IK26" s="1245">
        <v>0</v>
      </c>
      <c r="IL26" s="1243"/>
      <c r="IM26" s="1243"/>
      <c r="IN26" s="1243">
        <v>5</v>
      </c>
      <c r="IO26" s="1243">
        <v>13</v>
      </c>
      <c r="IP26" s="1243">
        <v>4</v>
      </c>
      <c r="IQ26" s="1243">
        <v>2</v>
      </c>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v>1</v>
      </c>
      <c r="JL26" s="1172">
        <f t="shared" ca="1" si="95"/>
        <v>1</v>
      </c>
    </row>
    <row r="27" spans="1:272" ht="12.6" customHeight="1" x14ac:dyDescent="0.25">
      <c r="A27" s="2683" t="str">
        <f t="shared" si="0"/>
        <v>G84</v>
      </c>
      <c r="B27" s="2684">
        <f t="shared" si="0"/>
        <v>1</v>
      </c>
      <c r="C27" s="2685" t="s">
        <v>1731</v>
      </c>
      <c r="D27" s="2686">
        <f t="shared" si="1"/>
        <v>55</v>
      </c>
      <c r="E27" s="2687">
        <f t="shared" si="2"/>
        <v>11.5</v>
      </c>
      <c r="F27" s="2688">
        <f t="shared" si="3"/>
        <v>11.125</v>
      </c>
      <c r="G27" s="2689">
        <f t="shared" si="4"/>
        <v>0</v>
      </c>
      <c r="H27" s="2690">
        <f t="shared" si="5"/>
        <v>2.75</v>
      </c>
      <c r="I27" s="2691" t="str">
        <f t="shared" si="6"/>
        <v>R</v>
      </c>
      <c r="J27" s="2686">
        <f t="shared" si="7"/>
        <v>0</v>
      </c>
      <c r="K27" s="2690">
        <f t="shared" si="8"/>
        <v>2.75</v>
      </c>
      <c r="L27" s="2692" t="str">
        <f t="shared" si="9"/>
        <v>R</v>
      </c>
      <c r="M27" s="2693">
        <f t="shared" si="10"/>
        <v>7.5</v>
      </c>
      <c r="N27" s="2694">
        <f t="shared" si="10"/>
        <v>7.5</v>
      </c>
      <c r="O27" s="2689">
        <f t="shared" si="11"/>
        <v>0</v>
      </c>
      <c r="P27" s="2690">
        <f t="shared" si="12"/>
        <v>7.75</v>
      </c>
      <c r="Q27" s="2686">
        <f t="shared" si="13"/>
        <v>0</v>
      </c>
      <c r="R27" s="2687">
        <f t="shared" si="14"/>
        <v>7.75</v>
      </c>
      <c r="S27" s="2695">
        <f t="shared" si="15"/>
        <v>0</v>
      </c>
      <c r="T27" s="2690">
        <f t="shared" si="16"/>
        <v>7.25</v>
      </c>
      <c r="U27" s="2686">
        <f t="shared" si="17"/>
        <v>0</v>
      </c>
      <c r="V27" s="2690">
        <f t="shared" si="18"/>
        <v>7.25</v>
      </c>
      <c r="W27" s="2694">
        <f t="shared" si="19"/>
        <v>5</v>
      </c>
      <c r="X27" s="2696" t="str">
        <f t="shared" si="20"/>
        <v/>
      </c>
      <c r="Y27" s="2697" t="str">
        <f t="shared" si="21"/>
        <v/>
      </c>
      <c r="Z27" s="2698" t="s">
        <v>1946</v>
      </c>
      <c r="AA27" s="2758" t="str">
        <f t="shared" si="22"/>
        <v/>
      </c>
      <c r="AB27" s="2683" t="str">
        <f t="shared" si="23"/>
        <v>G84</v>
      </c>
      <c r="AC27" s="2691" t="str">
        <f t="shared" si="24"/>
        <v>B</v>
      </c>
      <c r="AD27" s="2686">
        <f t="shared" ca="1" si="25"/>
        <v>7</v>
      </c>
      <c r="AE27" s="2690">
        <f t="shared" ca="1" si="26"/>
        <v>9</v>
      </c>
      <c r="AF27" s="2691">
        <f t="shared" ca="1" si="27"/>
        <v>5</v>
      </c>
      <c r="AG27" s="2686">
        <f t="shared" ca="1" si="28"/>
        <v>8</v>
      </c>
      <c r="AH27" s="2690">
        <f t="shared" ca="1" si="29"/>
        <v>0</v>
      </c>
      <c r="AI27" s="2686">
        <f t="shared" ca="1" si="30"/>
        <v>7</v>
      </c>
      <c r="AJ27" s="2690">
        <f t="shared" ca="1" si="31"/>
        <v>9</v>
      </c>
      <c r="AK27" s="2732" t="str">
        <f t="shared" si="32"/>
        <v/>
      </c>
      <c r="AL27" s="2733" t="str">
        <f t="shared" si="33"/>
        <v/>
      </c>
      <c r="AM27" s="2734">
        <f t="shared" si="32"/>
        <v>5</v>
      </c>
      <c r="AN27" s="2691">
        <f t="shared" si="32"/>
        <v>13</v>
      </c>
      <c r="AO27" s="2694">
        <f t="shared" si="32"/>
        <v>4</v>
      </c>
      <c r="AP27" s="2693">
        <f t="shared" si="34"/>
        <v>1.75</v>
      </c>
      <c r="AQ27" s="2736">
        <f t="shared" si="34"/>
        <v>1.75</v>
      </c>
      <c r="AR27" s="2689">
        <f t="shared" si="35"/>
        <v>1</v>
      </c>
      <c r="AS27" s="2690">
        <f t="shared" si="36"/>
        <v>0</v>
      </c>
      <c r="AT27" s="2737" t="str">
        <f t="shared" si="37"/>
        <v/>
      </c>
      <c r="AU27" s="2738" t="str">
        <f t="shared" si="38"/>
        <v>B</v>
      </c>
      <c r="AV27" s="2695">
        <f t="shared" si="39"/>
        <v>55</v>
      </c>
      <c r="AW27" s="2690">
        <f t="shared" si="40"/>
        <v>0</v>
      </c>
      <c r="AX27" s="2737" t="str">
        <f t="shared" si="41"/>
        <v/>
      </c>
      <c r="AY27" s="2738" t="str">
        <f t="shared" si="42"/>
        <v>B</v>
      </c>
      <c r="AZ27" s="2695" t="str">
        <f t="shared" si="43"/>
        <v/>
      </c>
      <c r="BA27" s="2690" t="str">
        <f t="shared" si="44"/>
        <v/>
      </c>
      <c r="BB27" s="2737" t="str">
        <f t="shared" si="45"/>
        <v/>
      </c>
      <c r="BC27" s="2738" t="str">
        <f t="shared" si="46"/>
        <v/>
      </c>
      <c r="BD27" s="2695" t="str">
        <f t="shared" si="47"/>
        <v/>
      </c>
      <c r="BE27" s="2690" t="str">
        <f t="shared" si="48"/>
        <v/>
      </c>
      <c r="BF27" s="2737" t="str">
        <f t="shared" si="49"/>
        <v/>
      </c>
      <c r="BG27" s="2738" t="str">
        <f t="shared" si="50"/>
        <v/>
      </c>
      <c r="BH27" s="1417"/>
      <c r="BJ27" s="995" t="str">
        <f t="shared" si="93"/>
        <v>G84</v>
      </c>
      <c r="BK27" s="993" t="b">
        <f t="shared" si="51"/>
        <v>0</v>
      </c>
      <c r="BL27" s="1784" t="b">
        <v>0</v>
      </c>
      <c r="BM27" s="989">
        <f t="shared" si="52"/>
        <v>52</v>
      </c>
      <c r="BN27" s="989" t="str">
        <f t="shared" si="53"/>
        <v>G</v>
      </c>
      <c r="BO27" s="989">
        <f t="shared" si="54"/>
        <v>7</v>
      </c>
      <c r="BP27" s="989" t="str">
        <f t="shared" si="55"/>
        <v>13/6</v>
      </c>
      <c r="BQ27" s="989">
        <f t="shared" si="56"/>
        <v>2.4</v>
      </c>
      <c r="BR27" s="989" t="b">
        <f t="shared" si="57"/>
        <v>1</v>
      </c>
      <c r="BS27" s="1303">
        <f t="shared" si="58"/>
        <v>8.75</v>
      </c>
      <c r="BT27" s="990" t="str">
        <f t="shared" si="59"/>
        <v>Yes</v>
      </c>
      <c r="BU27" s="1303">
        <f t="shared" si="60"/>
        <v>8.75</v>
      </c>
      <c r="BV27" s="990" t="str">
        <f t="shared" si="61"/>
        <v>Yes</v>
      </c>
      <c r="BW27" s="991">
        <f t="shared" ca="1" si="62"/>
        <v>20</v>
      </c>
      <c r="BX27" s="991" t="str">
        <f t="shared" ca="1" si="63"/>
        <v>G84</v>
      </c>
      <c r="BY27" s="991" t="b">
        <f t="shared" ca="1" si="64"/>
        <v>0</v>
      </c>
      <c r="BZ27" s="991" t="b">
        <f t="shared" si="86"/>
        <v>0</v>
      </c>
      <c r="CB27" s="672" t="s">
        <v>1480</v>
      </c>
      <c r="CC27" s="1685">
        <v>1</v>
      </c>
      <c r="CD27" s="699" t="s">
        <v>1731</v>
      </c>
      <c r="CE27" s="700">
        <v>56</v>
      </c>
      <c r="CF27" s="701">
        <v>0</v>
      </c>
      <c r="CG27" s="672">
        <v>7</v>
      </c>
      <c r="CH27" s="713"/>
      <c r="CI27" s="714"/>
      <c r="CJ27" s="713"/>
      <c r="CK27" s="714"/>
      <c r="CL27" s="715"/>
      <c r="CM27" s="743"/>
      <c r="CN27" s="738"/>
      <c r="CO27" s="1552"/>
      <c r="CP27" s="910"/>
      <c r="CQ27" s="672">
        <v>7</v>
      </c>
      <c r="CR27" s="713"/>
      <c r="CS27" s="714"/>
      <c r="CT27" s="713"/>
      <c r="CU27" s="714"/>
      <c r="CV27" s="715"/>
      <c r="CW27" s="743"/>
      <c r="CX27" s="738"/>
      <c r="CY27" s="1552"/>
      <c r="CZ27" s="910"/>
      <c r="DA27" s="717"/>
      <c r="DB27" s="702" t="s">
        <v>1757</v>
      </c>
      <c r="DC27" s="703" t="s">
        <v>34</v>
      </c>
      <c r="DD27" s="725"/>
      <c r="DE27" s="726">
        <v>11.125</v>
      </c>
      <c r="DF27" s="141"/>
      <c r="DG27" s="141"/>
      <c r="DH27" s="672" t="s">
        <v>1480</v>
      </c>
      <c r="DI27" s="673" t="s">
        <v>35</v>
      </c>
      <c r="DJ27" s="692">
        <v>8</v>
      </c>
      <c r="DK27" s="1332">
        <v>0</v>
      </c>
      <c r="DL27" s="674">
        <v>5</v>
      </c>
      <c r="DM27" s="693">
        <v>8</v>
      </c>
      <c r="DN27" s="1335">
        <v>0</v>
      </c>
      <c r="DO27" s="675"/>
      <c r="DP27" s="676"/>
      <c r="DQ27" s="1420">
        <v>5</v>
      </c>
      <c r="DR27" s="677">
        <v>13</v>
      </c>
      <c r="DS27" s="1420">
        <v>4</v>
      </c>
      <c r="DT27" s="1422">
        <v>2</v>
      </c>
      <c r="DU27" s="1423">
        <v>2</v>
      </c>
      <c r="DV27" s="2661">
        <v>1</v>
      </c>
      <c r="DW27" s="2664">
        <v>0.25</v>
      </c>
      <c r="DX27" s="679"/>
      <c r="DY27" s="2665" t="s">
        <v>35</v>
      </c>
      <c r="DZ27" s="2661">
        <v>55</v>
      </c>
      <c r="EA27" s="2664">
        <v>0.25</v>
      </c>
      <c r="EB27" s="679"/>
      <c r="EC27" s="2665" t="s">
        <v>35</v>
      </c>
      <c r="ED27" s="678"/>
      <c r="EE27" s="1337"/>
      <c r="EF27" s="679"/>
      <c r="EG27" s="674"/>
      <c r="EH27" s="678"/>
      <c r="EI27" s="1337"/>
      <c r="EJ27" s="679"/>
      <c r="EK27" s="680"/>
      <c r="EL27" s="241"/>
      <c r="EM27" s="1632" t="str">
        <f t="shared" si="65"/>
        <v>G84</v>
      </c>
      <c r="EN27" s="1429" t="str">
        <f t="shared" si="66"/>
        <v/>
      </c>
      <c r="EO27" s="1430" t="str">
        <f t="shared" si="67"/>
        <v/>
      </c>
      <c r="EP27" s="1431" t="str">
        <f t="shared" si="68"/>
        <v/>
      </c>
      <c r="EQ27" s="1435" t="str">
        <f t="shared" si="69"/>
        <v/>
      </c>
      <c r="ER27" s="1441" t="str">
        <f t="shared" si="70"/>
        <v/>
      </c>
      <c r="ES27" s="1442" t="str">
        <f t="shared" si="71"/>
        <v/>
      </c>
      <c r="ET27" s="1443" t="str">
        <f t="shared" si="72"/>
        <v/>
      </c>
      <c r="EU27" s="1444" t="str">
        <f t="shared" si="87"/>
        <v/>
      </c>
      <c r="EX27" s="503" t="str">
        <f t="shared" ca="1" si="88"/>
        <v>G84B</v>
      </c>
      <c r="EY27" s="940" t="b">
        <f t="shared" ca="1" si="73"/>
        <v>1</v>
      </c>
      <c r="EZ27" s="940">
        <f t="shared" ca="1" si="89"/>
        <v>5</v>
      </c>
      <c r="FA27" s="958" t="b">
        <f t="shared" ca="1" si="94"/>
        <v>1</v>
      </c>
      <c r="FB27" s="134">
        <f t="shared" ca="1" si="90"/>
        <v>666</v>
      </c>
      <c r="FC27" s="134">
        <f t="shared" ca="1" si="74"/>
        <v>93</v>
      </c>
      <c r="FD27" s="134">
        <f t="shared" ca="1" si="75"/>
        <v>480</v>
      </c>
      <c r="FE27" s="134">
        <f t="shared" ca="1" si="76"/>
        <v>93</v>
      </c>
      <c r="FF27" s="134">
        <f t="shared" ca="1" si="91"/>
        <v>666</v>
      </c>
      <c r="FN27" s="754" t="b">
        <v>0</v>
      </c>
      <c r="FO27" s="754" t="b">
        <f t="shared" si="77"/>
        <v>1</v>
      </c>
      <c r="FP27" s="754" t="b">
        <v>0</v>
      </c>
      <c r="FQ27" s="754" t="b">
        <f t="shared" si="92"/>
        <v>1</v>
      </c>
      <c r="FW27" s="2"/>
      <c r="FX27" s="2"/>
      <c r="FZ27" s="2"/>
      <c r="GA27" s="581">
        <f t="shared" si="78"/>
        <v>56</v>
      </c>
      <c r="GB27" s="623">
        <f t="shared" si="79"/>
        <v>0</v>
      </c>
      <c r="GC27" s="625">
        <f t="shared" si="80"/>
        <v>-0.25</v>
      </c>
      <c r="GD27" s="626">
        <f t="shared" si="81"/>
        <v>-0.25</v>
      </c>
      <c r="GE27" s="624">
        <f t="shared" si="82"/>
        <v>0</v>
      </c>
      <c r="GF27" s="582" t="str">
        <f t="shared" si="83"/>
        <v>G84</v>
      </c>
      <c r="GG27" s="692">
        <v>0</v>
      </c>
      <c r="GH27" s="1136">
        <v>0</v>
      </c>
      <c r="GI27" s="692"/>
      <c r="GJ27" s="1136"/>
      <c r="GK27" s="1641">
        <f t="shared" si="84"/>
        <v>671.5</v>
      </c>
      <c r="GL27" s="1641">
        <f t="shared" si="85"/>
        <v>671.5</v>
      </c>
      <c r="GM27" s="1642">
        <f>IF(ABS(GK27-GL27)&gt;='Job Info.'!$L$22,ABS(GK27-GL27),0)</f>
        <v>0</v>
      </c>
      <c r="GZ27" s="145"/>
      <c r="HA27" s="1242" t="s">
        <v>1480</v>
      </c>
      <c r="HB27" s="1243">
        <v>1</v>
      </c>
      <c r="HC27" s="1243" t="s">
        <v>1731</v>
      </c>
      <c r="HD27" s="1244">
        <v>56</v>
      </c>
      <c r="HE27" s="1245">
        <v>0</v>
      </c>
      <c r="HF27" s="1243">
        <v>7</v>
      </c>
      <c r="HG27" s="1243"/>
      <c r="HH27" s="1243"/>
      <c r="HI27" s="1243"/>
      <c r="HJ27" s="1243"/>
      <c r="HK27" s="1243"/>
      <c r="HL27" s="1243"/>
      <c r="HM27" s="1243"/>
      <c r="HN27" s="1243"/>
      <c r="HO27" s="1243"/>
      <c r="HP27" s="1243">
        <v>7</v>
      </c>
      <c r="HQ27" s="1243"/>
      <c r="HR27" s="1243"/>
      <c r="HS27" s="1243"/>
      <c r="HT27" s="1243"/>
      <c r="HU27" s="1243"/>
      <c r="HV27" s="1243"/>
      <c r="HW27" s="1243"/>
      <c r="HX27" s="1243"/>
      <c r="HY27" s="1247"/>
      <c r="HZ27" s="1247"/>
      <c r="IA27" s="1247" t="s">
        <v>1757</v>
      </c>
      <c r="IB27" s="1247" t="s">
        <v>34</v>
      </c>
      <c r="IC27" s="1247"/>
      <c r="ID27" s="1262">
        <v>11.125</v>
      </c>
      <c r="IE27" s="1242" t="s">
        <v>1480</v>
      </c>
      <c r="IF27" s="1243" t="s">
        <v>35</v>
      </c>
      <c r="IG27" s="1244">
        <v>8</v>
      </c>
      <c r="IH27" s="1245">
        <v>0</v>
      </c>
      <c r="II27" s="1243">
        <v>5</v>
      </c>
      <c r="IJ27" s="1244">
        <v>8</v>
      </c>
      <c r="IK27" s="1245">
        <v>0</v>
      </c>
      <c r="IL27" s="1243"/>
      <c r="IM27" s="1243"/>
      <c r="IN27" s="1243">
        <v>5</v>
      </c>
      <c r="IO27" s="1243">
        <v>13</v>
      </c>
      <c r="IP27" s="1243">
        <v>4</v>
      </c>
      <c r="IQ27" s="1243">
        <v>2</v>
      </c>
      <c r="IR27" s="1243">
        <v>2</v>
      </c>
      <c r="IS27" s="1244"/>
      <c r="IT27" s="1245"/>
      <c r="IU27" s="1243"/>
      <c r="IV27" s="1243"/>
      <c r="IW27" s="1244"/>
      <c r="IX27" s="1245"/>
      <c r="IY27" s="1243"/>
      <c r="IZ27" s="1243"/>
      <c r="JA27" s="1244"/>
      <c r="JB27" s="1245"/>
      <c r="JC27" s="1243"/>
      <c r="JD27" s="1243"/>
      <c r="JE27" s="1244"/>
      <c r="JF27" s="1245"/>
      <c r="JG27" s="1243"/>
      <c r="JH27" s="1243"/>
      <c r="JI27" s="1243"/>
      <c r="JJ27" s="1246"/>
      <c r="JK27" s="1243">
        <v>1</v>
      </c>
      <c r="JL27" s="1172">
        <f t="shared" ca="1" si="95"/>
        <v>1</v>
      </c>
    </row>
    <row r="28" spans="1:272" ht="12.6" customHeight="1" x14ac:dyDescent="0.3">
      <c r="A28" s="2683" t="str">
        <f t="shared" si="0"/>
        <v>G85</v>
      </c>
      <c r="B28" s="2684">
        <f t="shared" si="0"/>
        <v>1</v>
      </c>
      <c r="C28" s="2685" t="s">
        <v>1731</v>
      </c>
      <c r="D28" s="2686">
        <f t="shared" si="1"/>
        <v>55</v>
      </c>
      <c r="E28" s="2687">
        <f t="shared" si="2"/>
        <v>11.5</v>
      </c>
      <c r="F28" s="2688">
        <f t="shared" si="3"/>
        <v>11.125</v>
      </c>
      <c r="G28" s="2689">
        <f t="shared" si="4"/>
        <v>0</v>
      </c>
      <c r="H28" s="2690">
        <f t="shared" si="5"/>
        <v>2.75</v>
      </c>
      <c r="I28" s="2691" t="str">
        <f t="shared" si="6"/>
        <v>R</v>
      </c>
      <c r="J28" s="2686">
        <f t="shared" si="7"/>
        <v>0</v>
      </c>
      <c r="K28" s="2690">
        <f t="shared" si="8"/>
        <v>2.75</v>
      </c>
      <c r="L28" s="2692" t="str">
        <f t="shared" si="9"/>
        <v>R</v>
      </c>
      <c r="M28" s="2693">
        <f t="shared" si="10"/>
        <v>7.5</v>
      </c>
      <c r="N28" s="2694">
        <f t="shared" si="10"/>
        <v>7.5</v>
      </c>
      <c r="O28" s="2689">
        <f t="shared" si="11"/>
        <v>0</v>
      </c>
      <c r="P28" s="2690">
        <f t="shared" si="12"/>
        <v>7.75</v>
      </c>
      <c r="Q28" s="2686">
        <f t="shared" si="13"/>
        <v>0</v>
      </c>
      <c r="R28" s="2687">
        <f t="shared" si="14"/>
        <v>7.75</v>
      </c>
      <c r="S28" s="2695">
        <f t="shared" si="15"/>
        <v>0</v>
      </c>
      <c r="T28" s="2690">
        <f t="shared" si="16"/>
        <v>7.25</v>
      </c>
      <c r="U28" s="2686">
        <f t="shared" si="17"/>
        <v>0</v>
      </c>
      <c r="V28" s="2690">
        <f t="shared" si="18"/>
        <v>7.25</v>
      </c>
      <c r="W28" s="2694">
        <f t="shared" si="19"/>
        <v>5</v>
      </c>
      <c r="X28" s="2696" t="str">
        <f t="shared" si="20"/>
        <v/>
      </c>
      <c r="Y28" s="2697" t="str">
        <f t="shared" si="21"/>
        <v/>
      </c>
      <c r="Z28" s="2698" t="s">
        <v>1947</v>
      </c>
      <c r="AA28" s="2758" t="str">
        <f t="shared" si="22"/>
        <v/>
      </c>
      <c r="AB28" s="2683" t="str">
        <f t="shared" si="23"/>
        <v>G85</v>
      </c>
      <c r="AC28" s="2691" t="str">
        <f t="shared" si="24"/>
        <v>B</v>
      </c>
      <c r="AD28" s="2686">
        <f t="shared" ca="1" si="25"/>
        <v>7</v>
      </c>
      <c r="AE28" s="2690">
        <f t="shared" ca="1" si="26"/>
        <v>9</v>
      </c>
      <c r="AF28" s="2691">
        <f t="shared" ca="1" si="27"/>
        <v>5</v>
      </c>
      <c r="AG28" s="2686">
        <f t="shared" ca="1" si="28"/>
        <v>8</v>
      </c>
      <c r="AH28" s="2690">
        <f t="shared" ca="1" si="29"/>
        <v>0</v>
      </c>
      <c r="AI28" s="2686">
        <f t="shared" ca="1" si="30"/>
        <v>7</v>
      </c>
      <c r="AJ28" s="2690">
        <f t="shared" ca="1" si="31"/>
        <v>9</v>
      </c>
      <c r="AK28" s="2732" t="str">
        <f t="shared" si="32"/>
        <v/>
      </c>
      <c r="AL28" s="2733" t="str">
        <f t="shared" si="33"/>
        <v/>
      </c>
      <c r="AM28" s="2734">
        <f t="shared" si="32"/>
        <v>5</v>
      </c>
      <c r="AN28" s="2691">
        <f t="shared" si="32"/>
        <v>13</v>
      </c>
      <c r="AO28" s="2694">
        <f t="shared" si="32"/>
        <v>4</v>
      </c>
      <c r="AP28" s="2693">
        <f t="shared" si="34"/>
        <v>1.75</v>
      </c>
      <c r="AQ28" s="2736">
        <f t="shared" si="34"/>
        <v>1.75</v>
      </c>
      <c r="AR28" s="2689">
        <f t="shared" si="35"/>
        <v>1</v>
      </c>
      <c r="AS28" s="2690">
        <f t="shared" si="36"/>
        <v>0</v>
      </c>
      <c r="AT28" s="2737" t="str">
        <f t="shared" si="37"/>
        <v/>
      </c>
      <c r="AU28" s="2738" t="str">
        <f t="shared" si="38"/>
        <v>B</v>
      </c>
      <c r="AV28" s="2695">
        <f t="shared" si="39"/>
        <v>55</v>
      </c>
      <c r="AW28" s="2690">
        <f t="shared" si="40"/>
        <v>0</v>
      </c>
      <c r="AX28" s="2737" t="str">
        <f t="shared" si="41"/>
        <v/>
      </c>
      <c r="AY28" s="2738" t="str">
        <f t="shared" si="42"/>
        <v>B</v>
      </c>
      <c r="AZ28" s="2695" t="str">
        <f t="shared" si="43"/>
        <v/>
      </c>
      <c r="BA28" s="2690" t="str">
        <f t="shared" si="44"/>
        <v/>
      </c>
      <c r="BB28" s="2737" t="str">
        <f t="shared" si="45"/>
        <v/>
      </c>
      <c r="BC28" s="2738" t="str">
        <f t="shared" si="46"/>
        <v/>
      </c>
      <c r="BD28" s="2695" t="str">
        <f t="shared" si="47"/>
        <v/>
      </c>
      <c r="BE28" s="2690" t="str">
        <f t="shared" si="48"/>
        <v/>
      </c>
      <c r="BF28" s="2737" t="str">
        <f t="shared" si="49"/>
        <v/>
      </c>
      <c r="BG28" s="2738" t="str">
        <f t="shared" si="50"/>
        <v/>
      </c>
      <c r="BH28" s="1417"/>
      <c r="BJ28" s="995" t="str">
        <f t="shared" si="93"/>
        <v>G85</v>
      </c>
      <c r="BK28" s="993" t="b">
        <f t="shared" si="51"/>
        <v>0</v>
      </c>
      <c r="BL28" s="1784" t="b">
        <v>0</v>
      </c>
      <c r="BM28" s="989">
        <f t="shared" si="52"/>
        <v>52</v>
      </c>
      <c r="BN28" s="989" t="str">
        <f t="shared" si="53"/>
        <v>G</v>
      </c>
      <c r="BO28" s="989">
        <f t="shared" si="54"/>
        <v>7</v>
      </c>
      <c r="BP28" s="989" t="str">
        <f t="shared" si="55"/>
        <v>13/6</v>
      </c>
      <c r="BQ28" s="989">
        <f t="shared" si="56"/>
        <v>2.4</v>
      </c>
      <c r="BR28" s="989" t="b">
        <f t="shared" si="57"/>
        <v>1</v>
      </c>
      <c r="BS28" s="1303">
        <f t="shared" si="58"/>
        <v>8.75</v>
      </c>
      <c r="BT28" s="990" t="str">
        <f t="shared" si="59"/>
        <v>Yes</v>
      </c>
      <c r="BU28" s="1303">
        <f t="shared" si="60"/>
        <v>8.75</v>
      </c>
      <c r="BV28" s="990" t="str">
        <f t="shared" si="61"/>
        <v>Yes</v>
      </c>
      <c r="BW28" s="991">
        <f t="shared" ca="1" si="62"/>
        <v>20</v>
      </c>
      <c r="BX28" s="991" t="str">
        <f t="shared" ca="1" si="63"/>
        <v>G85</v>
      </c>
      <c r="BY28" s="991" t="b">
        <f t="shared" ca="1" si="64"/>
        <v>0</v>
      </c>
      <c r="BZ28" s="991" t="b">
        <f t="shared" si="86"/>
        <v>0</v>
      </c>
      <c r="CB28" s="672" t="s">
        <v>1481</v>
      </c>
      <c r="CC28" s="1685">
        <v>1</v>
      </c>
      <c r="CD28" s="699" t="s">
        <v>1731</v>
      </c>
      <c r="CE28" s="700">
        <v>56</v>
      </c>
      <c r="CF28" s="701">
        <v>0</v>
      </c>
      <c r="CG28" s="672">
        <v>7</v>
      </c>
      <c r="CH28" s="713"/>
      <c r="CI28" s="714"/>
      <c r="CJ28" s="713"/>
      <c r="CK28" s="714"/>
      <c r="CL28" s="715"/>
      <c r="CM28" s="743"/>
      <c r="CN28" s="738"/>
      <c r="CO28" s="1552"/>
      <c r="CP28" s="910"/>
      <c r="CQ28" s="672">
        <v>7</v>
      </c>
      <c r="CR28" s="713"/>
      <c r="CS28" s="714"/>
      <c r="CT28" s="713"/>
      <c r="CU28" s="714"/>
      <c r="CV28" s="715"/>
      <c r="CW28" s="743"/>
      <c r="CX28" s="738"/>
      <c r="CY28" s="1552"/>
      <c r="CZ28" s="910"/>
      <c r="DA28" s="717"/>
      <c r="DB28" s="702" t="s">
        <v>1758</v>
      </c>
      <c r="DC28" s="703"/>
      <c r="DD28" s="725"/>
      <c r="DE28" s="726">
        <v>11.125</v>
      </c>
      <c r="DF28" s="141"/>
      <c r="DG28" s="141"/>
      <c r="DH28" s="672" t="s">
        <v>1481</v>
      </c>
      <c r="DI28" s="673" t="s">
        <v>35</v>
      </c>
      <c r="DJ28" s="692">
        <v>8</v>
      </c>
      <c r="DK28" s="1332">
        <v>0</v>
      </c>
      <c r="DL28" s="674">
        <v>5</v>
      </c>
      <c r="DM28" s="693">
        <v>8</v>
      </c>
      <c r="DN28" s="1335">
        <v>0</v>
      </c>
      <c r="DO28" s="675"/>
      <c r="DP28" s="676"/>
      <c r="DQ28" s="1420">
        <v>5</v>
      </c>
      <c r="DR28" s="677">
        <v>13</v>
      </c>
      <c r="DS28" s="1420">
        <v>4</v>
      </c>
      <c r="DT28" s="1422">
        <v>2</v>
      </c>
      <c r="DU28" s="1423">
        <v>2</v>
      </c>
      <c r="DV28" s="2661">
        <v>1</v>
      </c>
      <c r="DW28" s="2664">
        <v>0.25</v>
      </c>
      <c r="DX28" s="679"/>
      <c r="DY28" s="2665" t="s">
        <v>35</v>
      </c>
      <c r="DZ28" s="2661">
        <v>55</v>
      </c>
      <c r="EA28" s="2664">
        <v>0.25</v>
      </c>
      <c r="EB28" s="679"/>
      <c r="EC28" s="2665" t="s">
        <v>35</v>
      </c>
      <c r="ED28" s="678"/>
      <c r="EE28" s="1337"/>
      <c r="EF28" s="679"/>
      <c r="EG28" s="674"/>
      <c r="EH28" s="678"/>
      <c r="EI28" s="1337"/>
      <c r="EJ28" s="679"/>
      <c r="EK28" s="680"/>
      <c r="EL28" s="241"/>
      <c r="EM28" s="1632" t="str">
        <f t="shared" si="65"/>
        <v>G85</v>
      </c>
      <c r="EN28" s="1429" t="str">
        <f t="shared" si="66"/>
        <v/>
      </c>
      <c r="EO28" s="1430" t="str">
        <f t="shared" si="67"/>
        <v/>
      </c>
      <c r="EP28" s="1431" t="str">
        <f t="shared" si="68"/>
        <v/>
      </c>
      <c r="EQ28" s="1435" t="str">
        <f t="shared" si="69"/>
        <v/>
      </c>
      <c r="ER28" s="1441" t="str">
        <f t="shared" si="70"/>
        <v/>
      </c>
      <c r="ES28" s="1442" t="str">
        <f t="shared" si="71"/>
        <v/>
      </c>
      <c r="ET28" s="1443" t="str">
        <f t="shared" si="72"/>
        <v/>
      </c>
      <c r="EU28" s="1444" t="str">
        <f t="shared" si="87"/>
        <v/>
      </c>
      <c r="EX28" s="503" t="str">
        <f t="shared" ca="1" si="88"/>
        <v>G85B</v>
      </c>
      <c r="EY28" s="940" t="b">
        <f t="shared" ca="1" si="73"/>
        <v>1</v>
      </c>
      <c r="EZ28" s="940">
        <f t="shared" ca="1" si="89"/>
        <v>5</v>
      </c>
      <c r="FA28" s="958" t="b">
        <f t="shared" ca="1" si="94"/>
        <v>1</v>
      </c>
      <c r="FB28" s="134">
        <f t="shared" ca="1" si="90"/>
        <v>666</v>
      </c>
      <c r="FC28" s="134">
        <f t="shared" ca="1" si="74"/>
        <v>93</v>
      </c>
      <c r="FD28" s="134">
        <f t="shared" ca="1" si="75"/>
        <v>480</v>
      </c>
      <c r="FE28" s="134">
        <f t="shared" ca="1" si="76"/>
        <v>93</v>
      </c>
      <c r="FF28" s="134">
        <f t="shared" ca="1" si="91"/>
        <v>666</v>
      </c>
      <c r="FN28" s="754" t="b">
        <v>0</v>
      </c>
      <c r="FO28" s="754" t="b">
        <f t="shared" si="77"/>
        <v>1</v>
      </c>
      <c r="FP28" s="754" t="b">
        <v>0</v>
      </c>
      <c r="FQ28" s="754" t="b">
        <f t="shared" si="92"/>
        <v>1</v>
      </c>
      <c r="FW28" s="2"/>
      <c r="FX28" s="2"/>
      <c r="FZ28" s="2"/>
      <c r="GA28" s="581">
        <f t="shared" si="78"/>
        <v>56</v>
      </c>
      <c r="GB28" s="623">
        <f t="shared" si="79"/>
        <v>0</v>
      </c>
      <c r="GC28" s="625">
        <f t="shared" si="80"/>
        <v>-0.25</v>
      </c>
      <c r="GD28" s="626">
        <f t="shared" si="81"/>
        <v>-0.25</v>
      </c>
      <c r="GE28" s="624">
        <f t="shared" si="82"/>
        <v>0</v>
      </c>
      <c r="GF28" s="582" t="str">
        <f t="shared" si="83"/>
        <v>G85</v>
      </c>
      <c r="GG28" s="692">
        <v>0</v>
      </c>
      <c r="GH28" s="1136">
        <v>0</v>
      </c>
      <c r="GI28" s="692"/>
      <c r="GJ28" s="1136"/>
      <c r="GK28" s="1641">
        <f t="shared" si="84"/>
        <v>671.5</v>
      </c>
      <c r="GL28" s="1641">
        <f t="shared" si="85"/>
        <v>671.5</v>
      </c>
      <c r="GM28" s="1642">
        <f>IF(ABS(GK28-GL28)&gt;='Job Info.'!$L$22,ABS(GK28-GL28),0)</f>
        <v>0</v>
      </c>
      <c r="GZ28" s="144"/>
      <c r="HA28" s="1242" t="s">
        <v>1481</v>
      </c>
      <c r="HB28" s="1243">
        <v>1</v>
      </c>
      <c r="HC28" s="1243" t="s">
        <v>1731</v>
      </c>
      <c r="HD28" s="1244">
        <v>56</v>
      </c>
      <c r="HE28" s="1245">
        <v>0</v>
      </c>
      <c r="HF28" s="1243">
        <v>7</v>
      </c>
      <c r="HG28" s="1243"/>
      <c r="HH28" s="1243"/>
      <c r="HI28" s="1243"/>
      <c r="HJ28" s="1243"/>
      <c r="HK28" s="1243"/>
      <c r="HL28" s="1243"/>
      <c r="HM28" s="1243"/>
      <c r="HN28" s="1243"/>
      <c r="HO28" s="1243"/>
      <c r="HP28" s="1243">
        <v>7</v>
      </c>
      <c r="HQ28" s="1243"/>
      <c r="HR28" s="1243"/>
      <c r="HS28" s="1243"/>
      <c r="HT28" s="1243"/>
      <c r="HU28" s="1243"/>
      <c r="HV28" s="1243"/>
      <c r="HW28" s="1243"/>
      <c r="HX28" s="1243"/>
      <c r="HY28" s="1247"/>
      <c r="HZ28" s="1247"/>
      <c r="IA28" s="1247" t="s">
        <v>1758</v>
      </c>
      <c r="IB28" s="1247"/>
      <c r="IC28" s="1247"/>
      <c r="ID28" s="1262">
        <v>11.125</v>
      </c>
      <c r="IE28" s="1242" t="s">
        <v>1481</v>
      </c>
      <c r="IF28" s="1243" t="s">
        <v>35</v>
      </c>
      <c r="IG28" s="1244">
        <v>8</v>
      </c>
      <c r="IH28" s="1245">
        <v>0</v>
      </c>
      <c r="II28" s="1243">
        <v>5</v>
      </c>
      <c r="IJ28" s="1244">
        <v>8</v>
      </c>
      <c r="IK28" s="1245">
        <v>0</v>
      </c>
      <c r="IL28" s="1243"/>
      <c r="IM28" s="1243"/>
      <c r="IN28" s="1243">
        <v>5</v>
      </c>
      <c r="IO28" s="1243">
        <v>13</v>
      </c>
      <c r="IP28" s="1243">
        <v>4</v>
      </c>
      <c r="IQ28" s="1243">
        <v>2</v>
      </c>
      <c r="IR28" s="1243">
        <v>2</v>
      </c>
      <c r="IS28" s="1244"/>
      <c r="IT28" s="1245"/>
      <c r="IU28" s="1243"/>
      <c r="IV28" s="1243"/>
      <c r="IW28" s="1244"/>
      <c r="IX28" s="1245"/>
      <c r="IY28" s="1243"/>
      <c r="IZ28" s="1243"/>
      <c r="JA28" s="1244"/>
      <c r="JB28" s="1245"/>
      <c r="JC28" s="1243"/>
      <c r="JD28" s="1243"/>
      <c r="JE28" s="1244"/>
      <c r="JF28" s="1245"/>
      <c r="JG28" s="1243"/>
      <c r="JH28" s="1243"/>
      <c r="JI28" s="1243"/>
      <c r="JJ28" s="1246"/>
      <c r="JK28" s="1243">
        <v>1</v>
      </c>
      <c r="JL28" s="1172">
        <f t="shared" ca="1" si="95"/>
        <v>1</v>
      </c>
    </row>
    <row r="29" spans="1:272" ht="12.6" customHeight="1" x14ac:dyDescent="0.25">
      <c r="A29" s="2683" t="str">
        <f t="shared" si="0"/>
        <v>G86</v>
      </c>
      <c r="B29" s="2684">
        <f t="shared" si="0"/>
        <v>1</v>
      </c>
      <c r="C29" s="2685" t="s">
        <v>1731</v>
      </c>
      <c r="D29" s="2686">
        <f t="shared" si="1"/>
        <v>55</v>
      </c>
      <c r="E29" s="2687">
        <f t="shared" si="2"/>
        <v>11.5</v>
      </c>
      <c r="F29" s="2688">
        <f t="shared" si="3"/>
        <v>11.125</v>
      </c>
      <c r="G29" s="2689">
        <f t="shared" si="4"/>
        <v>0</v>
      </c>
      <c r="H29" s="2690">
        <f t="shared" si="5"/>
        <v>2.75</v>
      </c>
      <c r="I29" s="2691" t="str">
        <f t="shared" si="6"/>
        <v>R</v>
      </c>
      <c r="J29" s="2686">
        <f t="shared" si="7"/>
        <v>0</v>
      </c>
      <c r="K29" s="2690">
        <f t="shared" si="8"/>
        <v>2.75</v>
      </c>
      <c r="L29" s="2692" t="str">
        <f t="shared" si="9"/>
        <v>R</v>
      </c>
      <c r="M29" s="2693">
        <f t="shared" si="10"/>
        <v>7.5</v>
      </c>
      <c r="N29" s="2694">
        <f t="shared" si="10"/>
        <v>7.5</v>
      </c>
      <c r="O29" s="2689">
        <f t="shared" si="11"/>
        <v>0</v>
      </c>
      <c r="P29" s="2690">
        <f t="shared" si="12"/>
        <v>7.75</v>
      </c>
      <c r="Q29" s="2686">
        <f t="shared" si="13"/>
        <v>0</v>
      </c>
      <c r="R29" s="2687">
        <f t="shared" si="14"/>
        <v>7.75</v>
      </c>
      <c r="S29" s="2695">
        <f t="shared" si="15"/>
        <v>0</v>
      </c>
      <c r="T29" s="2690">
        <f t="shared" si="16"/>
        <v>7.25</v>
      </c>
      <c r="U29" s="2686">
        <f t="shared" si="17"/>
        <v>0</v>
      </c>
      <c r="V29" s="2690">
        <f t="shared" si="18"/>
        <v>7.25</v>
      </c>
      <c r="W29" s="2694">
        <f t="shared" si="19"/>
        <v>5</v>
      </c>
      <c r="X29" s="2696" t="str">
        <f t="shared" si="20"/>
        <v/>
      </c>
      <c r="Y29" s="2697" t="str">
        <f t="shared" si="21"/>
        <v/>
      </c>
      <c r="Z29" s="2698" t="s">
        <v>1948</v>
      </c>
      <c r="AA29" s="2758" t="str">
        <f t="shared" si="22"/>
        <v/>
      </c>
      <c r="AB29" s="2683" t="str">
        <f t="shared" si="23"/>
        <v>G86</v>
      </c>
      <c r="AC29" s="2691" t="str">
        <f t="shared" si="24"/>
        <v>B</v>
      </c>
      <c r="AD29" s="2686">
        <f t="shared" ca="1" si="25"/>
        <v>7</v>
      </c>
      <c r="AE29" s="2690">
        <f t="shared" ca="1" si="26"/>
        <v>9</v>
      </c>
      <c r="AF29" s="2691">
        <f t="shared" ca="1" si="27"/>
        <v>5</v>
      </c>
      <c r="AG29" s="2686">
        <f t="shared" ca="1" si="28"/>
        <v>8</v>
      </c>
      <c r="AH29" s="2690">
        <f t="shared" ca="1" si="29"/>
        <v>0</v>
      </c>
      <c r="AI29" s="2686">
        <f t="shared" ca="1" si="30"/>
        <v>7</v>
      </c>
      <c r="AJ29" s="2690">
        <f t="shared" ca="1" si="31"/>
        <v>9</v>
      </c>
      <c r="AK29" s="2732" t="str">
        <f t="shared" si="32"/>
        <v/>
      </c>
      <c r="AL29" s="2733" t="str">
        <f t="shared" si="33"/>
        <v/>
      </c>
      <c r="AM29" s="2734">
        <f t="shared" si="32"/>
        <v>5</v>
      </c>
      <c r="AN29" s="2691">
        <f t="shared" si="32"/>
        <v>13</v>
      </c>
      <c r="AO29" s="2694">
        <f t="shared" si="32"/>
        <v>4</v>
      </c>
      <c r="AP29" s="2693">
        <f t="shared" si="34"/>
        <v>1.75</v>
      </c>
      <c r="AQ29" s="2736">
        <f t="shared" si="34"/>
        <v>1.75</v>
      </c>
      <c r="AR29" s="2689">
        <f t="shared" si="35"/>
        <v>1</v>
      </c>
      <c r="AS29" s="2690">
        <f t="shared" si="36"/>
        <v>0</v>
      </c>
      <c r="AT29" s="2737" t="str">
        <f t="shared" si="37"/>
        <v/>
      </c>
      <c r="AU29" s="2738" t="str">
        <f t="shared" si="38"/>
        <v>B</v>
      </c>
      <c r="AV29" s="2695">
        <f t="shared" si="39"/>
        <v>55</v>
      </c>
      <c r="AW29" s="2690">
        <f t="shared" si="40"/>
        <v>0</v>
      </c>
      <c r="AX29" s="2737" t="str">
        <f t="shared" si="41"/>
        <v/>
      </c>
      <c r="AY29" s="2738" t="str">
        <f t="shared" si="42"/>
        <v>B</v>
      </c>
      <c r="AZ29" s="2695" t="str">
        <f t="shared" si="43"/>
        <v/>
      </c>
      <c r="BA29" s="2690" t="str">
        <f t="shared" si="44"/>
        <v/>
      </c>
      <c r="BB29" s="2737" t="str">
        <f t="shared" si="45"/>
        <v/>
      </c>
      <c r="BC29" s="2738" t="str">
        <f t="shared" si="46"/>
        <v/>
      </c>
      <c r="BD29" s="2695" t="str">
        <f t="shared" si="47"/>
        <v/>
      </c>
      <c r="BE29" s="2690" t="str">
        <f t="shared" si="48"/>
        <v/>
      </c>
      <c r="BF29" s="2737" t="str">
        <f t="shared" si="49"/>
        <v/>
      </c>
      <c r="BG29" s="2738" t="str">
        <f t="shared" si="50"/>
        <v/>
      </c>
      <c r="BH29" s="1417"/>
      <c r="BJ29" s="995" t="str">
        <f t="shared" si="93"/>
        <v>G86</v>
      </c>
      <c r="BK29" s="993" t="b">
        <f t="shared" si="51"/>
        <v>0</v>
      </c>
      <c r="BL29" s="1784" t="b">
        <v>0</v>
      </c>
      <c r="BM29" s="989">
        <f t="shared" si="52"/>
        <v>52</v>
      </c>
      <c r="BN29" s="989" t="str">
        <f t="shared" si="53"/>
        <v>G</v>
      </c>
      <c r="BO29" s="989">
        <f t="shared" si="54"/>
        <v>7</v>
      </c>
      <c r="BP29" s="989" t="str">
        <f t="shared" si="55"/>
        <v>13/6</v>
      </c>
      <c r="BQ29" s="989">
        <f t="shared" si="56"/>
        <v>2.4</v>
      </c>
      <c r="BR29" s="989" t="b">
        <f t="shared" si="57"/>
        <v>1</v>
      </c>
      <c r="BS29" s="1303">
        <f t="shared" si="58"/>
        <v>8.75</v>
      </c>
      <c r="BT29" s="990" t="str">
        <f t="shared" si="59"/>
        <v>Yes</v>
      </c>
      <c r="BU29" s="1303">
        <f t="shared" si="60"/>
        <v>8.75</v>
      </c>
      <c r="BV29" s="990" t="str">
        <f t="shared" si="61"/>
        <v>Yes</v>
      </c>
      <c r="BW29" s="991">
        <f t="shared" ca="1" si="62"/>
        <v>20</v>
      </c>
      <c r="BX29" s="991" t="str">
        <f t="shared" ca="1" si="63"/>
        <v>G86</v>
      </c>
      <c r="BY29" s="991" t="b">
        <f t="shared" ca="1" si="64"/>
        <v>0</v>
      </c>
      <c r="BZ29" s="991" t="b">
        <f t="shared" si="86"/>
        <v>0</v>
      </c>
      <c r="CB29" s="672" t="s">
        <v>1482</v>
      </c>
      <c r="CC29" s="1685">
        <v>1</v>
      </c>
      <c r="CD29" s="699" t="s">
        <v>1731</v>
      </c>
      <c r="CE29" s="700">
        <v>56</v>
      </c>
      <c r="CF29" s="701">
        <v>0</v>
      </c>
      <c r="CG29" s="672">
        <v>7</v>
      </c>
      <c r="CH29" s="713"/>
      <c r="CI29" s="714"/>
      <c r="CJ29" s="713"/>
      <c r="CK29" s="714"/>
      <c r="CL29" s="715"/>
      <c r="CM29" s="743"/>
      <c r="CN29" s="738"/>
      <c r="CO29" s="1552"/>
      <c r="CP29" s="910"/>
      <c r="CQ29" s="672">
        <v>7</v>
      </c>
      <c r="CR29" s="713"/>
      <c r="CS29" s="714"/>
      <c r="CT29" s="713"/>
      <c r="CU29" s="714"/>
      <c r="CV29" s="715"/>
      <c r="CW29" s="743"/>
      <c r="CX29" s="738"/>
      <c r="CY29" s="1552"/>
      <c r="CZ29" s="910"/>
      <c r="DA29" s="717"/>
      <c r="DB29" s="702" t="s">
        <v>1759</v>
      </c>
      <c r="DC29" s="703"/>
      <c r="DD29" s="725"/>
      <c r="DE29" s="726">
        <v>11.125</v>
      </c>
      <c r="DF29" s="141"/>
      <c r="DG29" s="141"/>
      <c r="DH29" s="672" t="s">
        <v>1482</v>
      </c>
      <c r="DI29" s="673" t="s">
        <v>35</v>
      </c>
      <c r="DJ29" s="692">
        <v>8</v>
      </c>
      <c r="DK29" s="1332">
        <v>0</v>
      </c>
      <c r="DL29" s="674">
        <v>5</v>
      </c>
      <c r="DM29" s="693">
        <v>8</v>
      </c>
      <c r="DN29" s="1335">
        <v>0</v>
      </c>
      <c r="DO29" s="675"/>
      <c r="DP29" s="676"/>
      <c r="DQ29" s="1420">
        <v>5</v>
      </c>
      <c r="DR29" s="677">
        <v>13</v>
      </c>
      <c r="DS29" s="1420">
        <v>4</v>
      </c>
      <c r="DT29" s="1422">
        <v>2</v>
      </c>
      <c r="DU29" s="1423">
        <v>2</v>
      </c>
      <c r="DV29" s="2661">
        <v>1</v>
      </c>
      <c r="DW29" s="2664">
        <v>0.25</v>
      </c>
      <c r="DX29" s="679"/>
      <c r="DY29" s="2665" t="s">
        <v>35</v>
      </c>
      <c r="DZ29" s="2661">
        <v>55</v>
      </c>
      <c r="EA29" s="2664">
        <v>0.25</v>
      </c>
      <c r="EB29" s="679"/>
      <c r="EC29" s="2665" t="s">
        <v>35</v>
      </c>
      <c r="ED29" s="678"/>
      <c r="EE29" s="1337"/>
      <c r="EF29" s="679"/>
      <c r="EG29" s="674"/>
      <c r="EH29" s="678"/>
      <c r="EI29" s="1337"/>
      <c r="EJ29" s="679"/>
      <c r="EK29" s="680"/>
      <c r="EL29" s="241"/>
      <c r="EM29" s="1632" t="str">
        <f t="shared" si="65"/>
        <v>G86</v>
      </c>
      <c r="EN29" s="1429" t="str">
        <f t="shared" si="66"/>
        <v/>
      </c>
      <c r="EO29" s="1430" t="str">
        <f t="shared" si="67"/>
        <v/>
      </c>
      <c r="EP29" s="1431" t="str">
        <f t="shared" si="68"/>
        <v/>
      </c>
      <c r="EQ29" s="1435" t="str">
        <f t="shared" si="69"/>
        <v/>
      </c>
      <c r="ER29" s="1441" t="str">
        <f t="shared" si="70"/>
        <v/>
      </c>
      <c r="ES29" s="1442" t="str">
        <f t="shared" si="71"/>
        <v/>
      </c>
      <c r="ET29" s="1443" t="str">
        <f t="shared" si="72"/>
        <v/>
      </c>
      <c r="EU29" s="1444" t="str">
        <f t="shared" si="87"/>
        <v/>
      </c>
      <c r="EX29" s="503" t="str">
        <f t="shared" ca="1" si="88"/>
        <v>G86B</v>
      </c>
      <c r="EY29" s="940" t="b">
        <f t="shared" ca="1" si="73"/>
        <v>1</v>
      </c>
      <c r="EZ29" s="940">
        <f t="shared" ca="1" si="89"/>
        <v>5</v>
      </c>
      <c r="FA29" s="958" t="b">
        <f t="shared" ca="1" si="94"/>
        <v>1</v>
      </c>
      <c r="FB29" s="134">
        <f t="shared" ca="1" si="90"/>
        <v>666</v>
      </c>
      <c r="FC29" s="134">
        <f t="shared" ca="1" si="74"/>
        <v>93</v>
      </c>
      <c r="FD29" s="134">
        <f t="shared" ca="1" si="75"/>
        <v>480</v>
      </c>
      <c r="FE29" s="134">
        <f t="shared" ca="1" si="76"/>
        <v>93</v>
      </c>
      <c r="FF29" s="134">
        <f t="shared" ca="1" si="91"/>
        <v>666</v>
      </c>
      <c r="FN29" s="754" t="b">
        <v>0</v>
      </c>
      <c r="FO29" s="754" t="b">
        <f t="shared" si="77"/>
        <v>1</v>
      </c>
      <c r="FP29" s="754" t="b">
        <v>0</v>
      </c>
      <c r="FQ29" s="754" t="b">
        <f t="shared" si="92"/>
        <v>1</v>
      </c>
      <c r="FW29" s="2"/>
      <c r="FX29" s="2"/>
      <c r="FZ29" s="2"/>
      <c r="GA29" s="581">
        <f t="shared" si="78"/>
        <v>56</v>
      </c>
      <c r="GB29" s="623">
        <f t="shared" si="79"/>
        <v>0</v>
      </c>
      <c r="GC29" s="625">
        <f t="shared" si="80"/>
        <v>-0.25</v>
      </c>
      <c r="GD29" s="626">
        <f t="shared" si="81"/>
        <v>-0.25</v>
      </c>
      <c r="GE29" s="624">
        <f t="shared" si="82"/>
        <v>0</v>
      </c>
      <c r="GF29" s="582" t="str">
        <f t="shared" si="83"/>
        <v>G86</v>
      </c>
      <c r="GG29" s="692">
        <v>0</v>
      </c>
      <c r="GH29" s="1136">
        <v>0</v>
      </c>
      <c r="GI29" s="692"/>
      <c r="GJ29" s="1136"/>
      <c r="GK29" s="1641">
        <f t="shared" si="84"/>
        <v>671.5</v>
      </c>
      <c r="GL29" s="1641">
        <f t="shared" si="85"/>
        <v>671.5</v>
      </c>
      <c r="GM29" s="1642">
        <f>IF(ABS(GK29-GL29)&gt;='Job Info.'!$L$22,ABS(GK29-GL29),0)</f>
        <v>0</v>
      </c>
      <c r="HA29" s="1242" t="s">
        <v>1482</v>
      </c>
      <c r="HB29" s="1243">
        <v>1</v>
      </c>
      <c r="HC29" s="1243" t="s">
        <v>1731</v>
      </c>
      <c r="HD29" s="1244">
        <v>56</v>
      </c>
      <c r="HE29" s="1245">
        <v>0</v>
      </c>
      <c r="HF29" s="1243">
        <v>7</v>
      </c>
      <c r="HG29" s="1243"/>
      <c r="HH29" s="1243"/>
      <c r="HI29" s="1243"/>
      <c r="HJ29" s="1243"/>
      <c r="HK29" s="1243"/>
      <c r="HL29" s="1243"/>
      <c r="HM29" s="1243"/>
      <c r="HN29" s="1243"/>
      <c r="HO29" s="1243"/>
      <c r="HP29" s="1243">
        <v>7</v>
      </c>
      <c r="HQ29" s="1243"/>
      <c r="HR29" s="1243"/>
      <c r="HS29" s="1243"/>
      <c r="HT29" s="1243"/>
      <c r="HU29" s="1243"/>
      <c r="HV29" s="1243"/>
      <c r="HW29" s="1243"/>
      <c r="HX29" s="1243"/>
      <c r="HY29" s="1247"/>
      <c r="HZ29" s="1247"/>
      <c r="IA29" s="1247" t="s">
        <v>1759</v>
      </c>
      <c r="IB29" s="1247"/>
      <c r="IC29" s="1247"/>
      <c r="ID29" s="1262">
        <v>11.125</v>
      </c>
      <c r="IE29" s="1242" t="s">
        <v>1482</v>
      </c>
      <c r="IF29" s="1243" t="s">
        <v>35</v>
      </c>
      <c r="IG29" s="1244">
        <v>8</v>
      </c>
      <c r="IH29" s="1245">
        <v>0</v>
      </c>
      <c r="II29" s="1243">
        <v>5</v>
      </c>
      <c r="IJ29" s="1244">
        <v>8</v>
      </c>
      <c r="IK29" s="1245">
        <v>0</v>
      </c>
      <c r="IL29" s="1243"/>
      <c r="IM29" s="1243"/>
      <c r="IN29" s="1243">
        <v>5</v>
      </c>
      <c r="IO29" s="1243">
        <v>13</v>
      </c>
      <c r="IP29" s="1243">
        <v>4</v>
      </c>
      <c r="IQ29" s="1243">
        <v>2</v>
      </c>
      <c r="IR29" s="1243">
        <v>2</v>
      </c>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5"/>
        <v>1</v>
      </c>
    </row>
    <row r="30" spans="1:272" s="145" customFormat="1" ht="12.6" customHeight="1" x14ac:dyDescent="0.25">
      <c r="A30" s="2683" t="str">
        <f t="shared" si="0"/>
        <v>G87</v>
      </c>
      <c r="B30" s="2684">
        <f t="shared" si="0"/>
        <v>4</v>
      </c>
      <c r="C30" s="2685" t="s">
        <v>1731</v>
      </c>
      <c r="D30" s="2686">
        <f t="shared" si="1"/>
        <v>55</v>
      </c>
      <c r="E30" s="2687">
        <f t="shared" si="2"/>
        <v>11.5</v>
      </c>
      <c r="F30" s="2688">
        <f t="shared" si="3"/>
        <v>11.125</v>
      </c>
      <c r="G30" s="2689">
        <f t="shared" si="4"/>
        <v>0</v>
      </c>
      <c r="H30" s="2690">
        <f t="shared" si="5"/>
        <v>2.75</v>
      </c>
      <c r="I30" s="2691" t="str">
        <f t="shared" si="6"/>
        <v>R</v>
      </c>
      <c r="J30" s="2686">
        <f t="shared" si="7"/>
        <v>0</v>
      </c>
      <c r="K30" s="2690">
        <f t="shared" si="8"/>
        <v>2.75</v>
      </c>
      <c r="L30" s="2692" t="str">
        <f t="shared" si="9"/>
        <v>R</v>
      </c>
      <c r="M30" s="2693">
        <f t="shared" si="10"/>
        <v>7.5</v>
      </c>
      <c r="N30" s="2694">
        <f t="shared" si="10"/>
        <v>7.5</v>
      </c>
      <c r="O30" s="2689">
        <f t="shared" si="11"/>
        <v>0</v>
      </c>
      <c r="P30" s="2690">
        <f t="shared" si="12"/>
        <v>7.75</v>
      </c>
      <c r="Q30" s="2686">
        <f t="shared" si="13"/>
        <v>0</v>
      </c>
      <c r="R30" s="2687">
        <f t="shared" si="14"/>
        <v>7.75</v>
      </c>
      <c r="S30" s="2695">
        <f t="shared" si="15"/>
        <v>0</v>
      </c>
      <c r="T30" s="2690">
        <f t="shared" si="16"/>
        <v>7.25</v>
      </c>
      <c r="U30" s="2686">
        <f t="shared" si="17"/>
        <v>0</v>
      </c>
      <c r="V30" s="2690">
        <f t="shared" si="18"/>
        <v>7.25</v>
      </c>
      <c r="W30" s="2694">
        <f t="shared" si="19"/>
        <v>5</v>
      </c>
      <c r="X30" s="2696" t="str">
        <f t="shared" si="20"/>
        <v/>
      </c>
      <c r="Y30" s="2697" t="str">
        <f t="shared" si="21"/>
        <v/>
      </c>
      <c r="Z30" s="2698" t="s">
        <v>1949</v>
      </c>
      <c r="AA30" s="2758" t="str">
        <f t="shared" si="22"/>
        <v/>
      </c>
      <c r="AB30" s="2683" t="str">
        <f t="shared" si="23"/>
        <v>G87</v>
      </c>
      <c r="AC30" s="2691" t="str">
        <f t="shared" si="24"/>
        <v>B</v>
      </c>
      <c r="AD30" s="2686">
        <f t="shared" ca="1" si="25"/>
        <v>7</v>
      </c>
      <c r="AE30" s="2690">
        <f t="shared" ca="1" si="26"/>
        <v>9</v>
      </c>
      <c r="AF30" s="2691">
        <f t="shared" ca="1" si="27"/>
        <v>5</v>
      </c>
      <c r="AG30" s="2686">
        <f t="shared" ca="1" si="28"/>
        <v>8</v>
      </c>
      <c r="AH30" s="2690">
        <f t="shared" ca="1" si="29"/>
        <v>0</v>
      </c>
      <c r="AI30" s="2686">
        <f t="shared" ca="1" si="30"/>
        <v>7</v>
      </c>
      <c r="AJ30" s="2690">
        <f t="shared" ca="1" si="31"/>
        <v>9</v>
      </c>
      <c r="AK30" s="2732" t="str">
        <f t="shared" si="32"/>
        <v/>
      </c>
      <c r="AL30" s="2733" t="str">
        <f t="shared" si="33"/>
        <v/>
      </c>
      <c r="AM30" s="2734">
        <f t="shared" si="32"/>
        <v>5</v>
      </c>
      <c r="AN30" s="2691">
        <f t="shared" si="32"/>
        <v>13</v>
      </c>
      <c r="AO30" s="2694">
        <f t="shared" si="32"/>
        <v>4</v>
      </c>
      <c r="AP30" s="2693">
        <f t="shared" si="34"/>
        <v>1.75</v>
      </c>
      <c r="AQ30" s="2736">
        <f t="shared" si="34"/>
        <v>1.75</v>
      </c>
      <c r="AR30" s="2689">
        <f t="shared" si="35"/>
        <v>1</v>
      </c>
      <c r="AS30" s="2690">
        <f t="shared" si="36"/>
        <v>0</v>
      </c>
      <c r="AT30" s="2737" t="str">
        <f t="shared" si="37"/>
        <v/>
      </c>
      <c r="AU30" s="2738" t="str">
        <f t="shared" si="38"/>
        <v>B</v>
      </c>
      <c r="AV30" s="2695">
        <f t="shared" si="39"/>
        <v>55</v>
      </c>
      <c r="AW30" s="2690">
        <f t="shared" si="40"/>
        <v>0</v>
      </c>
      <c r="AX30" s="2737" t="str">
        <f t="shared" si="41"/>
        <v/>
      </c>
      <c r="AY30" s="2738" t="str">
        <f t="shared" si="42"/>
        <v>B</v>
      </c>
      <c r="AZ30" s="2695" t="str">
        <f t="shared" si="43"/>
        <v/>
      </c>
      <c r="BA30" s="2690" t="str">
        <f t="shared" si="44"/>
        <v/>
      </c>
      <c r="BB30" s="2737" t="str">
        <f t="shared" si="45"/>
        <v/>
      </c>
      <c r="BC30" s="2738" t="str">
        <f t="shared" si="46"/>
        <v/>
      </c>
      <c r="BD30" s="2695" t="str">
        <f t="shared" si="47"/>
        <v/>
      </c>
      <c r="BE30" s="2690" t="str">
        <f t="shared" si="48"/>
        <v/>
      </c>
      <c r="BF30" s="2737" t="str">
        <f t="shared" si="49"/>
        <v/>
      </c>
      <c r="BG30" s="2738" t="str">
        <f t="shared" si="50"/>
        <v/>
      </c>
      <c r="BH30" s="1417"/>
      <c r="BJ30" s="995" t="str">
        <f t="shared" si="93"/>
        <v>G87</v>
      </c>
      <c r="BK30" s="993" t="b">
        <f t="shared" si="51"/>
        <v>0</v>
      </c>
      <c r="BL30" s="1784" t="b">
        <v>0</v>
      </c>
      <c r="BM30" s="989">
        <f t="shared" si="52"/>
        <v>52</v>
      </c>
      <c r="BN30" s="989" t="str">
        <f t="shared" si="53"/>
        <v>G</v>
      </c>
      <c r="BO30" s="989">
        <f t="shared" si="54"/>
        <v>7</v>
      </c>
      <c r="BP30" s="989" t="str">
        <f t="shared" si="55"/>
        <v>13/6</v>
      </c>
      <c r="BQ30" s="989">
        <f t="shared" si="56"/>
        <v>2.4</v>
      </c>
      <c r="BR30" s="989" t="b">
        <f t="shared" si="57"/>
        <v>1</v>
      </c>
      <c r="BS30" s="1303">
        <f t="shared" si="58"/>
        <v>8.75</v>
      </c>
      <c r="BT30" s="990" t="str">
        <f t="shared" si="59"/>
        <v>Yes</v>
      </c>
      <c r="BU30" s="1303">
        <f t="shared" si="60"/>
        <v>8.75</v>
      </c>
      <c r="BV30" s="990" t="str">
        <f t="shared" si="61"/>
        <v>Yes</v>
      </c>
      <c r="BW30" s="991">
        <f t="shared" ca="1" si="62"/>
        <v>20</v>
      </c>
      <c r="BX30" s="991" t="str">
        <f t="shared" ca="1" si="63"/>
        <v>G87</v>
      </c>
      <c r="BY30" s="991" t="b">
        <f t="shared" ca="1" si="64"/>
        <v>0</v>
      </c>
      <c r="BZ30" s="991" t="b">
        <f t="shared" si="86"/>
        <v>0</v>
      </c>
      <c r="CB30" s="672" t="s">
        <v>1483</v>
      </c>
      <c r="CC30" s="1685">
        <v>4</v>
      </c>
      <c r="CD30" s="699" t="s">
        <v>1731</v>
      </c>
      <c r="CE30" s="700">
        <v>56</v>
      </c>
      <c r="CF30" s="701">
        <v>0</v>
      </c>
      <c r="CG30" s="672">
        <v>7</v>
      </c>
      <c r="CH30" s="713"/>
      <c r="CI30" s="714"/>
      <c r="CJ30" s="713"/>
      <c r="CK30" s="714"/>
      <c r="CL30" s="715"/>
      <c r="CM30" s="743"/>
      <c r="CN30" s="738"/>
      <c r="CO30" s="1552"/>
      <c r="CP30" s="910"/>
      <c r="CQ30" s="672">
        <v>7</v>
      </c>
      <c r="CR30" s="713"/>
      <c r="CS30" s="714"/>
      <c r="CT30" s="713"/>
      <c r="CU30" s="714"/>
      <c r="CV30" s="715"/>
      <c r="CW30" s="743"/>
      <c r="CX30" s="738"/>
      <c r="CY30" s="1552"/>
      <c r="CZ30" s="910"/>
      <c r="DA30" s="717"/>
      <c r="DB30" s="702">
        <v>13</v>
      </c>
      <c r="DC30" s="703"/>
      <c r="DD30" s="725"/>
      <c r="DE30" s="726">
        <v>11.125</v>
      </c>
      <c r="DF30" s="141"/>
      <c r="DG30" s="141"/>
      <c r="DH30" s="672" t="s">
        <v>1483</v>
      </c>
      <c r="DI30" s="673" t="s">
        <v>35</v>
      </c>
      <c r="DJ30" s="692">
        <v>8</v>
      </c>
      <c r="DK30" s="1332">
        <v>0</v>
      </c>
      <c r="DL30" s="674">
        <v>5</v>
      </c>
      <c r="DM30" s="693">
        <v>8</v>
      </c>
      <c r="DN30" s="1335">
        <v>0</v>
      </c>
      <c r="DO30" s="675"/>
      <c r="DP30" s="676"/>
      <c r="DQ30" s="1420">
        <v>5</v>
      </c>
      <c r="DR30" s="677">
        <v>13</v>
      </c>
      <c r="DS30" s="1420">
        <v>4</v>
      </c>
      <c r="DT30" s="1422">
        <v>2</v>
      </c>
      <c r="DU30" s="1423">
        <v>2</v>
      </c>
      <c r="DV30" s="2661">
        <v>1</v>
      </c>
      <c r="DW30" s="2664">
        <v>0.25</v>
      </c>
      <c r="DX30" s="679"/>
      <c r="DY30" s="2665" t="s">
        <v>35</v>
      </c>
      <c r="DZ30" s="2661">
        <v>55</v>
      </c>
      <c r="EA30" s="2664">
        <v>0.25</v>
      </c>
      <c r="EB30" s="679"/>
      <c r="EC30" s="2665" t="s">
        <v>35</v>
      </c>
      <c r="ED30" s="678"/>
      <c r="EE30" s="1337"/>
      <c r="EF30" s="679"/>
      <c r="EG30" s="674"/>
      <c r="EH30" s="678"/>
      <c r="EI30" s="1337"/>
      <c r="EJ30" s="679"/>
      <c r="EK30" s="680"/>
      <c r="EL30" s="241"/>
      <c r="EM30" s="1632" t="str">
        <f t="shared" si="65"/>
        <v>G87</v>
      </c>
      <c r="EN30" s="1429" t="str">
        <f t="shared" si="66"/>
        <v/>
      </c>
      <c r="EO30" s="1430" t="str">
        <f t="shared" si="67"/>
        <v/>
      </c>
      <c r="EP30" s="1431" t="str">
        <f t="shared" si="68"/>
        <v/>
      </c>
      <c r="EQ30" s="1435" t="str">
        <f t="shared" si="69"/>
        <v/>
      </c>
      <c r="ER30" s="1441" t="str">
        <f t="shared" si="70"/>
        <v/>
      </c>
      <c r="ES30" s="1442" t="str">
        <f t="shared" si="71"/>
        <v/>
      </c>
      <c r="ET30" s="1443" t="str">
        <f t="shared" si="72"/>
        <v/>
      </c>
      <c r="EU30" s="1444" t="str">
        <f t="shared" si="87"/>
        <v/>
      </c>
      <c r="EX30" s="503" t="str">
        <f t="shared" ca="1" si="88"/>
        <v>G87B</v>
      </c>
      <c r="EY30" s="940" t="b">
        <f t="shared" ca="1" si="73"/>
        <v>1</v>
      </c>
      <c r="EZ30" s="940">
        <f t="shared" ca="1" si="89"/>
        <v>5</v>
      </c>
      <c r="FA30" s="958" t="b">
        <f t="shared" ca="1" si="94"/>
        <v>1</v>
      </c>
      <c r="FB30" s="134">
        <f t="shared" ca="1" si="90"/>
        <v>666</v>
      </c>
      <c r="FC30" s="134">
        <f t="shared" ca="1" si="74"/>
        <v>93</v>
      </c>
      <c r="FD30" s="134">
        <f t="shared" ca="1" si="75"/>
        <v>480</v>
      </c>
      <c r="FE30" s="134">
        <f t="shared" ca="1" si="76"/>
        <v>93</v>
      </c>
      <c r="FF30" s="134">
        <f t="shared" ca="1" si="91"/>
        <v>666</v>
      </c>
      <c r="FN30" s="754" t="b">
        <v>0</v>
      </c>
      <c r="FO30" s="755" t="b">
        <f t="shared" si="77"/>
        <v>1</v>
      </c>
      <c r="FP30" s="755" t="b">
        <v>0</v>
      </c>
      <c r="FQ30" s="755" t="b">
        <f t="shared" si="92"/>
        <v>1</v>
      </c>
      <c r="FW30" s="2"/>
      <c r="FX30" s="2"/>
      <c r="FZ30" s="2"/>
      <c r="GA30" s="581">
        <f t="shared" si="78"/>
        <v>56</v>
      </c>
      <c r="GB30" s="623">
        <f t="shared" si="79"/>
        <v>0</v>
      </c>
      <c r="GC30" s="625">
        <f t="shared" si="80"/>
        <v>-0.25</v>
      </c>
      <c r="GD30" s="626">
        <f t="shared" si="81"/>
        <v>-0.25</v>
      </c>
      <c r="GE30" s="624">
        <f t="shared" si="82"/>
        <v>0</v>
      </c>
      <c r="GF30" s="582" t="str">
        <f t="shared" si="83"/>
        <v>G87</v>
      </c>
      <c r="GG30" s="692">
        <v>0</v>
      </c>
      <c r="GH30" s="1136">
        <v>0</v>
      </c>
      <c r="GI30" s="692"/>
      <c r="GJ30" s="1136"/>
      <c r="GK30" s="1641">
        <f t="shared" si="84"/>
        <v>671.5</v>
      </c>
      <c r="GL30" s="1641">
        <f t="shared" si="85"/>
        <v>671.5</v>
      </c>
      <c r="GM30" s="1642">
        <f>IF(ABS(GK30-GL30)&gt;='Job Info.'!$L$22,ABS(GK30-GL30),0)</f>
        <v>0</v>
      </c>
      <c r="GZ30" s="130"/>
      <c r="HA30" s="1242" t="s">
        <v>1483</v>
      </c>
      <c r="HB30" s="1243">
        <v>4</v>
      </c>
      <c r="HC30" s="1243" t="s">
        <v>1731</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v>13</v>
      </c>
      <c r="IB30" s="1247"/>
      <c r="IC30" s="1247"/>
      <c r="ID30" s="1262">
        <v>11.125</v>
      </c>
      <c r="IE30" s="1242" t="s">
        <v>1483</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5"/>
        <v>1</v>
      </c>
    </row>
    <row r="31" spans="1:272" s="145" customFormat="1" ht="12.6" customHeight="1" x14ac:dyDescent="0.25">
      <c r="A31" s="2683" t="str">
        <f t="shared" si="0"/>
        <v>G88</v>
      </c>
      <c r="B31" s="2684">
        <f t="shared" si="0"/>
        <v>1</v>
      </c>
      <c r="C31" s="2685" t="s">
        <v>1731</v>
      </c>
      <c r="D31" s="2686">
        <f t="shared" si="1"/>
        <v>55</v>
      </c>
      <c r="E31" s="2687">
        <f t="shared" si="2"/>
        <v>11.5</v>
      </c>
      <c r="F31" s="2688">
        <f t="shared" si="3"/>
        <v>11.125</v>
      </c>
      <c r="G31" s="2689">
        <f t="shared" si="4"/>
        <v>0</v>
      </c>
      <c r="H31" s="2690">
        <f t="shared" si="5"/>
        <v>2.75</v>
      </c>
      <c r="I31" s="2691" t="str">
        <f t="shared" si="6"/>
        <v>R</v>
      </c>
      <c r="J31" s="2686">
        <f t="shared" si="7"/>
        <v>0</v>
      </c>
      <c r="K31" s="2690">
        <f t="shared" si="8"/>
        <v>2.75</v>
      </c>
      <c r="L31" s="2692" t="str">
        <f t="shared" si="9"/>
        <v>R</v>
      </c>
      <c r="M31" s="2693">
        <f t="shared" si="10"/>
        <v>7.5</v>
      </c>
      <c r="N31" s="2694">
        <f t="shared" si="10"/>
        <v>7.5</v>
      </c>
      <c r="O31" s="2689">
        <f t="shared" si="11"/>
        <v>0</v>
      </c>
      <c r="P31" s="2690">
        <f t="shared" si="12"/>
        <v>7.75</v>
      </c>
      <c r="Q31" s="2686">
        <f t="shared" si="13"/>
        <v>0</v>
      </c>
      <c r="R31" s="2687">
        <f t="shared" si="14"/>
        <v>7.75</v>
      </c>
      <c r="S31" s="2695">
        <f t="shared" si="15"/>
        <v>0</v>
      </c>
      <c r="T31" s="2690">
        <f t="shared" si="16"/>
        <v>7.25</v>
      </c>
      <c r="U31" s="2686">
        <f t="shared" si="17"/>
        <v>0</v>
      </c>
      <c r="V31" s="2690">
        <f t="shared" si="18"/>
        <v>7.25</v>
      </c>
      <c r="W31" s="2694">
        <f t="shared" si="19"/>
        <v>5</v>
      </c>
      <c r="X31" s="2696" t="str">
        <f t="shared" si="20"/>
        <v/>
      </c>
      <c r="Y31" s="2697" t="str">
        <f t="shared" si="21"/>
        <v/>
      </c>
      <c r="Z31" s="2698" t="s">
        <v>1950</v>
      </c>
      <c r="AA31" s="2758" t="str">
        <f t="shared" si="22"/>
        <v/>
      </c>
      <c r="AB31" s="2683" t="str">
        <f t="shared" si="23"/>
        <v>G88</v>
      </c>
      <c r="AC31" s="2691" t="str">
        <f t="shared" si="24"/>
        <v>B</v>
      </c>
      <c r="AD31" s="2686">
        <f t="shared" ca="1" si="25"/>
        <v>7</v>
      </c>
      <c r="AE31" s="2690">
        <f t="shared" ca="1" si="26"/>
        <v>9</v>
      </c>
      <c r="AF31" s="2691">
        <f t="shared" ca="1" si="27"/>
        <v>5</v>
      </c>
      <c r="AG31" s="2686">
        <f t="shared" ca="1" si="28"/>
        <v>8</v>
      </c>
      <c r="AH31" s="2690">
        <f t="shared" ca="1" si="29"/>
        <v>0</v>
      </c>
      <c r="AI31" s="2686">
        <f t="shared" ca="1" si="30"/>
        <v>7</v>
      </c>
      <c r="AJ31" s="2690">
        <f t="shared" ca="1" si="31"/>
        <v>9</v>
      </c>
      <c r="AK31" s="2732" t="str">
        <f t="shared" si="32"/>
        <v/>
      </c>
      <c r="AL31" s="2733" t="str">
        <f t="shared" si="33"/>
        <v/>
      </c>
      <c r="AM31" s="2734">
        <f t="shared" si="32"/>
        <v>5</v>
      </c>
      <c r="AN31" s="2691">
        <f t="shared" si="32"/>
        <v>13</v>
      </c>
      <c r="AO31" s="2694">
        <f t="shared" si="32"/>
        <v>4</v>
      </c>
      <c r="AP31" s="2693">
        <f t="shared" si="34"/>
        <v>1.75</v>
      </c>
      <c r="AQ31" s="2736">
        <f t="shared" si="34"/>
        <v>1.75</v>
      </c>
      <c r="AR31" s="2689">
        <f t="shared" si="35"/>
        <v>1</v>
      </c>
      <c r="AS31" s="2690">
        <f t="shared" si="36"/>
        <v>0</v>
      </c>
      <c r="AT31" s="2737" t="str">
        <f t="shared" si="37"/>
        <v/>
      </c>
      <c r="AU31" s="2738" t="str">
        <f t="shared" si="38"/>
        <v>B</v>
      </c>
      <c r="AV31" s="2695">
        <f t="shared" si="39"/>
        <v>55</v>
      </c>
      <c r="AW31" s="2690">
        <f t="shared" si="40"/>
        <v>0</v>
      </c>
      <c r="AX31" s="2737" t="str">
        <f t="shared" si="41"/>
        <v/>
      </c>
      <c r="AY31" s="2738" t="str">
        <f t="shared" si="42"/>
        <v>B</v>
      </c>
      <c r="AZ31" s="2695" t="str">
        <f t="shared" si="43"/>
        <v/>
      </c>
      <c r="BA31" s="2690" t="str">
        <f t="shared" si="44"/>
        <v/>
      </c>
      <c r="BB31" s="2737" t="str">
        <f t="shared" si="45"/>
        <v/>
      </c>
      <c r="BC31" s="2738" t="str">
        <f t="shared" si="46"/>
        <v/>
      </c>
      <c r="BD31" s="2695" t="str">
        <f t="shared" si="47"/>
        <v/>
      </c>
      <c r="BE31" s="2690" t="str">
        <f t="shared" si="48"/>
        <v/>
      </c>
      <c r="BF31" s="2737" t="str">
        <f t="shared" si="49"/>
        <v/>
      </c>
      <c r="BG31" s="2738" t="str">
        <f t="shared" si="50"/>
        <v/>
      </c>
      <c r="BH31" s="1417"/>
      <c r="BJ31" s="995" t="str">
        <f t="shared" si="93"/>
        <v>G88</v>
      </c>
      <c r="BK31" s="993" t="b">
        <f t="shared" si="51"/>
        <v>0</v>
      </c>
      <c r="BL31" s="1784" t="b">
        <v>0</v>
      </c>
      <c r="BM31" s="989">
        <f t="shared" si="52"/>
        <v>52</v>
      </c>
      <c r="BN31" s="989" t="str">
        <f t="shared" si="53"/>
        <v>G</v>
      </c>
      <c r="BO31" s="989">
        <f t="shared" si="54"/>
        <v>7</v>
      </c>
      <c r="BP31" s="989" t="str">
        <f t="shared" si="55"/>
        <v>13/6</v>
      </c>
      <c r="BQ31" s="989">
        <f t="shared" si="56"/>
        <v>2.4</v>
      </c>
      <c r="BR31" s="989" t="b">
        <f t="shared" si="57"/>
        <v>1</v>
      </c>
      <c r="BS31" s="1303">
        <f t="shared" si="58"/>
        <v>8.75</v>
      </c>
      <c r="BT31" s="990" t="str">
        <f t="shared" si="59"/>
        <v>Yes</v>
      </c>
      <c r="BU31" s="1303">
        <f t="shared" si="60"/>
        <v>8.75</v>
      </c>
      <c r="BV31" s="990" t="str">
        <f t="shared" si="61"/>
        <v>Yes</v>
      </c>
      <c r="BW31" s="991">
        <f t="shared" ca="1" si="62"/>
        <v>20</v>
      </c>
      <c r="BX31" s="991" t="str">
        <f t="shared" ca="1" si="63"/>
        <v>G88</v>
      </c>
      <c r="BY31" s="991" t="b">
        <f t="shared" ca="1" si="64"/>
        <v>0</v>
      </c>
      <c r="BZ31" s="991" t="b">
        <f t="shared" si="86"/>
        <v>0</v>
      </c>
      <c r="CB31" s="672" t="s">
        <v>1484</v>
      </c>
      <c r="CC31" s="1685">
        <v>1</v>
      </c>
      <c r="CD31" s="699" t="s">
        <v>1731</v>
      </c>
      <c r="CE31" s="700">
        <v>56</v>
      </c>
      <c r="CF31" s="701">
        <v>0</v>
      </c>
      <c r="CG31" s="672">
        <v>7</v>
      </c>
      <c r="CH31" s="713"/>
      <c r="CI31" s="714"/>
      <c r="CJ31" s="713"/>
      <c r="CK31" s="714"/>
      <c r="CL31" s="715"/>
      <c r="CM31" s="743"/>
      <c r="CN31" s="738"/>
      <c r="CO31" s="1552"/>
      <c r="CP31" s="910"/>
      <c r="CQ31" s="672">
        <v>7</v>
      </c>
      <c r="CR31" s="713"/>
      <c r="CS31" s="714"/>
      <c r="CT31" s="713"/>
      <c r="CU31" s="714"/>
      <c r="CV31" s="715"/>
      <c r="CW31" s="743"/>
      <c r="CX31" s="738"/>
      <c r="CY31" s="1552"/>
      <c r="CZ31" s="910"/>
      <c r="DA31" s="717"/>
      <c r="DB31" s="702" t="s">
        <v>1760</v>
      </c>
      <c r="DC31" s="703" t="s">
        <v>34</v>
      </c>
      <c r="DD31" s="725"/>
      <c r="DE31" s="726">
        <v>11.125</v>
      </c>
      <c r="DF31" s="141"/>
      <c r="DG31" s="141"/>
      <c r="DH31" s="672" t="s">
        <v>1484</v>
      </c>
      <c r="DI31" s="673" t="s">
        <v>35</v>
      </c>
      <c r="DJ31" s="692">
        <v>8</v>
      </c>
      <c r="DK31" s="1332">
        <v>0</v>
      </c>
      <c r="DL31" s="674">
        <v>5</v>
      </c>
      <c r="DM31" s="693">
        <v>8</v>
      </c>
      <c r="DN31" s="1335">
        <v>0</v>
      </c>
      <c r="DO31" s="675"/>
      <c r="DP31" s="676"/>
      <c r="DQ31" s="1420">
        <v>5</v>
      </c>
      <c r="DR31" s="677">
        <v>13</v>
      </c>
      <c r="DS31" s="1420">
        <v>4</v>
      </c>
      <c r="DT31" s="1422">
        <v>2</v>
      </c>
      <c r="DU31" s="1423">
        <v>2</v>
      </c>
      <c r="DV31" s="2661">
        <v>1</v>
      </c>
      <c r="DW31" s="2664">
        <v>0.25</v>
      </c>
      <c r="DX31" s="679"/>
      <c r="DY31" s="2665" t="s">
        <v>35</v>
      </c>
      <c r="DZ31" s="2661">
        <v>55</v>
      </c>
      <c r="EA31" s="2664">
        <v>0.25</v>
      </c>
      <c r="EB31" s="679"/>
      <c r="EC31" s="2665" t="s">
        <v>35</v>
      </c>
      <c r="ED31" s="678"/>
      <c r="EE31" s="1337"/>
      <c r="EF31" s="679"/>
      <c r="EG31" s="674"/>
      <c r="EH31" s="678"/>
      <c r="EI31" s="1337"/>
      <c r="EJ31" s="679"/>
      <c r="EK31" s="680"/>
      <c r="EL31" s="241"/>
      <c r="EM31" s="1632" t="str">
        <f t="shared" si="65"/>
        <v>G88</v>
      </c>
      <c r="EN31" s="1429" t="str">
        <f t="shared" si="66"/>
        <v/>
      </c>
      <c r="EO31" s="1430" t="str">
        <f t="shared" si="67"/>
        <v/>
      </c>
      <c r="EP31" s="1431" t="str">
        <f t="shared" si="68"/>
        <v/>
      </c>
      <c r="EQ31" s="1435" t="str">
        <f t="shared" si="69"/>
        <v/>
      </c>
      <c r="ER31" s="1441" t="str">
        <f t="shared" si="70"/>
        <v/>
      </c>
      <c r="ES31" s="1442" t="str">
        <f t="shared" si="71"/>
        <v/>
      </c>
      <c r="ET31" s="1443" t="str">
        <f t="shared" si="72"/>
        <v/>
      </c>
      <c r="EU31" s="1444" t="str">
        <f t="shared" si="87"/>
        <v/>
      </c>
      <c r="EX31" s="503" t="str">
        <f t="shared" ca="1" si="88"/>
        <v>G88B</v>
      </c>
      <c r="EY31" s="940" t="b">
        <f t="shared" ca="1" si="73"/>
        <v>1</v>
      </c>
      <c r="EZ31" s="940">
        <f t="shared" ca="1" si="89"/>
        <v>5</v>
      </c>
      <c r="FA31" s="958" t="b">
        <f t="shared" ca="1" si="94"/>
        <v>1</v>
      </c>
      <c r="FB31" s="134">
        <f t="shared" ca="1" si="90"/>
        <v>666</v>
      </c>
      <c r="FC31" s="134">
        <f t="shared" ca="1" si="74"/>
        <v>93</v>
      </c>
      <c r="FD31" s="134">
        <f t="shared" ca="1" si="75"/>
        <v>480</v>
      </c>
      <c r="FE31" s="134">
        <f t="shared" ca="1" si="76"/>
        <v>93</v>
      </c>
      <c r="FF31" s="134">
        <f t="shared" ca="1" si="91"/>
        <v>666</v>
      </c>
      <c r="FN31" s="754" t="b">
        <v>0</v>
      </c>
      <c r="FO31" s="755" t="b">
        <f t="shared" si="77"/>
        <v>1</v>
      </c>
      <c r="FP31" s="755" t="b">
        <v>0</v>
      </c>
      <c r="FQ31" s="755" t="b">
        <f t="shared" si="92"/>
        <v>1</v>
      </c>
      <c r="FW31" s="2"/>
      <c r="FX31" s="2"/>
      <c r="FZ31" s="2"/>
      <c r="GA31" s="581">
        <f t="shared" si="78"/>
        <v>56</v>
      </c>
      <c r="GB31" s="623">
        <f t="shared" si="79"/>
        <v>0</v>
      </c>
      <c r="GC31" s="625">
        <f t="shared" si="80"/>
        <v>-0.25</v>
      </c>
      <c r="GD31" s="626">
        <f t="shared" si="81"/>
        <v>-0.25</v>
      </c>
      <c r="GE31" s="624">
        <f t="shared" si="82"/>
        <v>0</v>
      </c>
      <c r="GF31" s="582" t="str">
        <f t="shared" si="83"/>
        <v>G88</v>
      </c>
      <c r="GG31" s="692">
        <v>0</v>
      </c>
      <c r="GH31" s="1136">
        <v>0</v>
      </c>
      <c r="GI31" s="692"/>
      <c r="GJ31" s="1136"/>
      <c r="GK31" s="1641">
        <f t="shared" si="84"/>
        <v>671.5</v>
      </c>
      <c r="GL31" s="1641">
        <f t="shared" si="85"/>
        <v>671.5</v>
      </c>
      <c r="GM31" s="1642">
        <f>IF(ABS(GK31-GL31)&gt;='Job Info.'!$L$22,ABS(GK31-GL31),0)</f>
        <v>0</v>
      </c>
      <c r="GZ31" s="130"/>
      <c r="HA31" s="1242" t="s">
        <v>1484</v>
      </c>
      <c r="HB31" s="1243">
        <v>1</v>
      </c>
      <c r="HC31" s="1243" t="s">
        <v>1731</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1760</v>
      </c>
      <c r="IB31" s="1247" t="s">
        <v>34</v>
      </c>
      <c r="IC31" s="1247"/>
      <c r="ID31" s="1262">
        <v>11.125</v>
      </c>
      <c r="IE31" s="1242" t="s">
        <v>1484</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5"/>
        <v>1</v>
      </c>
    </row>
    <row r="32" spans="1:272" ht="12.6" customHeight="1" x14ac:dyDescent="0.25">
      <c r="A32" s="2683" t="str">
        <f t="shared" si="0"/>
        <v>G89</v>
      </c>
      <c r="B32" s="2684">
        <f t="shared" si="0"/>
        <v>1</v>
      </c>
      <c r="C32" s="2685" t="s">
        <v>1729</v>
      </c>
      <c r="D32" s="2686">
        <f t="shared" si="1"/>
        <v>59</v>
      </c>
      <c r="E32" s="2687">
        <f t="shared" si="2"/>
        <v>11.5</v>
      </c>
      <c r="F32" s="2688">
        <f t="shared" si="3"/>
        <v>11.125</v>
      </c>
      <c r="G32" s="2689">
        <f t="shared" si="4"/>
        <v>0</v>
      </c>
      <c r="H32" s="2690">
        <f t="shared" si="5"/>
        <v>2.75</v>
      </c>
      <c r="I32" s="2691" t="str">
        <f t="shared" si="6"/>
        <v>R</v>
      </c>
      <c r="J32" s="2686">
        <f t="shared" si="7"/>
        <v>0</v>
      </c>
      <c r="K32" s="2690">
        <f t="shared" si="8"/>
        <v>2.75</v>
      </c>
      <c r="L32" s="2692" t="str">
        <f t="shared" si="9"/>
        <v>R</v>
      </c>
      <c r="M32" s="2693">
        <f t="shared" si="10"/>
        <v>7.5</v>
      </c>
      <c r="N32" s="2694">
        <f t="shared" si="10"/>
        <v>7.5</v>
      </c>
      <c r="O32" s="2689">
        <f t="shared" si="11"/>
        <v>0</v>
      </c>
      <c r="P32" s="2690">
        <f t="shared" si="12"/>
        <v>7.75</v>
      </c>
      <c r="Q32" s="2686">
        <f t="shared" si="13"/>
        <v>0</v>
      </c>
      <c r="R32" s="2687">
        <f t="shared" si="14"/>
        <v>7.75</v>
      </c>
      <c r="S32" s="2695">
        <f t="shared" si="15"/>
        <v>0</v>
      </c>
      <c r="T32" s="2690">
        <f t="shared" si="16"/>
        <v>7.25</v>
      </c>
      <c r="U32" s="2686">
        <f t="shared" si="17"/>
        <v>0</v>
      </c>
      <c r="V32" s="2690">
        <f t="shared" si="18"/>
        <v>7.25</v>
      </c>
      <c r="W32" s="2694">
        <f t="shared" si="19"/>
        <v>5</v>
      </c>
      <c r="X32" s="2696" t="str">
        <f t="shared" si="20"/>
        <v/>
      </c>
      <c r="Y32" s="2697" t="str">
        <f t="shared" si="21"/>
        <v/>
      </c>
      <c r="Z32" s="2698" t="s">
        <v>1951</v>
      </c>
      <c r="AA32" s="2758" t="str">
        <f t="shared" si="22"/>
        <v/>
      </c>
      <c r="AB32" s="2683" t="str">
        <f t="shared" si="23"/>
        <v>G89</v>
      </c>
      <c r="AC32" s="2691" t="str">
        <f t="shared" si="24"/>
        <v>B</v>
      </c>
      <c r="AD32" s="2686">
        <f t="shared" ca="1" si="25"/>
        <v>7</v>
      </c>
      <c r="AE32" s="2690">
        <f t="shared" ca="1" si="26"/>
        <v>9</v>
      </c>
      <c r="AF32" s="2691">
        <f t="shared" ca="1" si="27"/>
        <v>6</v>
      </c>
      <c r="AG32" s="2686">
        <f t="shared" ca="1" si="28"/>
        <v>8</v>
      </c>
      <c r="AH32" s="2690">
        <f t="shared" ca="1" si="29"/>
        <v>0</v>
      </c>
      <c r="AI32" s="2686">
        <f t="shared" ca="1" si="30"/>
        <v>3</v>
      </c>
      <c r="AJ32" s="2690">
        <f t="shared" ca="1" si="31"/>
        <v>9</v>
      </c>
      <c r="AK32" s="2732" t="str">
        <f t="shared" si="32"/>
        <v/>
      </c>
      <c r="AL32" s="2733" t="str">
        <f t="shared" si="33"/>
        <v/>
      </c>
      <c r="AM32" s="2734">
        <f t="shared" si="32"/>
        <v>5</v>
      </c>
      <c r="AN32" s="2691">
        <f t="shared" si="32"/>
        <v>13</v>
      </c>
      <c r="AO32" s="2694">
        <f t="shared" si="32"/>
        <v>4</v>
      </c>
      <c r="AP32" s="2693">
        <f t="shared" si="34"/>
        <v>1.75</v>
      </c>
      <c r="AQ32" s="2736" t="str">
        <f t="shared" si="34"/>
        <v/>
      </c>
      <c r="AR32" s="2689" t="str">
        <f t="shared" si="35"/>
        <v>P</v>
      </c>
      <c r="AS32" s="2690" t="str">
        <f t="shared" si="36"/>
        <v>#7</v>
      </c>
      <c r="AT32" s="2737" t="str">
        <f t="shared" si="37"/>
        <v/>
      </c>
      <c r="AU32" s="2738" t="str">
        <f t="shared" si="38"/>
        <v>B</v>
      </c>
      <c r="AV32" s="2695">
        <f t="shared" si="39"/>
        <v>1</v>
      </c>
      <c r="AW32" s="2690">
        <f t="shared" si="40"/>
        <v>0</v>
      </c>
      <c r="AX32" s="2737" t="str">
        <f t="shared" si="41"/>
        <v/>
      </c>
      <c r="AY32" s="2738" t="str">
        <f t="shared" si="42"/>
        <v>B</v>
      </c>
      <c r="AZ32" s="2695" t="str">
        <f t="shared" si="43"/>
        <v/>
      </c>
      <c r="BA32" s="2690" t="str">
        <f t="shared" si="44"/>
        <v/>
      </c>
      <c r="BB32" s="2737" t="str">
        <f t="shared" si="45"/>
        <v/>
      </c>
      <c r="BC32" s="2738" t="str">
        <f t="shared" si="46"/>
        <v/>
      </c>
      <c r="BD32" s="2695" t="str">
        <f t="shared" si="47"/>
        <v/>
      </c>
      <c r="BE32" s="2690" t="str">
        <f t="shared" si="48"/>
        <v/>
      </c>
      <c r="BF32" s="2737" t="str">
        <f t="shared" si="49"/>
        <v/>
      </c>
      <c r="BG32" s="2738" t="str">
        <f t="shared" si="50"/>
        <v/>
      </c>
      <c r="BH32" s="1417"/>
      <c r="BJ32" s="995" t="str">
        <f t="shared" si="93"/>
        <v>G89</v>
      </c>
      <c r="BK32" s="993" t="b">
        <f t="shared" si="51"/>
        <v>0</v>
      </c>
      <c r="BL32" s="1784" t="b">
        <v>0</v>
      </c>
      <c r="BM32" s="989">
        <f t="shared" si="52"/>
        <v>52</v>
      </c>
      <c r="BN32" s="989" t="str">
        <f t="shared" si="53"/>
        <v>G</v>
      </c>
      <c r="BO32" s="989">
        <f t="shared" si="54"/>
        <v>8</v>
      </c>
      <c r="BP32" s="989" t="str">
        <f t="shared" si="55"/>
        <v>13/6</v>
      </c>
      <c r="BQ32" s="989">
        <f t="shared" si="56"/>
        <v>2.4</v>
      </c>
      <c r="BR32" s="989" t="b">
        <f t="shared" si="57"/>
        <v>1</v>
      </c>
      <c r="BS32" s="1303">
        <f t="shared" si="58"/>
        <v>8.75</v>
      </c>
      <c r="BT32" s="990" t="str">
        <f t="shared" si="59"/>
        <v>Yes</v>
      </c>
      <c r="BU32" s="1303">
        <f t="shared" si="60"/>
        <v>8.75</v>
      </c>
      <c r="BV32" s="990" t="str">
        <f t="shared" si="61"/>
        <v>Yes</v>
      </c>
      <c r="BW32" s="991">
        <f t="shared" ca="1" si="62"/>
        <v>19</v>
      </c>
      <c r="BX32" s="991" t="str">
        <f t="shared" ca="1" si="63"/>
        <v>G89</v>
      </c>
      <c r="BY32" s="991" t="b">
        <f t="shared" ca="1" si="64"/>
        <v>0</v>
      </c>
      <c r="BZ32" s="991" t="b">
        <f t="shared" si="86"/>
        <v>0</v>
      </c>
      <c r="CB32" s="672" t="s">
        <v>1485</v>
      </c>
      <c r="CC32" s="1685">
        <v>1</v>
      </c>
      <c r="CD32" s="699" t="s">
        <v>1729</v>
      </c>
      <c r="CE32" s="700">
        <v>60</v>
      </c>
      <c r="CF32" s="701">
        <v>0</v>
      </c>
      <c r="CG32" s="672">
        <v>7</v>
      </c>
      <c r="CH32" s="713"/>
      <c r="CI32" s="714"/>
      <c r="CJ32" s="713"/>
      <c r="CK32" s="714"/>
      <c r="CL32" s="715"/>
      <c r="CM32" s="743"/>
      <c r="CN32" s="738"/>
      <c r="CO32" s="1552"/>
      <c r="CP32" s="910"/>
      <c r="CQ32" s="672">
        <v>7</v>
      </c>
      <c r="CR32" s="713"/>
      <c r="CS32" s="714"/>
      <c r="CT32" s="713"/>
      <c r="CU32" s="714"/>
      <c r="CV32" s="715"/>
      <c r="CW32" s="743"/>
      <c r="CX32" s="738"/>
      <c r="CY32" s="1552"/>
      <c r="CZ32" s="910"/>
      <c r="DA32" s="717"/>
      <c r="DB32" s="702">
        <v>12</v>
      </c>
      <c r="DC32" s="703"/>
      <c r="DD32" s="725"/>
      <c r="DE32" s="726">
        <v>11.125</v>
      </c>
      <c r="DF32" s="141"/>
      <c r="DG32" s="141"/>
      <c r="DH32" s="672" t="s">
        <v>1485</v>
      </c>
      <c r="DI32" s="673" t="s">
        <v>35</v>
      </c>
      <c r="DJ32" s="692">
        <v>8</v>
      </c>
      <c r="DK32" s="1332">
        <v>0</v>
      </c>
      <c r="DL32" s="674">
        <v>6</v>
      </c>
      <c r="DM32" s="693">
        <v>8</v>
      </c>
      <c r="DN32" s="1335">
        <v>0</v>
      </c>
      <c r="DO32" s="675"/>
      <c r="DP32" s="676"/>
      <c r="DQ32" s="1420">
        <v>5</v>
      </c>
      <c r="DR32" s="677">
        <v>13</v>
      </c>
      <c r="DS32" s="1420">
        <v>4</v>
      </c>
      <c r="DT32" s="1422">
        <v>2</v>
      </c>
      <c r="DU32" s="1423"/>
      <c r="DV32" s="678" t="s">
        <v>1018</v>
      </c>
      <c r="DW32" s="1337" t="s">
        <v>1739</v>
      </c>
      <c r="DX32" s="679"/>
      <c r="DY32" s="674" t="s">
        <v>35</v>
      </c>
      <c r="DZ32" s="2661">
        <v>1</v>
      </c>
      <c r="EA32" s="2664">
        <v>0.25</v>
      </c>
      <c r="EB32" s="679"/>
      <c r="EC32" s="2665" t="s">
        <v>35</v>
      </c>
      <c r="ED32" s="678"/>
      <c r="EE32" s="1337"/>
      <c r="EF32" s="679"/>
      <c r="EG32" s="674"/>
      <c r="EH32" s="678"/>
      <c r="EI32" s="1337"/>
      <c r="EJ32" s="679"/>
      <c r="EK32" s="680"/>
      <c r="EL32" s="241"/>
      <c r="EM32" s="1632" t="str">
        <f t="shared" si="65"/>
        <v>G89</v>
      </c>
      <c r="EN32" s="1429" t="str">
        <f t="shared" si="66"/>
        <v/>
      </c>
      <c r="EO32" s="1430" t="str">
        <f t="shared" si="67"/>
        <v/>
      </c>
      <c r="EP32" s="1431" t="str">
        <f t="shared" si="68"/>
        <v/>
      </c>
      <c r="EQ32" s="1435" t="str">
        <f t="shared" si="69"/>
        <v/>
      </c>
      <c r="ER32" s="1441" t="str">
        <f t="shared" si="70"/>
        <v/>
      </c>
      <c r="ES32" s="1442" t="str">
        <f t="shared" si="71"/>
        <v/>
      </c>
      <c r="ET32" s="1443" t="str">
        <f t="shared" si="72"/>
        <v/>
      </c>
      <c r="EU32" s="1444" t="str">
        <f t="shared" si="87"/>
        <v/>
      </c>
      <c r="EX32" s="503" t="str">
        <f t="shared" ca="1" si="88"/>
        <v>G89B</v>
      </c>
      <c r="EY32" s="940" t="b">
        <f t="shared" ca="1" si="73"/>
        <v>1</v>
      </c>
      <c r="EZ32" s="940">
        <f t="shared" ca="1" si="89"/>
        <v>5</v>
      </c>
      <c r="FA32" s="958" t="b">
        <f t="shared" ca="1" si="94"/>
        <v>1</v>
      </c>
      <c r="FB32" s="134">
        <f t="shared" ca="1" si="90"/>
        <v>714</v>
      </c>
      <c r="FC32" s="134">
        <f t="shared" ca="1" si="74"/>
        <v>93</v>
      </c>
      <c r="FD32" s="134">
        <f t="shared" ca="1" si="75"/>
        <v>576</v>
      </c>
      <c r="FE32" s="134">
        <f t="shared" ca="1" si="76"/>
        <v>45</v>
      </c>
      <c r="FF32" s="134">
        <f t="shared" ca="1" si="91"/>
        <v>714</v>
      </c>
      <c r="FN32" s="754" t="b">
        <v>0</v>
      </c>
      <c r="FO32" s="754" t="b">
        <f t="shared" si="77"/>
        <v>1</v>
      </c>
      <c r="FP32" s="754" t="b">
        <v>0</v>
      </c>
      <c r="FQ32" s="754" t="b">
        <f t="shared" si="92"/>
        <v>1</v>
      </c>
      <c r="FW32" s="2"/>
      <c r="FX32" s="2"/>
      <c r="FZ32" s="2"/>
      <c r="GA32" s="581">
        <f t="shared" si="78"/>
        <v>60</v>
      </c>
      <c r="GB32" s="623">
        <f t="shared" si="79"/>
        <v>0</v>
      </c>
      <c r="GC32" s="625">
        <f t="shared" si="80"/>
        <v>-0.25</v>
      </c>
      <c r="GD32" s="626">
        <f t="shared" si="81"/>
        <v>-0.25</v>
      </c>
      <c r="GE32" s="624">
        <f t="shared" si="82"/>
        <v>0</v>
      </c>
      <c r="GF32" s="582" t="str">
        <f t="shared" si="83"/>
        <v>G89</v>
      </c>
      <c r="GG32" s="692">
        <v>0</v>
      </c>
      <c r="GH32" s="1136">
        <v>0</v>
      </c>
      <c r="GI32" s="692"/>
      <c r="GJ32" s="1136"/>
      <c r="GK32" s="1641">
        <f t="shared" si="84"/>
        <v>719.5</v>
      </c>
      <c r="GL32" s="1641">
        <f t="shared" si="85"/>
        <v>719.5</v>
      </c>
      <c r="GM32" s="1642">
        <f>IF(ABS(GK32-GL32)&gt;='Job Info.'!$L$22,ABS(GK32-GL32),0)</f>
        <v>0</v>
      </c>
      <c r="HA32" s="1242" t="s">
        <v>1485</v>
      </c>
      <c r="HB32" s="1243">
        <v>1</v>
      </c>
      <c r="HC32" s="1243" t="s">
        <v>1729</v>
      </c>
      <c r="HD32" s="1244">
        <v>60</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12</v>
      </c>
      <c r="IB32" s="1247"/>
      <c r="IC32" s="1247"/>
      <c r="ID32" s="1262">
        <v>11.125</v>
      </c>
      <c r="IE32" s="1242" t="s">
        <v>1485</v>
      </c>
      <c r="IF32" s="1243" t="s">
        <v>35</v>
      </c>
      <c r="IG32" s="1244">
        <v>8</v>
      </c>
      <c r="IH32" s="1245">
        <v>0</v>
      </c>
      <c r="II32" s="1243">
        <v>6</v>
      </c>
      <c r="IJ32" s="1244">
        <v>8</v>
      </c>
      <c r="IK32" s="1245">
        <v>0</v>
      </c>
      <c r="IL32" s="1243"/>
      <c r="IM32" s="1243"/>
      <c r="IN32" s="1243">
        <v>5</v>
      </c>
      <c r="IO32" s="1243">
        <v>13</v>
      </c>
      <c r="IP32" s="1243">
        <v>4</v>
      </c>
      <c r="IQ32" s="1243">
        <v>2</v>
      </c>
      <c r="IR32" s="1243"/>
      <c r="IS32" s="1244" t="s">
        <v>1018</v>
      </c>
      <c r="IT32" s="1245" t="s">
        <v>1739</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5"/>
        <v>1</v>
      </c>
    </row>
    <row r="33" spans="1:272" ht="12.6" customHeight="1" x14ac:dyDescent="0.25">
      <c r="A33" s="2683" t="str">
        <f t="shared" si="0"/>
        <v/>
      </c>
      <c r="B33" s="2684" t="str">
        <f t="shared" si="0"/>
        <v/>
      </c>
      <c r="C33" s="2685"/>
      <c r="D33" s="2686" t="str">
        <f t="shared" si="1"/>
        <v/>
      </c>
      <c r="E33" s="2687" t="str">
        <f t="shared" si="2"/>
        <v/>
      </c>
      <c r="F33" s="2688" t="str">
        <f t="shared" si="3"/>
        <v/>
      </c>
      <c r="G33" s="2689" t="str">
        <f t="shared" si="4"/>
        <v/>
      </c>
      <c r="H33" s="2690" t="str">
        <f t="shared" si="5"/>
        <v/>
      </c>
      <c r="I33" s="2691" t="str">
        <f t="shared" si="6"/>
        <v/>
      </c>
      <c r="J33" s="2686" t="str">
        <f t="shared" si="7"/>
        <v/>
      </c>
      <c r="K33" s="2690" t="str">
        <f t="shared" si="8"/>
        <v/>
      </c>
      <c r="L33" s="2692" t="str">
        <f t="shared" si="9"/>
        <v/>
      </c>
      <c r="M33" s="2693" t="str">
        <f t="shared" si="10"/>
        <v/>
      </c>
      <c r="N33" s="2694" t="str">
        <f t="shared" si="10"/>
        <v/>
      </c>
      <c r="O33" s="2689" t="str">
        <f t="shared" si="11"/>
        <v/>
      </c>
      <c r="P33" s="2690" t="str">
        <f t="shared" si="12"/>
        <v/>
      </c>
      <c r="Q33" s="2686" t="str">
        <f t="shared" si="13"/>
        <v/>
      </c>
      <c r="R33" s="2687" t="str">
        <f t="shared" si="14"/>
        <v/>
      </c>
      <c r="S33" s="2695" t="str">
        <f t="shared" si="15"/>
        <v/>
      </c>
      <c r="T33" s="2690" t="str">
        <f t="shared" si="16"/>
        <v/>
      </c>
      <c r="U33" s="2686" t="str">
        <f t="shared" si="17"/>
        <v/>
      </c>
      <c r="V33" s="2690" t="str">
        <f t="shared" si="18"/>
        <v/>
      </c>
      <c r="W33" s="2694">
        <f t="shared" si="19"/>
        <v>0</v>
      </c>
      <c r="X33" s="2696" t="str">
        <f t="shared" si="20"/>
        <v/>
      </c>
      <c r="Y33" s="2697" t="str">
        <f t="shared" si="21"/>
        <v/>
      </c>
      <c r="Z33" s="2698" t="s">
        <v>116</v>
      </c>
      <c r="AA33" s="2758" t="str">
        <f t="shared" si="22"/>
        <v/>
      </c>
      <c r="AB33" s="2683" t="str">
        <f t="shared" si="23"/>
        <v/>
      </c>
      <c r="AC33" s="2691" t="str">
        <f t="shared" si="24"/>
        <v/>
      </c>
      <c r="AD33" s="2686" t="str">
        <f t="shared" ca="1" si="25"/>
        <v/>
      </c>
      <c r="AE33" s="2690" t="str">
        <f t="shared" ca="1" si="26"/>
        <v/>
      </c>
      <c r="AF33" s="2691" t="str">
        <f t="shared" ca="1" si="27"/>
        <v/>
      </c>
      <c r="AG33" s="2686" t="str">
        <f t="shared" ca="1" si="28"/>
        <v/>
      </c>
      <c r="AH33" s="2690" t="str">
        <f t="shared" ca="1" si="29"/>
        <v/>
      </c>
      <c r="AI33" s="2686" t="str">
        <f t="shared" ca="1" si="30"/>
        <v/>
      </c>
      <c r="AJ33" s="2690" t="str">
        <f t="shared" ca="1" si="31"/>
        <v/>
      </c>
      <c r="AK33" s="2732" t="str">
        <f t="shared" si="32"/>
        <v/>
      </c>
      <c r="AL33" s="2733" t="str">
        <f t="shared" si="33"/>
        <v/>
      </c>
      <c r="AM33" s="2734" t="str">
        <f t="shared" si="32"/>
        <v/>
      </c>
      <c r="AN33" s="2691" t="str">
        <f t="shared" si="32"/>
        <v/>
      </c>
      <c r="AO33" s="2694" t="str">
        <f t="shared" si="32"/>
        <v/>
      </c>
      <c r="AP33" s="2693" t="str">
        <f t="shared" si="34"/>
        <v/>
      </c>
      <c r="AQ33" s="2736" t="str">
        <f t="shared" si="34"/>
        <v/>
      </c>
      <c r="AR33" s="2689" t="str">
        <f t="shared" si="35"/>
        <v/>
      </c>
      <c r="AS33" s="2690" t="str">
        <f t="shared" si="36"/>
        <v/>
      </c>
      <c r="AT33" s="2737" t="str">
        <f t="shared" si="37"/>
        <v/>
      </c>
      <c r="AU33" s="2738" t="str">
        <f t="shared" si="38"/>
        <v/>
      </c>
      <c r="AV33" s="2695" t="str">
        <f t="shared" si="39"/>
        <v/>
      </c>
      <c r="AW33" s="2690" t="str">
        <f t="shared" si="40"/>
        <v/>
      </c>
      <c r="AX33" s="2737" t="str">
        <f t="shared" si="41"/>
        <v/>
      </c>
      <c r="AY33" s="2738" t="str">
        <f t="shared" si="42"/>
        <v/>
      </c>
      <c r="AZ33" s="2695" t="str">
        <f t="shared" si="43"/>
        <v/>
      </c>
      <c r="BA33" s="2690" t="str">
        <f t="shared" si="44"/>
        <v/>
      </c>
      <c r="BB33" s="2737" t="str">
        <f t="shared" si="45"/>
        <v/>
      </c>
      <c r="BC33" s="2738" t="str">
        <f t="shared" si="46"/>
        <v/>
      </c>
      <c r="BD33" s="2695" t="str">
        <f t="shared" si="47"/>
        <v/>
      </c>
      <c r="BE33" s="2690" t="str">
        <f t="shared" si="48"/>
        <v/>
      </c>
      <c r="BF33" s="2737" t="str">
        <f t="shared" si="49"/>
        <v/>
      </c>
      <c r="BG33" s="2738" t="str">
        <f t="shared" si="50"/>
        <v/>
      </c>
      <c r="BH33" s="1417"/>
      <c r="BJ33" s="995" t="str">
        <f t="shared" si="93"/>
        <v/>
      </c>
      <c r="BK33" s="993" t="b">
        <f t="shared" si="51"/>
        <v>0</v>
      </c>
      <c r="BL33" s="1784" t="b">
        <v>0</v>
      </c>
      <c r="BM33" s="989">
        <f t="shared" si="52"/>
        <v>0</v>
      </c>
      <c r="BN33" s="989">
        <f t="shared" si="53"/>
        <v>0</v>
      </c>
      <c r="BO33" s="989">
        <f t="shared" si="54"/>
        <v>0</v>
      </c>
      <c r="BP33" s="989">
        <f t="shared" si="55"/>
        <v>0</v>
      </c>
      <c r="BQ33" s="989">
        <f t="shared" si="56"/>
        <v>0</v>
      </c>
      <c r="BR33" s="989" t="b">
        <f t="shared" si="57"/>
        <v>1</v>
      </c>
      <c r="BS33" s="1303">
        <f t="shared" si="58"/>
        <v>6</v>
      </c>
      <c r="BT33" s="990" t="str">
        <f t="shared" si="59"/>
        <v>No</v>
      </c>
      <c r="BU33" s="1303">
        <f t="shared" si="60"/>
        <v>6</v>
      </c>
      <c r="BV33" s="990" t="str">
        <f t="shared" si="61"/>
        <v>No</v>
      </c>
      <c r="BW33" s="991">
        <f t="shared" ca="1" si="62"/>
        <v>0</v>
      </c>
      <c r="BX33" s="991" t="str">
        <f t="shared" ca="1" si="63"/>
        <v/>
      </c>
      <c r="BY33" s="991" t="b">
        <f t="shared" ca="1" si="64"/>
        <v>0</v>
      </c>
      <c r="BZ33" s="991" t="b">
        <f t="shared" si="86"/>
        <v>0</v>
      </c>
      <c r="CB33" s="672"/>
      <c r="CC33" s="1685"/>
      <c r="CD33" s="699"/>
      <c r="CE33" s="700"/>
      <c r="CF33" s="701"/>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725"/>
      <c r="DE33" s="726"/>
      <c r="DF33" s="141"/>
      <c r="DG33" s="141"/>
      <c r="DH33" s="672"/>
      <c r="DI33" s="673"/>
      <c r="DJ33" s="692"/>
      <c r="DK33" s="1332"/>
      <c r="DL33" s="674"/>
      <c r="DM33" s="693"/>
      <c r="DN33" s="1335"/>
      <c r="DO33" s="675"/>
      <c r="DP33" s="676"/>
      <c r="DQ33" s="1420"/>
      <c r="DR33" s="677"/>
      <c r="DS33" s="1420"/>
      <c r="DT33" s="1422"/>
      <c r="DU33" s="1423"/>
      <c r="DV33" s="678"/>
      <c r="DW33" s="1337"/>
      <c r="DX33" s="679"/>
      <c r="DY33" s="674"/>
      <c r="DZ33" s="678"/>
      <c r="EA33" s="1337"/>
      <c r="EB33" s="679"/>
      <c r="EC33" s="674"/>
      <c r="ED33" s="678"/>
      <c r="EE33" s="1337"/>
      <c r="EF33" s="679"/>
      <c r="EG33" s="674"/>
      <c r="EH33" s="678"/>
      <c r="EI33" s="1337"/>
      <c r="EJ33" s="679"/>
      <c r="EK33" s="680"/>
      <c r="EL33" s="241"/>
      <c r="EM33" s="1632" t="str">
        <f t="shared" si="65"/>
        <v/>
      </c>
      <c r="EN33" s="1429" t="str">
        <f t="shared" si="66"/>
        <v/>
      </c>
      <c r="EO33" s="1430" t="str">
        <f t="shared" si="67"/>
        <v/>
      </c>
      <c r="EP33" s="1431" t="str">
        <f t="shared" si="68"/>
        <v/>
      </c>
      <c r="EQ33" s="1435" t="str">
        <f t="shared" si="69"/>
        <v/>
      </c>
      <c r="ER33" s="1441" t="str">
        <f t="shared" si="70"/>
        <v/>
      </c>
      <c r="ES33" s="1442" t="str">
        <f t="shared" si="71"/>
        <v/>
      </c>
      <c r="ET33" s="1443" t="str">
        <f t="shared" si="72"/>
        <v/>
      </c>
      <c r="EU33" s="1444" t="str">
        <f t="shared" si="87"/>
        <v/>
      </c>
      <c r="EX33" s="503" t="str">
        <f t="shared" ca="1" si="88"/>
        <v/>
      </c>
      <c r="EY33" s="940" t="str">
        <f t="shared" si="73"/>
        <v/>
      </c>
      <c r="EZ33" s="940" t="str">
        <f t="shared" si="89"/>
        <v/>
      </c>
      <c r="FA33" s="958" t="str">
        <f t="shared" ca="1" si="94"/>
        <v/>
      </c>
      <c r="FB33" s="134" t="str">
        <f t="shared" ca="1" si="90"/>
        <v/>
      </c>
      <c r="FC33" s="134">
        <f t="shared" ca="1" si="74"/>
        <v>0</v>
      </c>
      <c r="FD33" s="134">
        <f t="shared" ca="1" si="75"/>
        <v>0</v>
      </c>
      <c r="FE33" s="134">
        <f t="shared" ca="1" si="76"/>
        <v>0</v>
      </c>
      <c r="FF33" s="134">
        <f t="shared" ca="1" si="91"/>
        <v>0</v>
      </c>
      <c r="FN33" s="754" t="b">
        <v>0</v>
      </c>
      <c r="FO33" s="754" t="b">
        <f t="shared" si="77"/>
        <v>1</v>
      </c>
      <c r="FP33" s="754" t="b">
        <v>0</v>
      </c>
      <c r="FQ33" s="754" t="b">
        <f t="shared" si="92"/>
        <v>1</v>
      </c>
      <c r="FW33" s="2"/>
      <c r="FX33" s="2"/>
      <c r="FZ33" s="2"/>
      <c r="GA33" s="581" t="str">
        <f t="shared" si="78"/>
        <v/>
      </c>
      <c r="GB33" s="623" t="str">
        <f t="shared" si="79"/>
        <v/>
      </c>
      <c r="GC33" s="625" t="str">
        <f t="shared" si="80"/>
        <v/>
      </c>
      <c r="GD33" s="626" t="str">
        <f t="shared" si="81"/>
        <v/>
      </c>
      <c r="GE33" s="624" t="str">
        <f t="shared" si="82"/>
        <v/>
      </c>
      <c r="GF33" s="582" t="str">
        <f t="shared" si="83"/>
        <v/>
      </c>
      <c r="GG33" s="692"/>
      <c r="GH33" s="1136"/>
      <c r="GI33" s="692"/>
      <c r="GJ33" s="1136"/>
      <c r="GK33" s="1641">
        <f t="shared" si="84"/>
        <v>0</v>
      </c>
      <c r="GL33" s="1641" t="e">
        <f t="shared" si="85"/>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5"/>
        <v>0</v>
      </c>
    </row>
    <row r="34" spans="1:272" ht="12.6" customHeight="1" x14ac:dyDescent="0.25">
      <c r="A34" s="2683" t="str">
        <f t="shared" si="0"/>
        <v/>
      </c>
      <c r="B34" s="2684" t="str">
        <f t="shared" si="0"/>
        <v/>
      </c>
      <c r="C34" s="2685"/>
      <c r="D34" s="2686" t="str">
        <f t="shared" si="1"/>
        <v/>
      </c>
      <c r="E34" s="2687" t="str">
        <f t="shared" si="2"/>
        <v/>
      </c>
      <c r="F34" s="2688" t="str">
        <f t="shared" si="3"/>
        <v/>
      </c>
      <c r="G34" s="2689" t="str">
        <f t="shared" si="4"/>
        <v/>
      </c>
      <c r="H34" s="2690" t="str">
        <f t="shared" si="5"/>
        <v/>
      </c>
      <c r="I34" s="2691" t="str">
        <f t="shared" si="6"/>
        <v/>
      </c>
      <c r="J34" s="2686" t="str">
        <f t="shared" si="7"/>
        <v/>
      </c>
      <c r="K34" s="2690" t="str">
        <f t="shared" si="8"/>
        <v/>
      </c>
      <c r="L34" s="2692" t="str">
        <f t="shared" si="9"/>
        <v/>
      </c>
      <c r="M34" s="2693" t="str">
        <f t="shared" si="10"/>
        <v/>
      </c>
      <c r="N34" s="2694" t="str">
        <f t="shared" si="10"/>
        <v/>
      </c>
      <c r="O34" s="2689" t="str">
        <f t="shared" si="11"/>
        <v/>
      </c>
      <c r="P34" s="2690" t="str">
        <f t="shared" si="12"/>
        <v/>
      </c>
      <c r="Q34" s="2686" t="str">
        <f t="shared" si="13"/>
        <v/>
      </c>
      <c r="R34" s="2687" t="str">
        <f t="shared" si="14"/>
        <v/>
      </c>
      <c r="S34" s="2695" t="str">
        <f t="shared" si="15"/>
        <v/>
      </c>
      <c r="T34" s="2690" t="str">
        <f t="shared" si="16"/>
        <v/>
      </c>
      <c r="U34" s="2686" t="str">
        <f t="shared" si="17"/>
        <v/>
      </c>
      <c r="V34" s="2690" t="str">
        <f t="shared" si="18"/>
        <v/>
      </c>
      <c r="W34" s="2694">
        <f t="shared" si="19"/>
        <v>0</v>
      </c>
      <c r="X34" s="2696" t="str">
        <f t="shared" si="20"/>
        <v/>
      </c>
      <c r="Y34" s="2697" t="str">
        <f t="shared" si="21"/>
        <v/>
      </c>
      <c r="Z34" s="2698" t="s">
        <v>116</v>
      </c>
      <c r="AA34" s="2758" t="str">
        <f t="shared" si="22"/>
        <v/>
      </c>
      <c r="AB34" s="2683" t="str">
        <f t="shared" si="23"/>
        <v/>
      </c>
      <c r="AC34" s="2691" t="str">
        <f t="shared" si="24"/>
        <v/>
      </c>
      <c r="AD34" s="2686" t="str">
        <f t="shared" ca="1" si="25"/>
        <v/>
      </c>
      <c r="AE34" s="2690" t="str">
        <f t="shared" ca="1" si="26"/>
        <v/>
      </c>
      <c r="AF34" s="2691" t="str">
        <f t="shared" ca="1" si="27"/>
        <v/>
      </c>
      <c r="AG34" s="2686" t="str">
        <f t="shared" ca="1" si="28"/>
        <v/>
      </c>
      <c r="AH34" s="2690" t="str">
        <f t="shared" ca="1" si="29"/>
        <v/>
      </c>
      <c r="AI34" s="2686" t="str">
        <f t="shared" ca="1" si="30"/>
        <v/>
      </c>
      <c r="AJ34" s="2690" t="str">
        <f t="shared" ca="1" si="31"/>
        <v/>
      </c>
      <c r="AK34" s="2732" t="str">
        <f t="shared" si="32"/>
        <v/>
      </c>
      <c r="AL34" s="2733" t="str">
        <f t="shared" si="33"/>
        <v/>
      </c>
      <c r="AM34" s="2734" t="str">
        <f t="shared" si="32"/>
        <v/>
      </c>
      <c r="AN34" s="2691" t="str">
        <f t="shared" si="32"/>
        <v/>
      </c>
      <c r="AO34" s="2694" t="str">
        <f t="shared" si="32"/>
        <v/>
      </c>
      <c r="AP34" s="2693" t="str">
        <f t="shared" si="34"/>
        <v/>
      </c>
      <c r="AQ34" s="2736" t="str">
        <f t="shared" si="34"/>
        <v/>
      </c>
      <c r="AR34" s="2689" t="str">
        <f t="shared" si="35"/>
        <v/>
      </c>
      <c r="AS34" s="2690" t="str">
        <f t="shared" si="36"/>
        <v/>
      </c>
      <c r="AT34" s="2737" t="str">
        <f t="shared" si="37"/>
        <v/>
      </c>
      <c r="AU34" s="2738" t="str">
        <f t="shared" si="38"/>
        <v/>
      </c>
      <c r="AV34" s="2695" t="str">
        <f t="shared" si="39"/>
        <v/>
      </c>
      <c r="AW34" s="2690" t="str">
        <f t="shared" si="40"/>
        <v/>
      </c>
      <c r="AX34" s="2737" t="str">
        <f t="shared" si="41"/>
        <v/>
      </c>
      <c r="AY34" s="2738" t="str">
        <f t="shared" si="42"/>
        <v/>
      </c>
      <c r="AZ34" s="2695" t="str">
        <f t="shared" si="43"/>
        <v/>
      </c>
      <c r="BA34" s="2690" t="str">
        <f t="shared" si="44"/>
        <v/>
      </c>
      <c r="BB34" s="2737" t="str">
        <f t="shared" si="45"/>
        <v/>
      </c>
      <c r="BC34" s="2738" t="str">
        <f t="shared" si="46"/>
        <v/>
      </c>
      <c r="BD34" s="2695" t="str">
        <f t="shared" si="47"/>
        <v/>
      </c>
      <c r="BE34" s="2690" t="str">
        <f t="shared" si="48"/>
        <v/>
      </c>
      <c r="BF34" s="2737" t="str">
        <f t="shared" si="49"/>
        <v/>
      </c>
      <c r="BG34" s="2738" t="str">
        <f t="shared" si="50"/>
        <v/>
      </c>
      <c r="BH34" s="1417"/>
      <c r="BJ34" s="995" t="str">
        <f t="shared" si="93"/>
        <v/>
      </c>
      <c r="BK34" s="993" t="b">
        <f t="shared" si="51"/>
        <v>0</v>
      </c>
      <c r="BL34" s="1784" t="b">
        <v>0</v>
      </c>
      <c r="BM34" s="989">
        <f t="shared" si="52"/>
        <v>0</v>
      </c>
      <c r="BN34" s="989">
        <f t="shared" si="53"/>
        <v>0</v>
      </c>
      <c r="BO34" s="989">
        <f t="shared" si="54"/>
        <v>0</v>
      </c>
      <c r="BP34" s="989">
        <f t="shared" si="55"/>
        <v>0</v>
      </c>
      <c r="BQ34" s="989">
        <f t="shared" si="56"/>
        <v>0</v>
      </c>
      <c r="BR34" s="989" t="b">
        <f t="shared" si="57"/>
        <v>1</v>
      </c>
      <c r="BS34" s="1303">
        <f t="shared" si="58"/>
        <v>6</v>
      </c>
      <c r="BT34" s="990" t="str">
        <f t="shared" si="59"/>
        <v>No</v>
      </c>
      <c r="BU34" s="1303">
        <f t="shared" si="60"/>
        <v>6</v>
      </c>
      <c r="BV34" s="990" t="str">
        <f t="shared" si="61"/>
        <v>No</v>
      </c>
      <c r="BW34" s="991">
        <f t="shared" ca="1" si="62"/>
        <v>0</v>
      </c>
      <c r="BX34" s="991" t="str">
        <f t="shared" ca="1" si="63"/>
        <v/>
      </c>
      <c r="BY34" s="991" t="b">
        <f t="shared" ca="1" si="64"/>
        <v>0</v>
      </c>
      <c r="BZ34" s="991" t="b">
        <f t="shared" si="86"/>
        <v>0</v>
      </c>
      <c r="CB34" s="672"/>
      <c r="CC34" s="1685"/>
      <c r="CD34" s="699"/>
      <c r="CE34" s="700"/>
      <c r="CF34" s="701"/>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725"/>
      <c r="DE34" s="726"/>
      <c r="DF34" s="141"/>
      <c r="DG34" s="141"/>
      <c r="DH34" s="672"/>
      <c r="DI34" s="673"/>
      <c r="DJ34" s="692"/>
      <c r="DK34" s="1332"/>
      <c r="DL34" s="674"/>
      <c r="DM34" s="693"/>
      <c r="DN34" s="1335"/>
      <c r="DO34" s="675"/>
      <c r="DP34" s="676"/>
      <c r="DQ34" s="1420"/>
      <c r="DR34" s="677"/>
      <c r="DS34" s="1420"/>
      <c r="DT34" s="1422"/>
      <c r="DU34" s="1423"/>
      <c r="DV34" s="678"/>
      <c r="DW34" s="1337"/>
      <c r="DX34" s="679"/>
      <c r="DY34" s="674"/>
      <c r="DZ34" s="678"/>
      <c r="EA34" s="1337"/>
      <c r="EB34" s="679"/>
      <c r="EC34" s="674"/>
      <c r="ED34" s="678"/>
      <c r="EE34" s="1337"/>
      <c r="EF34" s="679"/>
      <c r="EG34" s="674"/>
      <c r="EH34" s="678"/>
      <c r="EI34" s="1337"/>
      <c r="EJ34" s="679"/>
      <c r="EK34" s="680"/>
      <c r="EL34" s="241"/>
      <c r="EM34" s="1632" t="str">
        <f t="shared" si="65"/>
        <v/>
      </c>
      <c r="EN34" s="1429" t="str">
        <f t="shared" si="66"/>
        <v/>
      </c>
      <c r="EO34" s="1430" t="str">
        <f t="shared" si="67"/>
        <v/>
      </c>
      <c r="EP34" s="1431" t="str">
        <f t="shared" si="68"/>
        <v/>
      </c>
      <c r="EQ34" s="1435" t="str">
        <f t="shared" si="69"/>
        <v/>
      </c>
      <c r="ER34" s="1441" t="str">
        <f t="shared" si="70"/>
        <v/>
      </c>
      <c r="ES34" s="1442" t="str">
        <f t="shared" si="71"/>
        <v/>
      </c>
      <c r="ET34" s="1443" t="str">
        <f t="shared" si="72"/>
        <v/>
      </c>
      <c r="EU34" s="1444" t="str">
        <f t="shared" si="87"/>
        <v/>
      </c>
      <c r="EX34" s="503" t="str">
        <f t="shared" ca="1" si="88"/>
        <v/>
      </c>
      <c r="EY34" s="940" t="str">
        <f t="shared" si="73"/>
        <v/>
      </c>
      <c r="EZ34" s="940" t="str">
        <f t="shared" si="89"/>
        <v/>
      </c>
      <c r="FA34" s="958" t="str">
        <f t="shared" ca="1" si="94"/>
        <v/>
      </c>
      <c r="FB34" s="134" t="str">
        <f t="shared" ca="1" si="90"/>
        <v/>
      </c>
      <c r="FC34" s="134">
        <f t="shared" ca="1" si="74"/>
        <v>0</v>
      </c>
      <c r="FD34" s="134">
        <f t="shared" ca="1" si="75"/>
        <v>0</v>
      </c>
      <c r="FE34" s="134">
        <f t="shared" ca="1" si="76"/>
        <v>0</v>
      </c>
      <c r="FF34" s="134">
        <f t="shared" ca="1" si="91"/>
        <v>0</v>
      </c>
      <c r="FN34" s="754" t="b">
        <v>0</v>
      </c>
      <c r="FO34" s="754" t="b">
        <f t="shared" si="77"/>
        <v>1</v>
      </c>
      <c r="FP34" s="754" t="b">
        <v>0</v>
      </c>
      <c r="FQ34" s="754" t="b">
        <f t="shared" si="92"/>
        <v>1</v>
      </c>
      <c r="FW34" s="2"/>
      <c r="FX34" s="2"/>
      <c r="FZ34" s="2"/>
      <c r="GA34" s="581" t="str">
        <f t="shared" si="78"/>
        <v/>
      </c>
      <c r="GB34" s="623" t="str">
        <f t="shared" si="79"/>
        <v/>
      </c>
      <c r="GC34" s="625" t="str">
        <f t="shared" si="80"/>
        <v/>
      </c>
      <c r="GD34" s="626" t="str">
        <f t="shared" si="81"/>
        <v/>
      </c>
      <c r="GE34" s="624" t="str">
        <f t="shared" si="82"/>
        <v/>
      </c>
      <c r="GF34" s="582" t="str">
        <f t="shared" si="83"/>
        <v/>
      </c>
      <c r="GG34" s="692"/>
      <c r="GH34" s="1136"/>
      <c r="GI34" s="692"/>
      <c r="GJ34" s="1136"/>
      <c r="GK34" s="1641">
        <f t="shared" si="84"/>
        <v>0</v>
      </c>
      <c r="GL34" s="1641" t="e">
        <f t="shared" si="85"/>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5"/>
        <v>0</v>
      </c>
    </row>
    <row r="35" spans="1:272" ht="12.6" customHeight="1" x14ac:dyDescent="0.25">
      <c r="A35" s="2683" t="str">
        <f t="shared" si="0"/>
        <v/>
      </c>
      <c r="B35" s="2684" t="str">
        <f t="shared" si="0"/>
        <v/>
      </c>
      <c r="C35" s="2685"/>
      <c r="D35" s="2686" t="str">
        <f t="shared" si="1"/>
        <v/>
      </c>
      <c r="E35" s="2687" t="str">
        <f t="shared" si="2"/>
        <v/>
      </c>
      <c r="F35" s="2688" t="str">
        <f t="shared" si="3"/>
        <v/>
      </c>
      <c r="G35" s="2689" t="str">
        <f t="shared" si="4"/>
        <v/>
      </c>
      <c r="H35" s="2690" t="str">
        <f t="shared" si="5"/>
        <v/>
      </c>
      <c r="I35" s="2691" t="str">
        <f t="shared" si="6"/>
        <v/>
      </c>
      <c r="J35" s="2686" t="str">
        <f t="shared" si="7"/>
        <v/>
      </c>
      <c r="K35" s="2690" t="str">
        <f t="shared" si="8"/>
        <v/>
      </c>
      <c r="L35" s="2692" t="str">
        <f t="shared" si="9"/>
        <v/>
      </c>
      <c r="M35" s="2693" t="str">
        <f t="shared" si="10"/>
        <v/>
      </c>
      <c r="N35" s="2694" t="str">
        <f t="shared" si="10"/>
        <v/>
      </c>
      <c r="O35" s="2689" t="str">
        <f t="shared" si="11"/>
        <v/>
      </c>
      <c r="P35" s="2690" t="str">
        <f t="shared" si="12"/>
        <v/>
      </c>
      <c r="Q35" s="2686" t="str">
        <f t="shared" si="13"/>
        <v/>
      </c>
      <c r="R35" s="2687" t="str">
        <f t="shared" si="14"/>
        <v/>
      </c>
      <c r="S35" s="2695" t="str">
        <f t="shared" si="15"/>
        <v/>
      </c>
      <c r="T35" s="2690" t="str">
        <f t="shared" si="16"/>
        <v/>
      </c>
      <c r="U35" s="2686" t="str">
        <f t="shared" si="17"/>
        <v/>
      </c>
      <c r="V35" s="2690" t="str">
        <f t="shared" si="18"/>
        <v/>
      </c>
      <c r="W35" s="2694">
        <f t="shared" si="19"/>
        <v>0</v>
      </c>
      <c r="X35" s="2696" t="str">
        <f t="shared" si="20"/>
        <v/>
      </c>
      <c r="Y35" s="2697" t="str">
        <f t="shared" si="21"/>
        <v/>
      </c>
      <c r="Z35" s="2698" t="s">
        <v>116</v>
      </c>
      <c r="AA35" s="2758" t="str">
        <f t="shared" si="22"/>
        <v/>
      </c>
      <c r="AB35" s="2683" t="str">
        <f t="shared" si="23"/>
        <v/>
      </c>
      <c r="AC35" s="2691" t="str">
        <f t="shared" si="24"/>
        <v/>
      </c>
      <c r="AD35" s="2686" t="str">
        <f t="shared" ca="1" si="25"/>
        <v/>
      </c>
      <c r="AE35" s="2690" t="str">
        <f t="shared" ca="1" si="26"/>
        <v/>
      </c>
      <c r="AF35" s="2691" t="str">
        <f t="shared" ca="1" si="27"/>
        <v/>
      </c>
      <c r="AG35" s="2686" t="str">
        <f t="shared" ca="1" si="28"/>
        <v/>
      </c>
      <c r="AH35" s="2690" t="str">
        <f t="shared" ca="1" si="29"/>
        <v/>
      </c>
      <c r="AI35" s="2686" t="str">
        <f t="shared" ca="1" si="30"/>
        <v/>
      </c>
      <c r="AJ35" s="2690" t="str">
        <f t="shared" ca="1" si="31"/>
        <v/>
      </c>
      <c r="AK35" s="2732" t="str">
        <f t="shared" si="32"/>
        <v/>
      </c>
      <c r="AL35" s="2733" t="str">
        <f t="shared" si="33"/>
        <v/>
      </c>
      <c r="AM35" s="2734" t="str">
        <f t="shared" si="32"/>
        <v/>
      </c>
      <c r="AN35" s="2691" t="str">
        <f t="shared" si="32"/>
        <v/>
      </c>
      <c r="AO35" s="2694" t="str">
        <f t="shared" si="32"/>
        <v/>
      </c>
      <c r="AP35" s="2693" t="str">
        <f t="shared" si="34"/>
        <v/>
      </c>
      <c r="AQ35" s="2736" t="str">
        <f t="shared" si="34"/>
        <v/>
      </c>
      <c r="AR35" s="2689" t="str">
        <f t="shared" si="35"/>
        <v/>
      </c>
      <c r="AS35" s="2690" t="str">
        <f t="shared" si="36"/>
        <v/>
      </c>
      <c r="AT35" s="2737" t="str">
        <f t="shared" si="37"/>
        <v/>
      </c>
      <c r="AU35" s="2738" t="str">
        <f t="shared" si="38"/>
        <v/>
      </c>
      <c r="AV35" s="2695" t="str">
        <f t="shared" si="39"/>
        <v/>
      </c>
      <c r="AW35" s="2690" t="str">
        <f t="shared" si="40"/>
        <v/>
      </c>
      <c r="AX35" s="2737" t="str">
        <f t="shared" si="41"/>
        <v/>
      </c>
      <c r="AY35" s="2738" t="str">
        <f t="shared" si="42"/>
        <v/>
      </c>
      <c r="AZ35" s="2695" t="str">
        <f t="shared" si="43"/>
        <v/>
      </c>
      <c r="BA35" s="2690" t="str">
        <f t="shared" si="44"/>
        <v/>
      </c>
      <c r="BB35" s="2737" t="str">
        <f t="shared" si="45"/>
        <v/>
      </c>
      <c r="BC35" s="2738" t="str">
        <f t="shared" si="46"/>
        <v/>
      </c>
      <c r="BD35" s="2695" t="str">
        <f t="shared" si="47"/>
        <v/>
      </c>
      <c r="BE35" s="2690" t="str">
        <f t="shared" si="48"/>
        <v/>
      </c>
      <c r="BF35" s="2737" t="str">
        <f t="shared" si="49"/>
        <v/>
      </c>
      <c r="BG35" s="2738" t="str">
        <f t="shared" si="50"/>
        <v/>
      </c>
      <c r="BH35" s="1417"/>
      <c r="BJ35" s="995" t="str">
        <f t="shared" si="93"/>
        <v/>
      </c>
      <c r="BK35" s="993" t="b">
        <f t="shared" si="51"/>
        <v>0</v>
      </c>
      <c r="BL35" s="1784" t="b">
        <v>0</v>
      </c>
      <c r="BM35" s="989">
        <f t="shared" si="52"/>
        <v>0</v>
      </c>
      <c r="BN35" s="989">
        <f t="shared" si="53"/>
        <v>0</v>
      </c>
      <c r="BO35" s="989">
        <f t="shared" si="54"/>
        <v>0</v>
      </c>
      <c r="BP35" s="989">
        <f t="shared" si="55"/>
        <v>0</v>
      </c>
      <c r="BQ35" s="989">
        <f t="shared" si="56"/>
        <v>0</v>
      </c>
      <c r="BR35" s="989" t="b">
        <f t="shared" si="57"/>
        <v>1</v>
      </c>
      <c r="BS35" s="1303">
        <f t="shared" si="58"/>
        <v>6</v>
      </c>
      <c r="BT35" s="990" t="str">
        <f t="shared" si="59"/>
        <v>No</v>
      </c>
      <c r="BU35" s="1303">
        <f t="shared" si="60"/>
        <v>6</v>
      </c>
      <c r="BV35" s="990" t="str">
        <f t="shared" si="61"/>
        <v>No</v>
      </c>
      <c r="BW35" s="991">
        <f t="shared" ca="1" si="62"/>
        <v>0</v>
      </c>
      <c r="BX35" s="991" t="str">
        <f t="shared" ca="1" si="63"/>
        <v/>
      </c>
      <c r="BY35" s="991" t="b">
        <f t="shared" ca="1" si="64"/>
        <v>0</v>
      </c>
      <c r="BZ35" s="991" t="b">
        <f t="shared" si="86"/>
        <v>0</v>
      </c>
      <c r="CB35" s="672"/>
      <c r="CC35" s="1685"/>
      <c r="CD35" s="699"/>
      <c r="CE35" s="700"/>
      <c r="CF35" s="701"/>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725"/>
      <c r="DE35" s="726"/>
      <c r="DF35" s="141"/>
      <c r="DG35" s="141"/>
      <c r="DH35" s="672"/>
      <c r="DI35" s="673"/>
      <c r="DJ35" s="692"/>
      <c r="DK35" s="1332"/>
      <c r="DL35" s="674"/>
      <c r="DM35" s="693"/>
      <c r="DN35" s="1335"/>
      <c r="DO35" s="675"/>
      <c r="DP35" s="676"/>
      <c r="DQ35" s="1420"/>
      <c r="DR35" s="677"/>
      <c r="DS35" s="1420"/>
      <c r="DT35" s="1422"/>
      <c r="DU35" s="1423"/>
      <c r="DV35" s="678"/>
      <c r="DW35" s="1337"/>
      <c r="DX35" s="679"/>
      <c r="DY35" s="674"/>
      <c r="DZ35" s="678"/>
      <c r="EA35" s="1337"/>
      <c r="EB35" s="679"/>
      <c r="EC35" s="674"/>
      <c r="ED35" s="678"/>
      <c r="EE35" s="1337"/>
      <c r="EF35" s="679"/>
      <c r="EG35" s="674"/>
      <c r="EH35" s="678"/>
      <c r="EI35" s="1337"/>
      <c r="EJ35" s="679"/>
      <c r="EK35" s="680"/>
      <c r="EL35" s="241"/>
      <c r="EM35" s="1632" t="str">
        <f t="shared" si="65"/>
        <v/>
      </c>
      <c r="EN35" s="1429" t="str">
        <f t="shared" si="66"/>
        <v/>
      </c>
      <c r="EO35" s="1430" t="str">
        <f t="shared" si="67"/>
        <v/>
      </c>
      <c r="EP35" s="1431" t="str">
        <f t="shared" si="68"/>
        <v/>
      </c>
      <c r="EQ35" s="1435" t="str">
        <f t="shared" si="69"/>
        <v/>
      </c>
      <c r="ER35" s="1441" t="str">
        <f t="shared" si="70"/>
        <v/>
      </c>
      <c r="ES35" s="1442" t="str">
        <f t="shared" si="71"/>
        <v/>
      </c>
      <c r="ET35" s="1443" t="str">
        <f t="shared" si="72"/>
        <v/>
      </c>
      <c r="EU35" s="1444" t="str">
        <f t="shared" si="87"/>
        <v/>
      </c>
      <c r="EX35" s="503" t="str">
        <f t="shared" ca="1" si="88"/>
        <v/>
      </c>
      <c r="EY35" s="940" t="str">
        <f t="shared" si="73"/>
        <v/>
      </c>
      <c r="EZ35" s="940" t="str">
        <f t="shared" si="89"/>
        <v/>
      </c>
      <c r="FA35" s="958" t="str">
        <f t="shared" ca="1" si="94"/>
        <v/>
      </c>
      <c r="FB35" s="134" t="str">
        <f t="shared" ca="1" si="90"/>
        <v/>
      </c>
      <c r="FC35" s="134">
        <f t="shared" ca="1" si="74"/>
        <v>0</v>
      </c>
      <c r="FD35" s="134">
        <f t="shared" ca="1" si="75"/>
        <v>0</v>
      </c>
      <c r="FE35" s="134">
        <f t="shared" ca="1" si="76"/>
        <v>0</v>
      </c>
      <c r="FF35" s="134">
        <f t="shared" ca="1" si="91"/>
        <v>0</v>
      </c>
      <c r="FN35" s="754" t="b">
        <v>0</v>
      </c>
      <c r="FO35" s="754" t="b">
        <f t="shared" si="77"/>
        <v>1</v>
      </c>
      <c r="FP35" s="754" t="b">
        <v>0</v>
      </c>
      <c r="FQ35" s="754" t="b">
        <f t="shared" si="92"/>
        <v>1</v>
      </c>
      <c r="FW35" s="2"/>
      <c r="FX35" s="2"/>
      <c r="FZ35" s="2"/>
      <c r="GA35" s="581" t="str">
        <f t="shared" si="78"/>
        <v/>
      </c>
      <c r="GB35" s="623" t="str">
        <f t="shared" si="79"/>
        <v/>
      </c>
      <c r="GC35" s="625" t="str">
        <f t="shared" si="80"/>
        <v/>
      </c>
      <c r="GD35" s="626" t="str">
        <f t="shared" si="81"/>
        <v/>
      </c>
      <c r="GE35" s="624" t="str">
        <f t="shared" si="82"/>
        <v/>
      </c>
      <c r="GF35" s="582" t="str">
        <f t="shared" si="83"/>
        <v/>
      </c>
      <c r="GG35" s="692"/>
      <c r="GH35" s="1136"/>
      <c r="GI35" s="692"/>
      <c r="GJ35" s="1136"/>
      <c r="GK35" s="1641">
        <f t="shared" si="84"/>
        <v>0</v>
      </c>
      <c r="GL35" s="1641" t="e">
        <f t="shared" si="85"/>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5"/>
        <v>0</v>
      </c>
    </row>
    <row r="36" spans="1:272" ht="12.6" customHeight="1" x14ac:dyDescent="0.25">
      <c r="A36" s="2683" t="str">
        <f t="shared" si="0"/>
        <v/>
      </c>
      <c r="B36" s="2684" t="str">
        <f t="shared" si="0"/>
        <v/>
      </c>
      <c r="C36" s="2685"/>
      <c r="D36" s="2686" t="str">
        <f t="shared" si="1"/>
        <v/>
      </c>
      <c r="E36" s="2687" t="str">
        <f t="shared" si="2"/>
        <v/>
      </c>
      <c r="F36" s="2688" t="str">
        <f t="shared" si="3"/>
        <v/>
      </c>
      <c r="G36" s="2689" t="str">
        <f t="shared" si="4"/>
        <v/>
      </c>
      <c r="H36" s="2690" t="str">
        <f t="shared" si="5"/>
        <v/>
      </c>
      <c r="I36" s="2691" t="str">
        <f t="shared" si="6"/>
        <v/>
      </c>
      <c r="J36" s="2686" t="str">
        <f t="shared" si="7"/>
        <v/>
      </c>
      <c r="K36" s="2690" t="str">
        <f t="shared" si="8"/>
        <v/>
      </c>
      <c r="L36" s="2692" t="str">
        <f t="shared" si="9"/>
        <v/>
      </c>
      <c r="M36" s="2693" t="str">
        <f t="shared" si="10"/>
        <v/>
      </c>
      <c r="N36" s="2694" t="str">
        <f t="shared" si="10"/>
        <v/>
      </c>
      <c r="O36" s="2689" t="str">
        <f t="shared" si="11"/>
        <v/>
      </c>
      <c r="P36" s="2690" t="str">
        <f t="shared" si="12"/>
        <v/>
      </c>
      <c r="Q36" s="2686" t="str">
        <f t="shared" si="13"/>
        <v/>
      </c>
      <c r="R36" s="2687" t="str">
        <f t="shared" si="14"/>
        <v/>
      </c>
      <c r="S36" s="2695" t="str">
        <f t="shared" si="15"/>
        <v/>
      </c>
      <c r="T36" s="2690" t="str">
        <f t="shared" si="16"/>
        <v/>
      </c>
      <c r="U36" s="2686" t="str">
        <f t="shared" si="17"/>
        <v/>
      </c>
      <c r="V36" s="2690" t="str">
        <f t="shared" si="18"/>
        <v/>
      </c>
      <c r="W36" s="2694">
        <f t="shared" si="19"/>
        <v>0</v>
      </c>
      <c r="X36" s="2696" t="str">
        <f t="shared" si="20"/>
        <v/>
      </c>
      <c r="Y36" s="2697" t="str">
        <f t="shared" si="21"/>
        <v/>
      </c>
      <c r="Z36" s="2698" t="s">
        <v>116</v>
      </c>
      <c r="AA36" s="2758" t="str">
        <f t="shared" si="22"/>
        <v/>
      </c>
      <c r="AB36" s="2683" t="str">
        <f t="shared" si="23"/>
        <v/>
      </c>
      <c r="AC36" s="2691" t="str">
        <f t="shared" si="24"/>
        <v/>
      </c>
      <c r="AD36" s="2686" t="str">
        <f t="shared" ca="1" si="25"/>
        <v/>
      </c>
      <c r="AE36" s="2690" t="str">
        <f t="shared" ca="1" si="26"/>
        <v/>
      </c>
      <c r="AF36" s="2691" t="str">
        <f t="shared" ca="1" si="27"/>
        <v/>
      </c>
      <c r="AG36" s="2686" t="str">
        <f t="shared" ca="1" si="28"/>
        <v/>
      </c>
      <c r="AH36" s="2690" t="str">
        <f t="shared" ca="1" si="29"/>
        <v/>
      </c>
      <c r="AI36" s="2686" t="str">
        <f t="shared" ca="1" si="30"/>
        <v/>
      </c>
      <c r="AJ36" s="2690" t="str">
        <f t="shared" ca="1" si="31"/>
        <v/>
      </c>
      <c r="AK36" s="2732" t="str">
        <f t="shared" si="32"/>
        <v/>
      </c>
      <c r="AL36" s="2733" t="str">
        <f t="shared" si="33"/>
        <v/>
      </c>
      <c r="AM36" s="2734" t="str">
        <f t="shared" si="32"/>
        <v/>
      </c>
      <c r="AN36" s="2691" t="str">
        <f t="shared" si="32"/>
        <v/>
      </c>
      <c r="AO36" s="2694" t="str">
        <f t="shared" si="32"/>
        <v/>
      </c>
      <c r="AP36" s="2693" t="str">
        <f t="shared" si="34"/>
        <v/>
      </c>
      <c r="AQ36" s="2736" t="str">
        <f t="shared" si="34"/>
        <v/>
      </c>
      <c r="AR36" s="2689" t="str">
        <f t="shared" si="35"/>
        <v/>
      </c>
      <c r="AS36" s="2690" t="str">
        <f t="shared" si="36"/>
        <v/>
      </c>
      <c r="AT36" s="2737" t="str">
        <f t="shared" si="37"/>
        <v/>
      </c>
      <c r="AU36" s="2738" t="str">
        <f t="shared" si="38"/>
        <v/>
      </c>
      <c r="AV36" s="2695" t="str">
        <f t="shared" si="39"/>
        <v/>
      </c>
      <c r="AW36" s="2690" t="str">
        <f t="shared" si="40"/>
        <v/>
      </c>
      <c r="AX36" s="2737" t="str">
        <f t="shared" si="41"/>
        <v/>
      </c>
      <c r="AY36" s="2738" t="str">
        <f t="shared" si="42"/>
        <v/>
      </c>
      <c r="AZ36" s="2695" t="str">
        <f t="shared" si="43"/>
        <v/>
      </c>
      <c r="BA36" s="2690" t="str">
        <f t="shared" si="44"/>
        <v/>
      </c>
      <c r="BB36" s="2737" t="str">
        <f t="shared" si="45"/>
        <v/>
      </c>
      <c r="BC36" s="2738" t="str">
        <f t="shared" si="46"/>
        <v/>
      </c>
      <c r="BD36" s="2695" t="str">
        <f t="shared" si="47"/>
        <v/>
      </c>
      <c r="BE36" s="2690" t="str">
        <f t="shared" si="48"/>
        <v/>
      </c>
      <c r="BF36" s="2737" t="str">
        <f t="shared" si="49"/>
        <v/>
      </c>
      <c r="BG36" s="2738" t="str">
        <f t="shared" si="50"/>
        <v/>
      </c>
      <c r="BH36" s="1417"/>
      <c r="BJ36" s="995" t="str">
        <f t="shared" si="93"/>
        <v/>
      </c>
      <c r="BK36" s="993" t="b">
        <f t="shared" si="51"/>
        <v>0</v>
      </c>
      <c r="BL36" s="1784" t="b">
        <v>0</v>
      </c>
      <c r="BM36" s="989">
        <f t="shared" si="52"/>
        <v>0</v>
      </c>
      <c r="BN36" s="989">
        <f t="shared" si="53"/>
        <v>0</v>
      </c>
      <c r="BO36" s="989">
        <f t="shared" si="54"/>
        <v>0</v>
      </c>
      <c r="BP36" s="989">
        <f t="shared" si="55"/>
        <v>0</v>
      </c>
      <c r="BQ36" s="989">
        <f t="shared" si="56"/>
        <v>0</v>
      </c>
      <c r="BR36" s="989" t="b">
        <f t="shared" si="57"/>
        <v>1</v>
      </c>
      <c r="BS36" s="1303">
        <f t="shared" si="58"/>
        <v>6</v>
      </c>
      <c r="BT36" s="990" t="str">
        <f t="shared" si="59"/>
        <v>No</v>
      </c>
      <c r="BU36" s="1303">
        <f t="shared" si="60"/>
        <v>6</v>
      </c>
      <c r="BV36" s="990" t="str">
        <f t="shared" si="61"/>
        <v>No</v>
      </c>
      <c r="BW36" s="991">
        <f t="shared" ca="1" si="62"/>
        <v>0</v>
      </c>
      <c r="BX36" s="991" t="str">
        <f t="shared" ca="1" si="63"/>
        <v/>
      </c>
      <c r="BY36" s="991" t="b">
        <f t="shared" ca="1" si="64"/>
        <v>0</v>
      </c>
      <c r="BZ36" s="991" t="b">
        <f t="shared" si="86"/>
        <v>0</v>
      </c>
      <c r="CB36" s="672"/>
      <c r="CC36" s="1685"/>
      <c r="CD36" s="699"/>
      <c r="CE36" s="700"/>
      <c r="CF36" s="701"/>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725"/>
      <c r="DE36" s="726"/>
      <c r="DF36" s="141"/>
      <c r="DG36" s="141"/>
      <c r="DH36" s="672"/>
      <c r="DI36" s="673"/>
      <c r="DJ36" s="692"/>
      <c r="DK36" s="1332"/>
      <c r="DL36" s="674"/>
      <c r="DM36" s="693"/>
      <c r="DN36" s="1335"/>
      <c r="DO36" s="675"/>
      <c r="DP36" s="676"/>
      <c r="DQ36" s="1420"/>
      <c r="DR36" s="677"/>
      <c r="DS36" s="1420"/>
      <c r="DT36" s="1422"/>
      <c r="DU36" s="1423"/>
      <c r="DV36" s="678"/>
      <c r="DW36" s="1337"/>
      <c r="DX36" s="679"/>
      <c r="DY36" s="674"/>
      <c r="DZ36" s="678"/>
      <c r="EA36" s="1337"/>
      <c r="EB36" s="679"/>
      <c r="EC36" s="674"/>
      <c r="ED36" s="678"/>
      <c r="EE36" s="1337"/>
      <c r="EF36" s="679"/>
      <c r="EG36" s="674"/>
      <c r="EH36" s="678"/>
      <c r="EI36" s="1337"/>
      <c r="EJ36" s="679"/>
      <c r="EK36" s="680"/>
      <c r="EL36" s="241"/>
      <c r="EM36" s="1632" t="str">
        <f t="shared" si="65"/>
        <v/>
      </c>
      <c r="EN36" s="1429" t="str">
        <f t="shared" si="66"/>
        <v/>
      </c>
      <c r="EO36" s="1430" t="str">
        <f t="shared" si="67"/>
        <v/>
      </c>
      <c r="EP36" s="1431" t="str">
        <f t="shared" si="68"/>
        <v/>
      </c>
      <c r="EQ36" s="1435" t="str">
        <f t="shared" si="69"/>
        <v/>
      </c>
      <c r="ER36" s="1441" t="str">
        <f t="shared" si="70"/>
        <v/>
      </c>
      <c r="ES36" s="1442" t="str">
        <f t="shared" si="71"/>
        <v/>
      </c>
      <c r="ET36" s="1443" t="str">
        <f t="shared" si="72"/>
        <v/>
      </c>
      <c r="EU36" s="1444" t="str">
        <f t="shared" si="87"/>
        <v/>
      </c>
      <c r="EX36" s="503" t="str">
        <f t="shared" ca="1" si="88"/>
        <v/>
      </c>
      <c r="EY36" s="940" t="str">
        <f t="shared" si="73"/>
        <v/>
      </c>
      <c r="EZ36" s="940" t="str">
        <f t="shared" si="89"/>
        <v/>
      </c>
      <c r="FA36" s="958" t="str">
        <f t="shared" ca="1" si="94"/>
        <v/>
      </c>
      <c r="FB36" s="134" t="str">
        <f t="shared" ca="1" si="90"/>
        <v/>
      </c>
      <c r="FC36" s="134">
        <f t="shared" ca="1" si="74"/>
        <v>0</v>
      </c>
      <c r="FD36" s="134">
        <f t="shared" ca="1" si="75"/>
        <v>0</v>
      </c>
      <c r="FE36" s="134">
        <f t="shared" ca="1" si="76"/>
        <v>0</v>
      </c>
      <c r="FF36" s="134">
        <f t="shared" ca="1" si="91"/>
        <v>0</v>
      </c>
      <c r="FN36" s="754" t="b">
        <v>0</v>
      </c>
      <c r="FO36" s="754" t="b">
        <f t="shared" si="77"/>
        <v>1</v>
      </c>
      <c r="FP36" s="754" t="b">
        <v>0</v>
      </c>
      <c r="FQ36" s="754" t="b">
        <f t="shared" si="92"/>
        <v>1</v>
      </c>
      <c r="FW36" s="2"/>
      <c r="FX36" s="2"/>
      <c r="FZ36" s="2"/>
      <c r="GA36" s="581" t="str">
        <f t="shared" si="78"/>
        <v/>
      </c>
      <c r="GB36" s="623" t="str">
        <f t="shared" si="79"/>
        <v/>
      </c>
      <c r="GC36" s="625" t="str">
        <f t="shared" si="80"/>
        <v/>
      </c>
      <c r="GD36" s="626" t="str">
        <f t="shared" si="81"/>
        <v/>
      </c>
      <c r="GE36" s="624" t="str">
        <f t="shared" si="82"/>
        <v/>
      </c>
      <c r="GF36" s="582" t="str">
        <f t="shared" si="83"/>
        <v/>
      </c>
      <c r="GG36" s="692"/>
      <c r="GH36" s="1136"/>
      <c r="GI36" s="692"/>
      <c r="GJ36" s="1136"/>
      <c r="GK36" s="1641">
        <f t="shared" si="84"/>
        <v>0</v>
      </c>
      <c r="GL36" s="1641" t="e">
        <f t="shared" si="85"/>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5"/>
        <v>0</v>
      </c>
    </row>
    <row r="37" spans="1:272" ht="12.6" customHeight="1" x14ac:dyDescent="0.25">
      <c r="A37" s="2683" t="str">
        <f t="shared" si="0"/>
        <v/>
      </c>
      <c r="B37" s="2684" t="str">
        <f t="shared" si="0"/>
        <v/>
      </c>
      <c r="C37" s="2685"/>
      <c r="D37" s="2686" t="str">
        <f t="shared" si="1"/>
        <v/>
      </c>
      <c r="E37" s="2687" t="str">
        <f t="shared" si="2"/>
        <v/>
      </c>
      <c r="F37" s="2688" t="str">
        <f t="shared" si="3"/>
        <v/>
      </c>
      <c r="G37" s="2689" t="str">
        <f t="shared" si="4"/>
        <v/>
      </c>
      <c r="H37" s="2690" t="str">
        <f t="shared" si="5"/>
        <v/>
      </c>
      <c r="I37" s="2691" t="str">
        <f t="shared" si="6"/>
        <v/>
      </c>
      <c r="J37" s="2686" t="str">
        <f t="shared" si="7"/>
        <v/>
      </c>
      <c r="K37" s="2690" t="str">
        <f t="shared" si="8"/>
        <v/>
      </c>
      <c r="L37" s="2692" t="str">
        <f t="shared" si="9"/>
        <v/>
      </c>
      <c r="M37" s="2693" t="str">
        <f t="shared" si="10"/>
        <v/>
      </c>
      <c r="N37" s="2694" t="str">
        <f t="shared" si="10"/>
        <v/>
      </c>
      <c r="O37" s="2689" t="str">
        <f t="shared" si="11"/>
        <v/>
      </c>
      <c r="P37" s="2690" t="str">
        <f t="shared" si="12"/>
        <v/>
      </c>
      <c r="Q37" s="2686" t="str">
        <f t="shared" si="13"/>
        <v/>
      </c>
      <c r="R37" s="2687" t="str">
        <f t="shared" si="14"/>
        <v/>
      </c>
      <c r="S37" s="2695" t="str">
        <f t="shared" si="15"/>
        <v/>
      </c>
      <c r="T37" s="2690" t="str">
        <f t="shared" si="16"/>
        <v/>
      </c>
      <c r="U37" s="2686" t="str">
        <f t="shared" si="17"/>
        <v/>
      </c>
      <c r="V37" s="2690" t="str">
        <f t="shared" si="18"/>
        <v/>
      </c>
      <c r="W37" s="2694">
        <f t="shared" si="19"/>
        <v>0</v>
      </c>
      <c r="X37" s="2696" t="str">
        <f t="shared" si="20"/>
        <v/>
      </c>
      <c r="Y37" s="2697" t="str">
        <f t="shared" si="21"/>
        <v/>
      </c>
      <c r="Z37" s="2698" t="s">
        <v>116</v>
      </c>
      <c r="AA37" s="2758" t="str">
        <f t="shared" si="22"/>
        <v/>
      </c>
      <c r="AB37" s="2683" t="str">
        <f t="shared" si="23"/>
        <v/>
      </c>
      <c r="AC37" s="2691" t="str">
        <f t="shared" si="24"/>
        <v/>
      </c>
      <c r="AD37" s="2686" t="str">
        <f t="shared" ca="1" si="25"/>
        <v/>
      </c>
      <c r="AE37" s="2690" t="str">
        <f t="shared" ca="1" si="26"/>
        <v/>
      </c>
      <c r="AF37" s="2691" t="str">
        <f t="shared" ca="1" si="27"/>
        <v/>
      </c>
      <c r="AG37" s="2686" t="str">
        <f t="shared" ca="1" si="28"/>
        <v/>
      </c>
      <c r="AH37" s="2690" t="str">
        <f t="shared" ca="1" si="29"/>
        <v/>
      </c>
      <c r="AI37" s="2686" t="str">
        <f t="shared" ca="1" si="30"/>
        <v/>
      </c>
      <c r="AJ37" s="2690" t="str">
        <f t="shared" ca="1" si="31"/>
        <v/>
      </c>
      <c r="AK37" s="2732" t="str">
        <f t="shared" si="32"/>
        <v/>
      </c>
      <c r="AL37" s="2733" t="str">
        <f t="shared" si="33"/>
        <v/>
      </c>
      <c r="AM37" s="2734" t="str">
        <f t="shared" si="32"/>
        <v/>
      </c>
      <c r="AN37" s="2691" t="str">
        <f t="shared" si="32"/>
        <v/>
      </c>
      <c r="AO37" s="2694" t="str">
        <f t="shared" si="32"/>
        <v/>
      </c>
      <c r="AP37" s="2693" t="str">
        <f t="shared" si="34"/>
        <v/>
      </c>
      <c r="AQ37" s="2736" t="str">
        <f t="shared" si="34"/>
        <v/>
      </c>
      <c r="AR37" s="2689" t="str">
        <f t="shared" si="35"/>
        <v/>
      </c>
      <c r="AS37" s="2690" t="str">
        <f t="shared" si="36"/>
        <v/>
      </c>
      <c r="AT37" s="2737" t="str">
        <f t="shared" si="37"/>
        <v/>
      </c>
      <c r="AU37" s="2738" t="str">
        <f t="shared" si="38"/>
        <v/>
      </c>
      <c r="AV37" s="2695" t="str">
        <f t="shared" si="39"/>
        <v/>
      </c>
      <c r="AW37" s="2690" t="str">
        <f t="shared" si="40"/>
        <v/>
      </c>
      <c r="AX37" s="2737" t="str">
        <f t="shared" si="41"/>
        <v/>
      </c>
      <c r="AY37" s="2738" t="str">
        <f t="shared" si="42"/>
        <v/>
      </c>
      <c r="AZ37" s="2695" t="str">
        <f t="shared" si="43"/>
        <v/>
      </c>
      <c r="BA37" s="2690" t="str">
        <f t="shared" si="44"/>
        <v/>
      </c>
      <c r="BB37" s="2737" t="str">
        <f t="shared" si="45"/>
        <v/>
      </c>
      <c r="BC37" s="2738" t="str">
        <f t="shared" si="46"/>
        <v/>
      </c>
      <c r="BD37" s="2695" t="str">
        <f t="shared" si="47"/>
        <v/>
      </c>
      <c r="BE37" s="2690" t="str">
        <f t="shared" si="48"/>
        <v/>
      </c>
      <c r="BF37" s="2737" t="str">
        <f t="shared" si="49"/>
        <v/>
      </c>
      <c r="BG37" s="2738" t="str">
        <f t="shared" si="50"/>
        <v/>
      </c>
      <c r="BH37" s="1417"/>
      <c r="BJ37" s="995" t="str">
        <f t="shared" si="93"/>
        <v/>
      </c>
      <c r="BK37" s="993" t="b">
        <f t="shared" si="51"/>
        <v>0</v>
      </c>
      <c r="BL37" s="1784" t="b">
        <v>0</v>
      </c>
      <c r="BM37" s="989">
        <f t="shared" si="52"/>
        <v>0</v>
      </c>
      <c r="BN37" s="989">
        <f t="shared" si="53"/>
        <v>0</v>
      </c>
      <c r="BO37" s="989">
        <f t="shared" si="54"/>
        <v>0</v>
      </c>
      <c r="BP37" s="989">
        <f t="shared" si="55"/>
        <v>0</v>
      </c>
      <c r="BQ37" s="989">
        <f t="shared" si="56"/>
        <v>0</v>
      </c>
      <c r="BR37" s="989" t="b">
        <f t="shared" si="57"/>
        <v>1</v>
      </c>
      <c r="BS37" s="1303">
        <f t="shared" si="58"/>
        <v>6</v>
      </c>
      <c r="BT37" s="990" t="str">
        <f t="shared" si="59"/>
        <v>No</v>
      </c>
      <c r="BU37" s="1303">
        <f t="shared" si="60"/>
        <v>6</v>
      </c>
      <c r="BV37" s="990" t="str">
        <f t="shared" si="61"/>
        <v>No</v>
      </c>
      <c r="BW37" s="991">
        <f t="shared" ca="1" si="62"/>
        <v>0</v>
      </c>
      <c r="BX37" s="991" t="str">
        <f t="shared" ca="1" si="63"/>
        <v/>
      </c>
      <c r="BY37" s="991" t="b">
        <f t="shared" ca="1" si="64"/>
        <v>0</v>
      </c>
      <c r="BZ37" s="991" t="b">
        <f t="shared" si="86"/>
        <v>0</v>
      </c>
      <c r="CB37" s="672"/>
      <c r="CC37" s="1685"/>
      <c r="CD37" s="699"/>
      <c r="CE37" s="700"/>
      <c r="CF37" s="701"/>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725"/>
      <c r="DE37" s="726"/>
      <c r="DF37" s="141"/>
      <c r="DG37" s="141"/>
      <c r="DH37" s="672"/>
      <c r="DI37" s="673"/>
      <c r="DJ37" s="692"/>
      <c r="DK37" s="1332"/>
      <c r="DL37" s="674"/>
      <c r="DM37" s="693"/>
      <c r="DN37" s="1335"/>
      <c r="DO37" s="675"/>
      <c r="DP37" s="676"/>
      <c r="DQ37" s="1420"/>
      <c r="DR37" s="677"/>
      <c r="DS37" s="1420"/>
      <c r="DT37" s="1422"/>
      <c r="DU37" s="1423"/>
      <c r="DV37" s="678"/>
      <c r="DW37" s="1337"/>
      <c r="DX37" s="679"/>
      <c r="DY37" s="674"/>
      <c r="DZ37" s="678"/>
      <c r="EA37" s="1337"/>
      <c r="EB37" s="679"/>
      <c r="EC37" s="674"/>
      <c r="ED37" s="678"/>
      <c r="EE37" s="1337"/>
      <c r="EF37" s="679"/>
      <c r="EG37" s="674"/>
      <c r="EH37" s="678"/>
      <c r="EI37" s="1337"/>
      <c r="EJ37" s="679"/>
      <c r="EK37" s="680"/>
      <c r="EL37" s="241"/>
      <c r="EM37" s="1632" t="str">
        <f t="shared" si="65"/>
        <v/>
      </c>
      <c r="EN37" s="1429" t="str">
        <f t="shared" si="66"/>
        <v/>
      </c>
      <c r="EO37" s="1430" t="str">
        <f t="shared" si="67"/>
        <v/>
      </c>
      <c r="EP37" s="1431" t="str">
        <f t="shared" si="68"/>
        <v/>
      </c>
      <c r="EQ37" s="1435" t="str">
        <f t="shared" si="69"/>
        <v/>
      </c>
      <c r="ER37" s="1441" t="str">
        <f t="shared" si="70"/>
        <v/>
      </c>
      <c r="ES37" s="1442" t="str">
        <f t="shared" si="71"/>
        <v/>
      </c>
      <c r="ET37" s="1443" t="str">
        <f t="shared" si="72"/>
        <v/>
      </c>
      <c r="EU37" s="1444" t="str">
        <f t="shared" si="87"/>
        <v/>
      </c>
      <c r="EX37" s="503" t="str">
        <f t="shared" ca="1" si="88"/>
        <v/>
      </c>
      <c r="EY37" s="940" t="str">
        <f t="shared" si="73"/>
        <v/>
      </c>
      <c r="EZ37" s="940" t="str">
        <f t="shared" si="89"/>
        <v/>
      </c>
      <c r="FA37" s="958" t="str">
        <f t="shared" ca="1" si="94"/>
        <v/>
      </c>
      <c r="FB37" s="134" t="str">
        <f t="shared" ca="1" si="90"/>
        <v/>
      </c>
      <c r="FC37" s="134">
        <f t="shared" ca="1" si="74"/>
        <v>0</v>
      </c>
      <c r="FD37" s="134">
        <f t="shared" ca="1" si="75"/>
        <v>0</v>
      </c>
      <c r="FE37" s="134">
        <f t="shared" ca="1" si="76"/>
        <v>0</v>
      </c>
      <c r="FF37" s="134">
        <f t="shared" ca="1" si="91"/>
        <v>0</v>
      </c>
      <c r="FN37" s="754" t="b">
        <v>0</v>
      </c>
      <c r="FO37" s="754" t="b">
        <f t="shared" si="77"/>
        <v>1</v>
      </c>
      <c r="FP37" s="754" t="b">
        <v>0</v>
      </c>
      <c r="FQ37" s="754" t="b">
        <f t="shared" si="92"/>
        <v>1</v>
      </c>
      <c r="FW37" s="2"/>
      <c r="FX37" s="2"/>
      <c r="FZ37" s="2"/>
      <c r="GA37" s="581" t="str">
        <f t="shared" si="78"/>
        <v/>
      </c>
      <c r="GB37" s="623" t="str">
        <f t="shared" si="79"/>
        <v/>
      </c>
      <c r="GC37" s="625" t="str">
        <f t="shared" si="80"/>
        <v/>
      </c>
      <c r="GD37" s="626" t="str">
        <f t="shared" si="81"/>
        <v/>
      </c>
      <c r="GE37" s="624" t="str">
        <f t="shared" si="82"/>
        <v/>
      </c>
      <c r="GF37" s="582" t="str">
        <f t="shared" si="83"/>
        <v/>
      </c>
      <c r="GG37" s="692"/>
      <c r="GH37" s="1136"/>
      <c r="GI37" s="692"/>
      <c r="GJ37" s="1136"/>
      <c r="GK37" s="1641">
        <f t="shared" si="84"/>
        <v>0</v>
      </c>
      <c r="GL37" s="1641" t="e">
        <f t="shared" si="85"/>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5"/>
        <v>0</v>
      </c>
    </row>
    <row r="38" spans="1:272" ht="12.6" customHeight="1" x14ac:dyDescent="0.25">
      <c r="A38" s="2683" t="str">
        <f t="shared" si="0"/>
        <v/>
      </c>
      <c r="B38" s="2684" t="str">
        <f t="shared" si="0"/>
        <v/>
      </c>
      <c r="C38" s="2685"/>
      <c r="D38" s="2686" t="str">
        <f t="shared" si="1"/>
        <v/>
      </c>
      <c r="E38" s="2687" t="str">
        <f t="shared" si="2"/>
        <v/>
      </c>
      <c r="F38" s="2688" t="str">
        <f t="shared" si="3"/>
        <v/>
      </c>
      <c r="G38" s="2689" t="str">
        <f t="shared" si="4"/>
        <v/>
      </c>
      <c r="H38" s="2690" t="str">
        <f t="shared" si="5"/>
        <v/>
      </c>
      <c r="I38" s="2691" t="str">
        <f t="shared" si="6"/>
        <v/>
      </c>
      <c r="J38" s="2686" t="str">
        <f t="shared" si="7"/>
        <v/>
      </c>
      <c r="K38" s="2690" t="str">
        <f t="shared" si="8"/>
        <v/>
      </c>
      <c r="L38" s="2692" t="str">
        <f t="shared" si="9"/>
        <v/>
      </c>
      <c r="M38" s="2693" t="str">
        <f t="shared" si="10"/>
        <v/>
      </c>
      <c r="N38" s="2694" t="str">
        <f t="shared" si="10"/>
        <v/>
      </c>
      <c r="O38" s="2689" t="str">
        <f t="shared" si="11"/>
        <v/>
      </c>
      <c r="P38" s="2690" t="str">
        <f t="shared" si="12"/>
        <v/>
      </c>
      <c r="Q38" s="2686" t="str">
        <f t="shared" si="13"/>
        <v/>
      </c>
      <c r="R38" s="2687" t="str">
        <f t="shared" si="14"/>
        <v/>
      </c>
      <c r="S38" s="2695" t="str">
        <f t="shared" si="15"/>
        <v/>
      </c>
      <c r="T38" s="2690" t="str">
        <f t="shared" si="16"/>
        <v/>
      </c>
      <c r="U38" s="2686" t="str">
        <f t="shared" si="17"/>
        <v/>
      </c>
      <c r="V38" s="2690" t="str">
        <f t="shared" si="18"/>
        <v/>
      </c>
      <c r="W38" s="2694">
        <f t="shared" si="19"/>
        <v>0</v>
      </c>
      <c r="X38" s="2696" t="str">
        <f t="shared" si="20"/>
        <v/>
      </c>
      <c r="Y38" s="2697" t="str">
        <f t="shared" si="21"/>
        <v/>
      </c>
      <c r="Z38" s="2698" t="s">
        <v>116</v>
      </c>
      <c r="AA38" s="2758" t="str">
        <f t="shared" si="22"/>
        <v/>
      </c>
      <c r="AB38" s="2683" t="str">
        <f t="shared" si="23"/>
        <v/>
      </c>
      <c r="AC38" s="2691" t="str">
        <f t="shared" si="24"/>
        <v/>
      </c>
      <c r="AD38" s="2686" t="str">
        <f t="shared" ca="1" si="25"/>
        <v/>
      </c>
      <c r="AE38" s="2690" t="str">
        <f t="shared" ca="1" si="26"/>
        <v/>
      </c>
      <c r="AF38" s="2691" t="str">
        <f t="shared" ca="1" si="27"/>
        <v/>
      </c>
      <c r="AG38" s="2686" t="str">
        <f t="shared" ca="1" si="28"/>
        <v/>
      </c>
      <c r="AH38" s="2690" t="str">
        <f t="shared" ca="1" si="29"/>
        <v/>
      </c>
      <c r="AI38" s="2686" t="str">
        <f t="shared" ca="1" si="30"/>
        <v/>
      </c>
      <c r="AJ38" s="2690" t="str">
        <f t="shared" ca="1" si="31"/>
        <v/>
      </c>
      <c r="AK38" s="2732" t="str">
        <f t="shared" si="32"/>
        <v/>
      </c>
      <c r="AL38" s="2733" t="str">
        <f t="shared" si="33"/>
        <v/>
      </c>
      <c r="AM38" s="2734" t="str">
        <f t="shared" si="32"/>
        <v/>
      </c>
      <c r="AN38" s="2691" t="str">
        <f t="shared" si="32"/>
        <v/>
      </c>
      <c r="AO38" s="2694" t="str">
        <f t="shared" si="32"/>
        <v/>
      </c>
      <c r="AP38" s="2693" t="str">
        <f t="shared" si="34"/>
        <v/>
      </c>
      <c r="AQ38" s="2736" t="str">
        <f t="shared" si="34"/>
        <v/>
      </c>
      <c r="AR38" s="2689" t="str">
        <f t="shared" si="35"/>
        <v/>
      </c>
      <c r="AS38" s="2690" t="str">
        <f t="shared" si="36"/>
        <v/>
      </c>
      <c r="AT38" s="2737" t="str">
        <f t="shared" si="37"/>
        <v/>
      </c>
      <c r="AU38" s="2738" t="str">
        <f t="shared" si="38"/>
        <v/>
      </c>
      <c r="AV38" s="2695" t="str">
        <f t="shared" si="39"/>
        <v/>
      </c>
      <c r="AW38" s="2690" t="str">
        <f t="shared" si="40"/>
        <v/>
      </c>
      <c r="AX38" s="2737" t="str">
        <f t="shared" si="41"/>
        <v/>
      </c>
      <c r="AY38" s="2738" t="str">
        <f t="shared" si="42"/>
        <v/>
      </c>
      <c r="AZ38" s="2695" t="str">
        <f t="shared" si="43"/>
        <v/>
      </c>
      <c r="BA38" s="2690" t="str">
        <f t="shared" si="44"/>
        <v/>
      </c>
      <c r="BB38" s="2737" t="str">
        <f t="shared" si="45"/>
        <v/>
      </c>
      <c r="BC38" s="2738" t="str">
        <f t="shared" si="46"/>
        <v/>
      </c>
      <c r="BD38" s="2695" t="str">
        <f t="shared" si="47"/>
        <v/>
      </c>
      <c r="BE38" s="2690" t="str">
        <f t="shared" si="48"/>
        <v/>
      </c>
      <c r="BF38" s="2737" t="str">
        <f t="shared" si="49"/>
        <v/>
      </c>
      <c r="BG38" s="2738" t="str">
        <f t="shared" si="50"/>
        <v/>
      </c>
      <c r="BH38" s="1417"/>
      <c r="BJ38" s="995" t="str">
        <f t="shared" si="93"/>
        <v/>
      </c>
      <c r="BK38" s="993" t="b">
        <f t="shared" si="51"/>
        <v>0</v>
      </c>
      <c r="BL38" s="1784" t="b">
        <v>0</v>
      </c>
      <c r="BM38" s="989">
        <f t="shared" si="52"/>
        <v>0</v>
      </c>
      <c r="BN38" s="989">
        <f t="shared" si="53"/>
        <v>0</v>
      </c>
      <c r="BO38" s="989">
        <f t="shared" si="54"/>
        <v>0</v>
      </c>
      <c r="BP38" s="989">
        <f t="shared" si="55"/>
        <v>0</v>
      </c>
      <c r="BQ38" s="989">
        <f t="shared" si="56"/>
        <v>0</v>
      </c>
      <c r="BR38" s="989" t="b">
        <f t="shared" si="57"/>
        <v>1</v>
      </c>
      <c r="BS38" s="1303">
        <f t="shared" si="58"/>
        <v>6</v>
      </c>
      <c r="BT38" s="990" t="str">
        <f t="shared" si="59"/>
        <v>No</v>
      </c>
      <c r="BU38" s="1303">
        <f t="shared" si="60"/>
        <v>6</v>
      </c>
      <c r="BV38" s="990" t="str">
        <f t="shared" si="61"/>
        <v>No</v>
      </c>
      <c r="BW38" s="991">
        <f t="shared" ca="1" si="62"/>
        <v>0</v>
      </c>
      <c r="BX38" s="991" t="str">
        <f t="shared" ca="1" si="63"/>
        <v/>
      </c>
      <c r="BY38" s="991" t="b">
        <f t="shared" ca="1" si="64"/>
        <v>0</v>
      </c>
      <c r="BZ38" s="991" t="b">
        <f t="shared" si="86"/>
        <v>0</v>
      </c>
      <c r="CB38" s="672"/>
      <c r="CC38" s="1685"/>
      <c r="CD38" s="699"/>
      <c r="CE38" s="700"/>
      <c r="CF38" s="701"/>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725"/>
      <c r="DE38" s="726"/>
      <c r="DF38" s="141"/>
      <c r="DG38" s="141"/>
      <c r="DH38" s="672"/>
      <c r="DI38" s="673"/>
      <c r="DJ38" s="692"/>
      <c r="DK38" s="1332"/>
      <c r="DL38" s="674"/>
      <c r="DM38" s="693"/>
      <c r="DN38" s="1335"/>
      <c r="DO38" s="675"/>
      <c r="DP38" s="676"/>
      <c r="DQ38" s="1420"/>
      <c r="DR38" s="677"/>
      <c r="DS38" s="1420"/>
      <c r="DT38" s="1422"/>
      <c r="DU38" s="1423"/>
      <c r="DV38" s="678"/>
      <c r="DW38" s="1337"/>
      <c r="DX38" s="679"/>
      <c r="DY38" s="674"/>
      <c r="DZ38" s="678"/>
      <c r="EA38" s="1337"/>
      <c r="EB38" s="679"/>
      <c r="EC38" s="674"/>
      <c r="ED38" s="678"/>
      <c r="EE38" s="1337"/>
      <c r="EF38" s="679"/>
      <c r="EG38" s="674"/>
      <c r="EH38" s="678"/>
      <c r="EI38" s="1337"/>
      <c r="EJ38" s="679"/>
      <c r="EK38" s="680"/>
      <c r="EL38" s="241"/>
      <c r="EM38" s="1632" t="str">
        <f t="shared" si="65"/>
        <v/>
      </c>
      <c r="EN38" s="1429" t="str">
        <f t="shared" si="66"/>
        <v/>
      </c>
      <c r="EO38" s="1430" t="str">
        <f t="shared" si="67"/>
        <v/>
      </c>
      <c r="EP38" s="1431" t="str">
        <f t="shared" si="68"/>
        <v/>
      </c>
      <c r="EQ38" s="1435" t="str">
        <f t="shared" si="69"/>
        <v/>
      </c>
      <c r="ER38" s="1441" t="str">
        <f t="shared" si="70"/>
        <v/>
      </c>
      <c r="ES38" s="1442" t="str">
        <f t="shared" si="71"/>
        <v/>
      </c>
      <c r="ET38" s="1443" t="str">
        <f t="shared" si="72"/>
        <v/>
      </c>
      <c r="EU38" s="1444" t="str">
        <f t="shared" si="87"/>
        <v/>
      </c>
      <c r="EX38" s="503" t="str">
        <f t="shared" ca="1" si="88"/>
        <v/>
      </c>
      <c r="EY38" s="940" t="str">
        <f t="shared" si="73"/>
        <v/>
      </c>
      <c r="EZ38" s="940" t="str">
        <f t="shared" si="89"/>
        <v/>
      </c>
      <c r="FA38" s="958" t="str">
        <f t="shared" ca="1" si="94"/>
        <v/>
      </c>
      <c r="FB38" s="134" t="str">
        <f t="shared" ca="1" si="90"/>
        <v/>
      </c>
      <c r="FC38" s="134">
        <f t="shared" ca="1" si="74"/>
        <v>0</v>
      </c>
      <c r="FD38" s="134">
        <f t="shared" ca="1" si="75"/>
        <v>0</v>
      </c>
      <c r="FE38" s="134">
        <f t="shared" ca="1" si="76"/>
        <v>0</v>
      </c>
      <c r="FF38" s="134">
        <f t="shared" ca="1" si="91"/>
        <v>0</v>
      </c>
      <c r="FN38" s="754" t="b">
        <v>0</v>
      </c>
      <c r="FO38" s="754" t="b">
        <f t="shared" si="77"/>
        <v>1</v>
      </c>
      <c r="FP38" s="754" t="b">
        <v>0</v>
      </c>
      <c r="FQ38" s="754" t="b">
        <f t="shared" si="92"/>
        <v>1</v>
      </c>
      <c r="FW38" s="2"/>
      <c r="FX38" s="2"/>
      <c r="FZ38" s="2"/>
      <c r="GA38" s="581" t="str">
        <f t="shared" si="78"/>
        <v/>
      </c>
      <c r="GB38" s="623" t="str">
        <f t="shared" si="79"/>
        <v/>
      </c>
      <c r="GC38" s="625" t="str">
        <f t="shared" si="80"/>
        <v/>
      </c>
      <c r="GD38" s="626" t="str">
        <f t="shared" si="81"/>
        <v/>
      </c>
      <c r="GE38" s="624" t="str">
        <f t="shared" si="82"/>
        <v/>
      </c>
      <c r="GF38" s="582" t="str">
        <f t="shared" si="83"/>
        <v/>
      </c>
      <c r="GG38" s="692"/>
      <c r="GH38" s="1136"/>
      <c r="GI38" s="692"/>
      <c r="GJ38" s="1136"/>
      <c r="GK38" s="1641">
        <f t="shared" si="84"/>
        <v>0</v>
      </c>
      <c r="GL38" s="1641" t="e">
        <f t="shared" si="85"/>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5"/>
        <v>0</v>
      </c>
    </row>
    <row r="39" spans="1:272" ht="12.6" customHeight="1" x14ac:dyDescent="0.25">
      <c r="A39" s="2683" t="str">
        <f t="shared" si="0"/>
        <v/>
      </c>
      <c r="B39" s="2684" t="str">
        <f t="shared" si="0"/>
        <v/>
      </c>
      <c r="C39" s="2685"/>
      <c r="D39" s="2686" t="str">
        <f t="shared" si="1"/>
        <v/>
      </c>
      <c r="E39" s="2687" t="str">
        <f t="shared" si="2"/>
        <v/>
      </c>
      <c r="F39" s="2688" t="str">
        <f t="shared" si="3"/>
        <v/>
      </c>
      <c r="G39" s="2689" t="str">
        <f t="shared" si="4"/>
        <v/>
      </c>
      <c r="H39" s="2690" t="str">
        <f t="shared" si="5"/>
        <v/>
      </c>
      <c r="I39" s="2691" t="str">
        <f t="shared" si="6"/>
        <v/>
      </c>
      <c r="J39" s="2686" t="str">
        <f t="shared" si="7"/>
        <v/>
      </c>
      <c r="K39" s="2690" t="str">
        <f t="shared" si="8"/>
        <v/>
      </c>
      <c r="L39" s="2692" t="str">
        <f t="shared" si="9"/>
        <v/>
      </c>
      <c r="M39" s="2693" t="str">
        <f t="shared" si="10"/>
        <v/>
      </c>
      <c r="N39" s="2694" t="str">
        <f t="shared" si="10"/>
        <v/>
      </c>
      <c r="O39" s="2689" t="str">
        <f t="shared" si="11"/>
        <v/>
      </c>
      <c r="P39" s="2690" t="str">
        <f t="shared" si="12"/>
        <v/>
      </c>
      <c r="Q39" s="2686" t="str">
        <f t="shared" si="13"/>
        <v/>
      </c>
      <c r="R39" s="2687" t="str">
        <f t="shared" si="14"/>
        <v/>
      </c>
      <c r="S39" s="2695" t="str">
        <f t="shared" si="15"/>
        <v/>
      </c>
      <c r="T39" s="2690" t="str">
        <f t="shared" si="16"/>
        <v/>
      </c>
      <c r="U39" s="2686" t="str">
        <f t="shared" si="17"/>
        <v/>
      </c>
      <c r="V39" s="2690" t="str">
        <f t="shared" si="18"/>
        <v/>
      </c>
      <c r="W39" s="2694">
        <f t="shared" si="19"/>
        <v>0</v>
      </c>
      <c r="X39" s="2696" t="str">
        <f t="shared" si="20"/>
        <v/>
      </c>
      <c r="Y39" s="2697" t="str">
        <f t="shared" si="21"/>
        <v/>
      </c>
      <c r="Z39" s="2698" t="s">
        <v>116</v>
      </c>
      <c r="AA39" s="2758" t="str">
        <f t="shared" si="22"/>
        <v/>
      </c>
      <c r="AB39" s="2683" t="str">
        <f t="shared" si="23"/>
        <v/>
      </c>
      <c r="AC39" s="2691" t="str">
        <f t="shared" si="24"/>
        <v/>
      </c>
      <c r="AD39" s="2686" t="str">
        <f t="shared" ca="1" si="25"/>
        <v/>
      </c>
      <c r="AE39" s="2690" t="str">
        <f t="shared" ca="1" si="26"/>
        <v/>
      </c>
      <c r="AF39" s="2691" t="str">
        <f t="shared" ca="1" si="27"/>
        <v/>
      </c>
      <c r="AG39" s="2686" t="str">
        <f t="shared" ca="1" si="28"/>
        <v/>
      </c>
      <c r="AH39" s="2690" t="str">
        <f t="shared" ca="1" si="29"/>
        <v/>
      </c>
      <c r="AI39" s="2686" t="str">
        <f t="shared" ca="1" si="30"/>
        <v/>
      </c>
      <c r="AJ39" s="2690" t="str">
        <f t="shared" ca="1" si="31"/>
        <v/>
      </c>
      <c r="AK39" s="2732" t="str">
        <f t="shared" si="32"/>
        <v/>
      </c>
      <c r="AL39" s="2733" t="str">
        <f t="shared" si="33"/>
        <v/>
      </c>
      <c r="AM39" s="2734" t="str">
        <f t="shared" si="32"/>
        <v/>
      </c>
      <c r="AN39" s="2691" t="str">
        <f t="shared" si="32"/>
        <v/>
      </c>
      <c r="AO39" s="2694" t="str">
        <f t="shared" si="32"/>
        <v/>
      </c>
      <c r="AP39" s="2693" t="str">
        <f t="shared" si="34"/>
        <v/>
      </c>
      <c r="AQ39" s="2736" t="str">
        <f t="shared" si="34"/>
        <v/>
      </c>
      <c r="AR39" s="2689" t="str">
        <f t="shared" si="35"/>
        <v/>
      </c>
      <c r="AS39" s="2690" t="str">
        <f t="shared" si="36"/>
        <v/>
      </c>
      <c r="AT39" s="2737" t="str">
        <f t="shared" si="37"/>
        <v/>
      </c>
      <c r="AU39" s="2738" t="str">
        <f t="shared" si="38"/>
        <v/>
      </c>
      <c r="AV39" s="2695" t="str">
        <f t="shared" si="39"/>
        <v/>
      </c>
      <c r="AW39" s="2690" t="str">
        <f t="shared" si="40"/>
        <v/>
      </c>
      <c r="AX39" s="2737" t="str">
        <f t="shared" si="41"/>
        <v/>
      </c>
      <c r="AY39" s="2738" t="str">
        <f t="shared" si="42"/>
        <v/>
      </c>
      <c r="AZ39" s="2695" t="str">
        <f t="shared" si="43"/>
        <v/>
      </c>
      <c r="BA39" s="2690" t="str">
        <f t="shared" si="44"/>
        <v/>
      </c>
      <c r="BB39" s="2737" t="str">
        <f t="shared" si="45"/>
        <v/>
      </c>
      <c r="BC39" s="2738" t="str">
        <f t="shared" si="46"/>
        <v/>
      </c>
      <c r="BD39" s="2695" t="str">
        <f t="shared" si="47"/>
        <v/>
      </c>
      <c r="BE39" s="2690" t="str">
        <f t="shared" si="48"/>
        <v/>
      </c>
      <c r="BF39" s="2737" t="str">
        <f t="shared" si="49"/>
        <v/>
      </c>
      <c r="BG39" s="2738" t="str">
        <f t="shared" si="50"/>
        <v/>
      </c>
      <c r="BH39" s="1417"/>
      <c r="BJ39" s="995" t="str">
        <f t="shared" si="93"/>
        <v/>
      </c>
      <c r="BK39" s="993" t="b">
        <f t="shared" si="51"/>
        <v>0</v>
      </c>
      <c r="BL39" s="1784" t="b">
        <v>0</v>
      </c>
      <c r="BM39" s="989">
        <f t="shared" si="52"/>
        <v>0</v>
      </c>
      <c r="BN39" s="989">
        <f t="shared" si="53"/>
        <v>0</v>
      </c>
      <c r="BO39" s="989">
        <f t="shared" si="54"/>
        <v>0</v>
      </c>
      <c r="BP39" s="989">
        <f t="shared" si="55"/>
        <v>0</v>
      </c>
      <c r="BQ39" s="989">
        <f t="shared" si="56"/>
        <v>0</v>
      </c>
      <c r="BR39" s="989" t="b">
        <f t="shared" si="57"/>
        <v>1</v>
      </c>
      <c r="BS39" s="1303">
        <f t="shared" si="58"/>
        <v>6</v>
      </c>
      <c r="BT39" s="990" t="str">
        <f t="shared" si="59"/>
        <v>No</v>
      </c>
      <c r="BU39" s="1303">
        <f t="shared" si="60"/>
        <v>6</v>
      </c>
      <c r="BV39" s="990" t="str">
        <f t="shared" si="61"/>
        <v>No</v>
      </c>
      <c r="BW39" s="991">
        <f t="shared" ca="1" si="62"/>
        <v>0</v>
      </c>
      <c r="BX39" s="991" t="str">
        <f t="shared" ca="1" si="63"/>
        <v/>
      </c>
      <c r="BY39" s="991" t="b">
        <f t="shared" ca="1" si="64"/>
        <v>0</v>
      </c>
      <c r="BZ39" s="991" t="b">
        <f t="shared" si="86"/>
        <v>0</v>
      </c>
      <c r="CB39" s="672"/>
      <c r="CC39" s="1685"/>
      <c r="CD39" s="699"/>
      <c r="CE39" s="700"/>
      <c r="CF39" s="701"/>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725"/>
      <c r="DE39" s="726"/>
      <c r="DF39" s="141"/>
      <c r="DG39" s="141"/>
      <c r="DH39" s="672"/>
      <c r="DI39" s="673"/>
      <c r="DJ39" s="692"/>
      <c r="DK39" s="1332"/>
      <c r="DL39" s="674"/>
      <c r="DM39" s="693"/>
      <c r="DN39" s="1335"/>
      <c r="DO39" s="675"/>
      <c r="DP39" s="676"/>
      <c r="DQ39" s="1420"/>
      <c r="DR39" s="677"/>
      <c r="DS39" s="1420"/>
      <c r="DT39" s="1422"/>
      <c r="DU39" s="1423"/>
      <c r="DV39" s="678"/>
      <c r="DW39" s="1337"/>
      <c r="DX39" s="679"/>
      <c r="DY39" s="674"/>
      <c r="DZ39" s="678"/>
      <c r="EA39" s="1337"/>
      <c r="EB39" s="679"/>
      <c r="EC39" s="674"/>
      <c r="ED39" s="678"/>
      <c r="EE39" s="1337"/>
      <c r="EF39" s="679"/>
      <c r="EG39" s="674"/>
      <c r="EH39" s="678"/>
      <c r="EI39" s="1337"/>
      <c r="EJ39" s="679"/>
      <c r="EK39" s="680"/>
      <c r="EL39" s="241"/>
      <c r="EM39" s="1632" t="str">
        <f t="shared" si="65"/>
        <v/>
      </c>
      <c r="EN39" s="1429" t="str">
        <f t="shared" si="66"/>
        <v/>
      </c>
      <c r="EO39" s="1430" t="str">
        <f t="shared" si="67"/>
        <v/>
      </c>
      <c r="EP39" s="1431" t="str">
        <f t="shared" si="68"/>
        <v/>
      </c>
      <c r="EQ39" s="1435" t="str">
        <f t="shared" si="69"/>
        <v/>
      </c>
      <c r="ER39" s="1441" t="str">
        <f t="shared" si="70"/>
        <v/>
      </c>
      <c r="ES39" s="1442" t="str">
        <f t="shared" si="71"/>
        <v/>
      </c>
      <c r="ET39" s="1443" t="str">
        <f t="shared" si="72"/>
        <v/>
      </c>
      <c r="EU39" s="1444" t="str">
        <f t="shared" si="87"/>
        <v/>
      </c>
      <c r="EX39" s="503" t="str">
        <f t="shared" ca="1" si="88"/>
        <v/>
      </c>
      <c r="EY39" s="940" t="str">
        <f t="shared" si="73"/>
        <v/>
      </c>
      <c r="EZ39" s="940" t="str">
        <f t="shared" si="89"/>
        <v/>
      </c>
      <c r="FA39" s="958" t="str">
        <f t="shared" ca="1" si="94"/>
        <v/>
      </c>
      <c r="FB39" s="134" t="str">
        <f t="shared" ca="1" si="90"/>
        <v/>
      </c>
      <c r="FC39" s="134">
        <f t="shared" ca="1" si="74"/>
        <v>0</v>
      </c>
      <c r="FD39" s="134">
        <f t="shared" ca="1" si="75"/>
        <v>0</v>
      </c>
      <c r="FE39" s="134">
        <f t="shared" ca="1" si="76"/>
        <v>0</v>
      </c>
      <c r="FF39" s="134">
        <f t="shared" ca="1" si="91"/>
        <v>0</v>
      </c>
      <c r="FN39" s="754" t="b">
        <v>0</v>
      </c>
      <c r="FO39" s="754" t="b">
        <f t="shared" si="77"/>
        <v>1</v>
      </c>
      <c r="FP39" s="754" t="b">
        <v>0</v>
      </c>
      <c r="FQ39" s="754" t="b">
        <f t="shared" si="92"/>
        <v>1</v>
      </c>
      <c r="FW39" s="2"/>
      <c r="FX39" s="2"/>
      <c r="FZ39" s="2"/>
      <c r="GA39" s="581" t="str">
        <f t="shared" si="78"/>
        <v/>
      </c>
      <c r="GB39" s="623" t="str">
        <f t="shared" si="79"/>
        <v/>
      </c>
      <c r="GC39" s="625" t="str">
        <f t="shared" si="80"/>
        <v/>
      </c>
      <c r="GD39" s="626" t="str">
        <f t="shared" si="81"/>
        <v/>
      </c>
      <c r="GE39" s="624" t="str">
        <f t="shared" si="82"/>
        <v/>
      </c>
      <c r="GF39" s="582" t="str">
        <f t="shared" si="83"/>
        <v/>
      </c>
      <c r="GG39" s="692"/>
      <c r="GH39" s="1136"/>
      <c r="GI39" s="692"/>
      <c r="GJ39" s="1136"/>
      <c r="GK39" s="1641">
        <f t="shared" si="84"/>
        <v>0</v>
      </c>
      <c r="GL39" s="1641" t="e">
        <f t="shared" si="85"/>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5"/>
        <v>0</v>
      </c>
    </row>
    <row r="40" spans="1:272" ht="12.6" customHeight="1" x14ac:dyDescent="0.25">
      <c r="A40" s="2683" t="str">
        <f t="shared" si="0"/>
        <v/>
      </c>
      <c r="B40" s="2684" t="str">
        <f t="shared" si="0"/>
        <v/>
      </c>
      <c r="C40" s="2685"/>
      <c r="D40" s="2686" t="str">
        <f t="shared" si="1"/>
        <v/>
      </c>
      <c r="E40" s="2687" t="str">
        <f t="shared" si="2"/>
        <v/>
      </c>
      <c r="F40" s="2688" t="str">
        <f t="shared" si="3"/>
        <v/>
      </c>
      <c r="G40" s="2689" t="str">
        <f t="shared" si="4"/>
        <v/>
      </c>
      <c r="H40" s="2690" t="str">
        <f t="shared" si="5"/>
        <v/>
      </c>
      <c r="I40" s="2691" t="str">
        <f t="shared" si="6"/>
        <v/>
      </c>
      <c r="J40" s="2686" t="str">
        <f t="shared" si="7"/>
        <v/>
      </c>
      <c r="K40" s="2690" t="str">
        <f t="shared" si="8"/>
        <v/>
      </c>
      <c r="L40" s="2692" t="str">
        <f t="shared" si="9"/>
        <v/>
      </c>
      <c r="M40" s="2693" t="str">
        <f t="shared" si="10"/>
        <v/>
      </c>
      <c r="N40" s="2694" t="str">
        <f t="shared" si="10"/>
        <v/>
      </c>
      <c r="O40" s="2689" t="str">
        <f t="shared" si="11"/>
        <v/>
      </c>
      <c r="P40" s="2690" t="str">
        <f t="shared" si="12"/>
        <v/>
      </c>
      <c r="Q40" s="2686" t="str">
        <f t="shared" si="13"/>
        <v/>
      </c>
      <c r="R40" s="2687" t="str">
        <f t="shared" si="14"/>
        <v/>
      </c>
      <c r="S40" s="2695" t="str">
        <f t="shared" si="15"/>
        <v/>
      </c>
      <c r="T40" s="2690" t="str">
        <f t="shared" si="16"/>
        <v/>
      </c>
      <c r="U40" s="2686" t="str">
        <f t="shared" si="17"/>
        <v/>
      </c>
      <c r="V40" s="2690" t="str">
        <f t="shared" si="18"/>
        <v/>
      </c>
      <c r="W40" s="2694">
        <f t="shared" si="19"/>
        <v>0</v>
      </c>
      <c r="X40" s="2696" t="str">
        <f t="shared" si="20"/>
        <v/>
      </c>
      <c r="Y40" s="2697" t="str">
        <f t="shared" si="21"/>
        <v/>
      </c>
      <c r="Z40" s="2698" t="s">
        <v>116</v>
      </c>
      <c r="AA40" s="2758" t="str">
        <f t="shared" si="22"/>
        <v/>
      </c>
      <c r="AB40" s="2683" t="str">
        <f t="shared" si="23"/>
        <v/>
      </c>
      <c r="AC40" s="2691" t="str">
        <f t="shared" si="24"/>
        <v/>
      </c>
      <c r="AD40" s="2686" t="str">
        <f t="shared" ca="1" si="25"/>
        <v/>
      </c>
      <c r="AE40" s="2690" t="str">
        <f t="shared" ca="1" si="26"/>
        <v/>
      </c>
      <c r="AF40" s="2691" t="str">
        <f t="shared" ca="1" si="27"/>
        <v/>
      </c>
      <c r="AG40" s="2686" t="str">
        <f t="shared" ca="1" si="28"/>
        <v/>
      </c>
      <c r="AH40" s="2690" t="str">
        <f t="shared" ca="1" si="29"/>
        <v/>
      </c>
      <c r="AI40" s="2686" t="str">
        <f t="shared" ca="1" si="30"/>
        <v/>
      </c>
      <c r="AJ40" s="2690" t="str">
        <f t="shared" ca="1" si="31"/>
        <v/>
      </c>
      <c r="AK40" s="2732" t="str">
        <f t="shared" si="32"/>
        <v/>
      </c>
      <c r="AL40" s="2733" t="str">
        <f t="shared" si="33"/>
        <v/>
      </c>
      <c r="AM40" s="2734" t="str">
        <f t="shared" si="32"/>
        <v/>
      </c>
      <c r="AN40" s="2691" t="str">
        <f t="shared" si="32"/>
        <v/>
      </c>
      <c r="AO40" s="2694" t="str">
        <f t="shared" si="32"/>
        <v/>
      </c>
      <c r="AP40" s="2693" t="str">
        <f t="shared" si="34"/>
        <v/>
      </c>
      <c r="AQ40" s="2736" t="str">
        <f t="shared" si="34"/>
        <v/>
      </c>
      <c r="AR40" s="2689" t="str">
        <f t="shared" si="35"/>
        <v/>
      </c>
      <c r="AS40" s="2690" t="str">
        <f t="shared" si="36"/>
        <v/>
      </c>
      <c r="AT40" s="2737" t="str">
        <f t="shared" si="37"/>
        <v/>
      </c>
      <c r="AU40" s="2738" t="str">
        <f t="shared" si="38"/>
        <v/>
      </c>
      <c r="AV40" s="2695" t="str">
        <f t="shared" si="39"/>
        <v/>
      </c>
      <c r="AW40" s="2690" t="str">
        <f t="shared" si="40"/>
        <v/>
      </c>
      <c r="AX40" s="2737" t="str">
        <f t="shared" si="41"/>
        <v/>
      </c>
      <c r="AY40" s="2738" t="str">
        <f t="shared" si="42"/>
        <v/>
      </c>
      <c r="AZ40" s="2695" t="str">
        <f t="shared" si="43"/>
        <v/>
      </c>
      <c r="BA40" s="2690" t="str">
        <f t="shared" si="44"/>
        <v/>
      </c>
      <c r="BB40" s="2737" t="str">
        <f t="shared" si="45"/>
        <v/>
      </c>
      <c r="BC40" s="2738" t="str">
        <f t="shared" si="46"/>
        <v/>
      </c>
      <c r="BD40" s="2695" t="str">
        <f t="shared" si="47"/>
        <v/>
      </c>
      <c r="BE40" s="2690" t="str">
        <f t="shared" si="48"/>
        <v/>
      </c>
      <c r="BF40" s="2737" t="str">
        <f t="shared" si="49"/>
        <v/>
      </c>
      <c r="BG40" s="2738" t="str">
        <f t="shared" si="50"/>
        <v/>
      </c>
      <c r="BH40" s="1417"/>
      <c r="BJ40" s="995" t="str">
        <f t="shared" si="93"/>
        <v/>
      </c>
      <c r="BK40" s="993" t="b">
        <f t="shared" si="51"/>
        <v>0</v>
      </c>
      <c r="BL40" s="1784" t="b">
        <v>0</v>
      </c>
      <c r="BM40" s="989">
        <f t="shared" si="52"/>
        <v>0</v>
      </c>
      <c r="BN40" s="989">
        <f t="shared" si="53"/>
        <v>0</v>
      </c>
      <c r="BO40" s="989">
        <f t="shared" si="54"/>
        <v>0</v>
      </c>
      <c r="BP40" s="989">
        <f t="shared" si="55"/>
        <v>0</v>
      </c>
      <c r="BQ40" s="989">
        <f t="shared" si="56"/>
        <v>0</v>
      </c>
      <c r="BR40" s="989" t="b">
        <f t="shared" si="57"/>
        <v>1</v>
      </c>
      <c r="BS40" s="1303">
        <f t="shared" si="58"/>
        <v>6</v>
      </c>
      <c r="BT40" s="990" t="str">
        <f t="shared" si="59"/>
        <v>No</v>
      </c>
      <c r="BU40" s="1303">
        <f t="shared" si="60"/>
        <v>6</v>
      </c>
      <c r="BV40" s="990" t="str">
        <f t="shared" si="61"/>
        <v>No</v>
      </c>
      <c r="BW40" s="991">
        <f t="shared" ca="1" si="62"/>
        <v>0</v>
      </c>
      <c r="BX40" s="991" t="str">
        <f t="shared" ca="1" si="63"/>
        <v/>
      </c>
      <c r="BY40" s="991" t="b">
        <f t="shared" ca="1" si="64"/>
        <v>0</v>
      </c>
      <c r="BZ40" s="991" t="b">
        <f t="shared" si="86"/>
        <v>0</v>
      </c>
      <c r="CB40" s="672"/>
      <c r="CC40" s="1685"/>
      <c r="CD40" s="699"/>
      <c r="CE40" s="700"/>
      <c r="CF40" s="701"/>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725"/>
      <c r="DE40" s="726"/>
      <c r="DF40" s="141"/>
      <c r="DG40" s="141"/>
      <c r="DH40" s="672"/>
      <c r="DI40" s="673"/>
      <c r="DJ40" s="692"/>
      <c r="DK40" s="1332"/>
      <c r="DL40" s="674"/>
      <c r="DM40" s="693"/>
      <c r="DN40" s="1335"/>
      <c r="DO40" s="675"/>
      <c r="DP40" s="676"/>
      <c r="DQ40" s="1420"/>
      <c r="DR40" s="677"/>
      <c r="DS40" s="1420"/>
      <c r="DT40" s="1422"/>
      <c r="DU40" s="1423"/>
      <c r="DV40" s="678"/>
      <c r="DW40" s="1337"/>
      <c r="DX40" s="679"/>
      <c r="DY40" s="674"/>
      <c r="DZ40" s="678"/>
      <c r="EA40" s="1337"/>
      <c r="EB40" s="679"/>
      <c r="EC40" s="674"/>
      <c r="ED40" s="678"/>
      <c r="EE40" s="1337"/>
      <c r="EF40" s="679"/>
      <c r="EG40" s="674"/>
      <c r="EH40" s="678"/>
      <c r="EI40" s="1337"/>
      <c r="EJ40" s="679"/>
      <c r="EK40" s="680"/>
      <c r="EL40" s="241"/>
      <c r="EM40" s="1632" t="str">
        <f t="shared" si="65"/>
        <v/>
      </c>
      <c r="EN40" s="1429" t="str">
        <f t="shared" si="66"/>
        <v/>
      </c>
      <c r="EO40" s="1430" t="str">
        <f t="shared" si="67"/>
        <v/>
      </c>
      <c r="EP40" s="1431" t="str">
        <f t="shared" si="68"/>
        <v/>
      </c>
      <c r="EQ40" s="1435" t="str">
        <f t="shared" si="69"/>
        <v/>
      </c>
      <c r="ER40" s="1441" t="str">
        <f t="shared" si="70"/>
        <v/>
      </c>
      <c r="ES40" s="1442" t="str">
        <f t="shared" si="71"/>
        <v/>
      </c>
      <c r="ET40" s="1443" t="str">
        <f t="shared" si="72"/>
        <v/>
      </c>
      <c r="EU40" s="1444" t="str">
        <f t="shared" si="87"/>
        <v/>
      </c>
      <c r="EX40" s="503" t="str">
        <f t="shared" ca="1" si="88"/>
        <v/>
      </c>
      <c r="EY40" s="940" t="str">
        <f t="shared" si="73"/>
        <v/>
      </c>
      <c r="EZ40" s="940" t="str">
        <f t="shared" si="89"/>
        <v/>
      </c>
      <c r="FA40" s="958" t="str">
        <f t="shared" ca="1" si="94"/>
        <v/>
      </c>
      <c r="FB40" s="134" t="str">
        <f t="shared" ca="1" si="90"/>
        <v/>
      </c>
      <c r="FC40" s="134">
        <f t="shared" ca="1" si="74"/>
        <v>0</v>
      </c>
      <c r="FD40" s="134">
        <f t="shared" ca="1" si="75"/>
        <v>0</v>
      </c>
      <c r="FE40" s="134">
        <f t="shared" ca="1" si="76"/>
        <v>0</v>
      </c>
      <c r="FF40" s="134">
        <f t="shared" ca="1" si="91"/>
        <v>0</v>
      </c>
      <c r="FN40" s="754" t="b">
        <v>0</v>
      </c>
      <c r="FO40" s="754" t="b">
        <f t="shared" si="77"/>
        <v>1</v>
      </c>
      <c r="FP40" s="754" t="b">
        <v>0</v>
      </c>
      <c r="FQ40" s="754" t="b">
        <f t="shared" si="92"/>
        <v>1</v>
      </c>
      <c r="FW40" s="2"/>
      <c r="FX40" s="2"/>
      <c r="FZ40" s="2"/>
      <c r="GA40" s="581" t="str">
        <f t="shared" si="78"/>
        <v/>
      </c>
      <c r="GB40" s="623" t="str">
        <f t="shared" si="79"/>
        <v/>
      </c>
      <c r="GC40" s="625" t="str">
        <f t="shared" si="80"/>
        <v/>
      </c>
      <c r="GD40" s="626" t="str">
        <f t="shared" si="81"/>
        <v/>
      </c>
      <c r="GE40" s="624" t="str">
        <f t="shared" si="82"/>
        <v/>
      </c>
      <c r="GF40" s="582" t="str">
        <f t="shared" si="83"/>
        <v/>
      </c>
      <c r="GG40" s="692"/>
      <c r="GH40" s="1136"/>
      <c r="GI40" s="692"/>
      <c r="GJ40" s="1136"/>
      <c r="GK40" s="1641">
        <f t="shared" si="84"/>
        <v>0</v>
      </c>
      <c r="GL40" s="1641" t="e">
        <f t="shared" si="85"/>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5"/>
        <v>0</v>
      </c>
    </row>
    <row r="41" spans="1:272" ht="12.6" customHeight="1" x14ac:dyDescent="0.25">
      <c r="A41" s="2683" t="str">
        <f t="shared" si="0"/>
        <v/>
      </c>
      <c r="B41" s="2684" t="str">
        <f t="shared" si="0"/>
        <v/>
      </c>
      <c r="C41" s="2685"/>
      <c r="D41" s="2686" t="str">
        <f t="shared" si="1"/>
        <v/>
      </c>
      <c r="E41" s="2687" t="str">
        <f t="shared" si="2"/>
        <v/>
      </c>
      <c r="F41" s="2688" t="str">
        <f t="shared" si="3"/>
        <v/>
      </c>
      <c r="G41" s="2689" t="str">
        <f t="shared" si="4"/>
        <v/>
      </c>
      <c r="H41" s="2690" t="str">
        <f t="shared" si="5"/>
        <v/>
      </c>
      <c r="I41" s="2691" t="str">
        <f t="shared" si="6"/>
        <v/>
      </c>
      <c r="J41" s="2686" t="str">
        <f t="shared" si="7"/>
        <v/>
      </c>
      <c r="K41" s="2690" t="str">
        <f t="shared" si="8"/>
        <v/>
      </c>
      <c r="L41" s="2692" t="str">
        <f t="shared" si="9"/>
        <v/>
      </c>
      <c r="M41" s="2693" t="str">
        <f t="shared" si="10"/>
        <v/>
      </c>
      <c r="N41" s="2694" t="str">
        <f t="shared" si="10"/>
        <v/>
      </c>
      <c r="O41" s="2689" t="str">
        <f t="shared" si="11"/>
        <v/>
      </c>
      <c r="P41" s="2690" t="str">
        <f t="shared" si="12"/>
        <v/>
      </c>
      <c r="Q41" s="2686" t="str">
        <f t="shared" si="13"/>
        <v/>
      </c>
      <c r="R41" s="2687" t="str">
        <f t="shared" si="14"/>
        <v/>
      </c>
      <c r="S41" s="2695" t="str">
        <f t="shared" si="15"/>
        <v/>
      </c>
      <c r="T41" s="2690" t="str">
        <f t="shared" si="16"/>
        <v/>
      </c>
      <c r="U41" s="2686" t="str">
        <f t="shared" si="17"/>
        <v/>
      </c>
      <c r="V41" s="2690" t="str">
        <f t="shared" si="18"/>
        <v/>
      </c>
      <c r="W41" s="2694">
        <f t="shared" si="19"/>
        <v>0</v>
      </c>
      <c r="X41" s="2696" t="str">
        <f t="shared" si="20"/>
        <v/>
      </c>
      <c r="Y41" s="2697" t="str">
        <f t="shared" si="21"/>
        <v/>
      </c>
      <c r="Z41" s="2698" t="s">
        <v>116</v>
      </c>
      <c r="AA41" s="2758" t="str">
        <f t="shared" si="22"/>
        <v/>
      </c>
      <c r="AB41" s="2683" t="str">
        <f t="shared" si="23"/>
        <v/>
      </c>
      <c r="AC41" s="2691" t="str">
        <f t="shared" si="24"/>
        <v/>
      </c>
      <c r="AD41" s="2686" t="str">
        <f t="shared" ca="1" si="25"/>
        <v/>
      </c>
      <c r="AE41" s="2690" t="str">
        <f t="shared" ca="1" si="26"/>
        <v/>
      </c>
      <c r="AF41" s="2691" t="str">
        <f t="shared" ca="1" si="27"/>
        <v/>
      </c>
      <c r="AG41" s="2686" t="str">
        <f t="shared" ca="1" si="28"/>
        <v/>
      </c>
      <c r="AH41" s="2690" t="str">
        <f t="shared" ca="1" si="29"/>
        <v/>
      </c>
      <c r="AI41" s="2686" t="str">
        <f t="shared" ca="1" si="30"/>
        <v/>
      </c>
      <c r="AJ41" s="2690" t="str">
        <f t="shared" ca="1" si="31"/>
        <v/>
      </c>
      <c r="AK41" s="2732" t="str">
        <f t="shared" si="32"/>
        <v/>
      </c>
      <c r="AL41" s="2733" t="str">
        <f t="shared" si="33"/>
        <v/>
      </c>
      <c r="AM41" s="2734" t="str">
        <f t="shared" si="32"/>
        <v/>
      </c>
      <c r="AN41" s="2691" t="str">
        <f t="shared" si="32"/>
        <v/>
      </c>
      <c r="AO41" s="2694" t="str">
        <f t="shared" si="32"/>
        <v/>
      </c>
      <c r="AP41" s="2693" t="str">
        <f t="shared" si="34"/>
        <v/>
      </c>
      <c r="AQ41" s="2736" t="str">
        <f t="shared" si="34"/>
        <v/>
      </c>
      <c r="AR41" s="2689" t="str">
        <f t="shared" si="35"/>
        <v/>
      </c>
      <c r="AS41" s="2690" t="str">
        <f t="shared" si="36"/>
        <v/>
      </c>
      <c r="AT41" s="2737" t="str">
        <f t="shared" si="37"/>
        <v/>
      </c>
      <c r="AU41" s="2738" t="str">
        <f t="shared" si="38"/>
        <v/>
      </c>
      <c r="AV41" s="2695" t="str">
        <f t="shared" si="39"/>
        <v/>
      </c>
      <c r="AW41" s="2690" t="str">
        <f t="shared" si="40"/>
        <v/>
      </c>
      <c r="AX41" s="2737" t="str">
        <f t="shared" si="41"/>
        <v/>
      </c>
      <c r="AY41" s="2738" t="str">
        <f t="shared" si="42"/>
        <v/>
      </c>
      <c r="AZ41" s="2695" t="str">
        <f t="shared" si="43"/>
        <v/>
      </c>
      <c r="BA41" s="2690" t="str">
        <f t="shared" si="44"/>
        <v/>
      </c>
      <c r="BB41" s="2737" t="str">
        <f t="shared" si="45"/>
        <v/>
      </c>
      <c r="BC41" s="2738" t="str">
        <f t="shared" si="46"/>
        <v/>
      </c>
      <c r="BD41" s="2695" t="str">
        <f t="shared" si="47"/>
        <v/>
      </c>
      <c r="BE41" s="2690" t="str">
        <f t="shared" si="48"/>
        <v/>
      </c>
      <c r="BF41" s="2737" t="str">
        <f t="shared" si="49"/>
        <v/>
      </c>
      <c r="BG41" s="2738" t="str">
        <f t="shared" si="50"/>
        <v/>
      </c>
      <c r="BH41" s="1417"/>
      <c r="BJ41" s="995" t="str">
        <f t="shared" si="93"/>
        <v/>
      </c>
      <c r="BK41" s="993" t="b">
        <f t="shared" si="51"/>
        <v>0</v>
      </c>
      <c r="BL41" s="1784" t="b">
        <v>0</v>
      </c>
      <c r="BM41" s="989">
        <f t="shared" si="52"/>
        <v>0</v>
      </c>
      <c r="BN41" s="989">
        <f t="shared" si="53"/>
        <v>0</v>
      </c>
      <c r="BO41" s="989">
        <f t="shared" si="54"/>
        <v>0</v>
      </c>
      <c r="BP41" s="989">
        <f t="shared" si="55"/>
        <v>0</v>
      </c>
      <c r="BQ41" s="989">
        <f t="shared" si="56"/>
        <v>0</v>
      </c>
      <c r="BR41" s="989" t="b">
        <f t="shared" si="57"/>
        <v>1</v>
      </c>
      <c r="BS41" s="1303">
        <f t="shared" si="58"/>
        <v>6</v>
      </c>
      <c r="BT41" s="990" t="str">
        <f t="shared" si="59"/>
        <v>No</v>
      </c>
      <c r="BU41" s="1303">
        <f t="shared" si="60"/>
        <v>6</v>
      </c>
      <c r="BV41" s="990" t="str">
        <f t="shared" si="61"/>
        <v>No</v>
      </c>
      <c r="BW41" s="991">
        <f t="shared" ca="1" si="62"/>
        <v>0</v>
      </c>
      <c r="BX41" s="991" t="str">
        <f t="shared" ca="1" si="63"/>
        <v/>
      </c>
      <c r="BY41" s="991" t="b">
        <f t="shared" ca="1" si="64"/>
        <v>0</v>
      </c>
      <c r="BZ41" s="991" t="b">
        <f t="shared" si="86"/>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5"/>
        <v/>
      </c>
      <c r="EN41" s="1429" t="str">
        <f t="shared" si="66"/>
        <v/>
      </c>
      <c r="EO41" s="1430" t="str">
        <f t="shared" si="67"/>
        <v/>
      </c>
      <c r="EP41" s="1431" t="str">
        <f t="shared" si="68"/>
        <v/>
      </c>
      <c r="EQ41" s="1435" t="str">
        <f t="shared" si="69"/>
        <v/>
      </c>
      <c r="ER41" s="1441" t="str">
        <f t="shared" si="70"/>
        <v/>
      </c>
      <c r="ES41" s="1442" t="str">
        <f t="shared" si="71"/>
        <v/>
      </c>
      <c r="ET41" s="1443" t="str">
        <f t="shared" si="72"/>
        <v/>
      </c>
      <c r="EU41" s="1444" t="str">
        <f t="shared" si="87"/>
        <v/>
      </c>
      <c r="EX41" s="503" t="str">
        <f t="shared" ca="1" si="88"/>
        <v/>
      </c>
      <c r="EY41" s="940" t="str">
        <f t="shared" si="73"/>
        <v/>
      </c>
      <c r="EZ41" s="940" t="str">
        <f t="shared" si="89"/>
        <v/>
      </c>
      <c r="FA41" s="958" t="str">
        <f t="shared" ca="1" si="94"/>
        <v/>
      </c>
      <c r="FB41" s="134" t="str">
        <f t="shared" ca="1" si="90"/>
        <v/>
      </c>
      <c r="FC41" s="134">
        <f t="shared" ca="1" si="74"/>
        <v>0</v>
      </c>
      <c r="FD41" s="134">
        <f t="shared" ca="1" si="75"/>
        <v>0</v>
      </c>
      <c r="FE41" s="134">
        <f t="shared" ca="1" si="76"/>
        <v>0</v>
      </c>
      <c r="FF41" s="134">
        <f t="shared" ca="1" si="91"/>
        <v>0</v>
      </c>
      <c r="FN41" s="754" t="b">
        <v>0</v>
      </c>
      <c r="FO41" s="754" t="b">
        <f t="shared" si="77"/>
        <v>1</v>
      </c>
      <c r="FP41" s="754" t="b">
        <v>0</v>
      </c>
      <c r="FQ41" s="754" t="b">
        <f t="shared" si="92"/>
        <v>1</v>
      </c>
      <c r="FW41" s="2"/>
      <c r="FX41" s="2"/>
      <c r="FZ41" s="2"/>
      <c r="GA41" s="581" t="str">
        <f t="shared" si="78"/>
        <v/>
      </c>
      <c r="GB41" s="623" t="str">
        <f t="shared" si="79"/>
        <v/>
      </c>
      <c r="GC41" s="625" t="str">
        <f t="shared" si="80"/>
        <v/>
      </c>
      <c r="GD41" s="626" t="str">
        <f t="shared" si="81"/>
        <v/>
      </c>
      <c r="GE41" s="624" t="str">
        <f t="shared" si="82"/>
        <v/>
      </c>
      <c r="GF41" s="582" t="str">
        <f t="shared" si="83"/>
        <v/>
      </c>
      <c r="GG41" s="692"/>
      <c r="GH41" s="1136"/>
      <c r="GI41" s="692"/>
      <c r="GJ41" s="1136"/>
      <c r="GK41" s="1641">
        <f t="shared" si="84"/>
        <v>0</v>
      </c>
      <c r="GL41" s="1641" t="e">
        <f t="shared" si="8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5"/>
        <v>0</v>
      </c>
    </row>
    <row r="42" spans="1:272" ht="12.6" customHeight="1" x14ac:dyDescent="0.25">
      <c r="A42" s="2683" t="str">
        <f t="shared" si="0"/>
        <v/>
      </c>
      <c r="B42" s="2684" t="str">
        <f t="shared" si="0"/>
        <v/>
      </c>
      <c r="C42" s="2685"/>
      <c r="D42" s="2686" t="str">
        <f t="shared" si="1"/>
        <v/>
      </c>
      <c r="E42" s="2687" t="str">
        <f t="shared" si="2"/>
        <v/>
      </c>
      <c r="F42" s="2688" t="str">
        <f t="shared" si="3"/>
        <v/>
      </c>
      <c r="G42" s="2689" t="str">
        <f t="shared" si="4"/>
        <v/>
      </c>
      <c r="H42" s="2690" t="str">
        <f t="shared" si="5"/>
        <v/>
      </c>
      <c r="I42" s="2691" t="str">
        <f t="shared" si="6"/>
        <v/>
      </c>
      <c r="J42" s="2686" t="str">
        <f t="shared" si="7"/>
        <v/>
      </c>
      <c r="K42" s="2690" t="str">
        <f t="shared" si="8"/>
        <v/>
      </c>
      <c r="L42" s="2692" t="str">
        <f t="shared" si="9"/>
        <v/>
      </c>
      <c r="M42" s="2693" t="str">
        <f t="shared" si="10"/>
        <v/>
      </c>
      <c r="N42" s="2694" t="str">
        <f t="shared" si="10"/>
        <v/>
      </c>
      <c r="O42" s="2689" t="str">
        <f t="shared" si="11"/>
        <v/>
      </c>
      <c r="P42" s="2690" t="str">
        <f t="shared" si="12"/>
        <v/>
      </c>
      <c r="Q42" s="2686" t="str">
        <f t="shared" si="13"/>
        <v/>
      </c>
      <c r="R42" s="2687" t="str">
        <f t="shared" si="14"/>
        <v/>
      </c>
      <c r="S42" s="2695" t="str">
        <f t="shared" si="15"/>
        <v/>
      </c>
      <c r="T42" s="2690" t="str">
        <f t="shared" si="16"/>
        <v/>
      </c>
      <c r="U42" s="2686" t="str">
        <f t="shared" si="17"/>
        <v/>
      </c>
      <c r="V42" s="2690" t="str">
        <f t="shared" si="18"/>
        <v/>
      </c>
      <c r="W42" s="2694">
        <f t="shared" si="19"/>
        <v>0</v>
      </c>
      <c r="X42" s="2696" t="str">
        <f t="shared" si="20"/>
        <v/>
      </c>
      <c r="Y42" s="2697" t="str">
        <f t="shared" si="21"/>
        <v/>
      </c>
      <c r="Z42" s="2698" t="s">
        <v>116</v>
      </c>
      <c r="AA42" s="2758" t="str">
        <f t="shared" si="22"/>
        <v/>
      </c>
      <c r="AB42" s="2683" t="str">
        <f t="shared" si="23"/>
        <v/>
      </c>
      <c r="AC42" s="2691" t="str">
        <f t="shared" si="24"/>
        <v/>
      </c>
      <c r="AD42" s="2686" t="str">
        <f t="shared" ca="1" si="25"/>
        <v/>
      </c>
      <c r="AE42" s="2690" t="str">
        <f t="shared" ca="1" si="26"/>
        <v/>
      </c>
      <c r="AF42" s="2691" t="str">
        <f t="shared" ca="1" si="27"/>
        <v/>
      </c>
      <c r="AG42" s="2686" t="str">
        <f t="shared" ca="1" si="28"/>
        <v/>
      </c>
      <c r="AH42" s="2690" t="str">
        <f t="shared" ca="1" si="29"/>
        <v/>
      </c>
      <c r="AI42" s="2686" t="str">
        <f t="shared" ca="1" si="30"/>
        <v/>
      </c>
      <c r="AJ42" s="2690" t="str">
        <f t="shared" ca="1" si="31"/>
        <v/>
      </c>
      <c r="AK42" s="2732" t="str">
        <f t="shared" si="32"/>
        <v/>
      </c>
      <c r="AL42" s="2733" t="str">
        <f t="shared" si="33"/>
        <v/>
      </c>
      <c r="AM42" s="2734" t="str">
        <f t="shared" si="32"/>
        <v/>
      </c>
      <c r="AN42" s="2691" t="str">
        <f t="shared" si="32"/>
        <v/>
      </c>
      <c r="AO42" s="2694" t="str">
        <f t="shared" si="32"/>
        <v/>
      </c>
      <c r="AP42" s="2693" t="str">
        <f t="shared" si="34"/>
        <v/>
      </c>
      <c r="AQ42" s="2736" t="str">
        <f t="shared" si="34"/>
        <v/>
      </c>
      <c r="AR42" s="2689" t="str">
        <f t="shared" si="35"/>
        <v/>
      </c>
      <c r="AS42" s="2690" t="str">
        <f t="shared" si="36"/>
        <v/>
      </c>
      <c r="AT42" s="2737" t="str">
        <f t="shared" si="37"/>
        <v/>
      </c>
      <c r="AU42" s="2738" t="str">
        <f t="shared" si="38"/>
        <v/>
      </c>
      <c r="AV42" s="2695" t="str">
        <f t="shared" si="39"/>
        <v/>
      </c>
      <c r="AW42" s="2690" t="str">
        <f t="shared" si="40"/>
        <v/>
      </c>
      <c r="AX42" s="2737" t="str">
        <f t="shared" si="41"/>
        <v/>
      </c>
      <c r="AY42" s="2738" t="str">
        <f t="shared" si="42"/>
        <v/>
      </c>
      <c r="AZ42" s="2695" t="str">
        <f t="shared" si="43"/>
        <v/>
      </c>
      <c r="BA42" s="2690" t="str">
        <f t="shared" si="44"/>
        <v/>
      </c>
      <c r="BB42" s="2737" t="str">
        <f t="shared" si="45"/>
        <v/>
      </c>
      <c r="BC42" s="2738" t="str">
        <f t="shared" si="46"/>
        <v/>
      </c>
      <c r="BD42" s="2695" t="str">
        <f t="shared" si="47"/>
        <v/>
      </c>
      <c r="BE42" s="2690" t="str">
        <f t="shared" si="48"/>
        <v/>
      </c>
      <c r="BF42" s="2737" t="str">
        <f t="shared" si="49"/>
        <v/>
      </c>
      <c r="BG42" s="2738" t="str">
        <f t="shared" si="50"/>
        <v/>
      </c>
      <c r="BH42" s="1417"/>
      <c r="BJ42" s="995" t="str">
        <f t="shared" si="93"/>
        <v/>
      </c>
      <c r="BK42" s="993" t="b">
        <f t="shared" si="51"/>
        <v>0</v>
      </c>
      <c r="BL42" s="1784" t="b">
        <v>0</v>
      </c>
      <c r="BM42" s="989">
        <f t="shared" si="52"/>
        <v>0</v>
      </c>
      <c r="BN42" s="989">
        <f t="shared" si="53"/>
        <v>0</v>
      </c>
      <c r="BO42" s="989">
        <f t="shared" si="54"/>
        <v>0</v>
      </c>
      <c r="BP42" s="989">
        <f t="shared" si="55"/>
        <v>0</v>
      </c>
      <c r="BQ42" s="989">
        <f t="shared" si="56"/>
        <v>0</v>
      </c>
      <c r="BR42" s="989" t="b">
        <f t="shared" si="57"/>
        <v>1</v>
      </c>
      <c r="BS42" s="1303">
        <f t="shared" si="58"/>
        <v>6</v>
      </c>
      <c r="BT42" s="990" t="str">
        <f t="shared" si="59"/>
        <v>No</v>
      </c>
      <c r="BU42" s="1303">
        <f t="shared" si="60"/>
        <v>6</v>
      </c>
      <c r="BV42" s="990" t="str">
        <f t="shared" si="61"/>
        <v>No</v>
      </c>
      <c r="BW42" s="991">
        <f t="shared" ca="1" si="62"/>
        <v>0</v>
      </c>
      <c r="BX42" s="991" t="str">
        <f t="shared" ca="1" si="63"/>
        <v/>
      </c>
      <c r="BY42" s="991" t="b">
        <f t="shared" ca="1" si="64"/>
        <v>0</v>
      </c>
      <c r="BZ42" s="991" t="b">
        <f t="shared" si="86"/>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5"/>
        <v/>
      </c>
      <c r="EN42" s="1429" t="str">
        <f t="shared" si="66"/>
        <v/>
      </c>
      <c r="EO42" s="1430" t="str">
        <f t="shared" si="67"/>
        <v/>
      </c>
      <c r="EP42" s="1431" t="str">
        <f t="shared" si="68"/>
        <v/>
      </c>
      <c r="EQ42" s="1435" t="str">
        <f t="shared" si="69"/>
        <v/>
      </c>
      <c r="ER42" s="1441" t="str">
        <f t="shared" si="70"/>
        <v/>
      </c>
      <c r="ES42" s="1442" t="str">
        <f t="shared" si="71"/>
        <v/>
      </c>
      <c r="ET42" s="1443" t="str">
        <f t="shared" si="72"/>
        <v/>
      </c>
      <c r="EU42" s="1444" t="str">
        <f t="shared" si="87"/>
        <v/>
      </c>
      <c r="EX42" s="503" t="str">
        <f t="shared" ca="1" si="88"/>
        <v/>
      </c>
      <c r="EY42" s="940" t="str">
        <f t="shared" si="73"/>
        <v/>
      </c>
      <c r="EZ42" s="940" t="str">
        <f t="shared" si="89"/>
        <v/>
      </c>
      <c r="FA42" s="958" t="str">
        <f t="shared" ca="1" si="94"/>
        <v/>
      </c>
      <c r="FB42" s="134" t="str">
        <f t="shared" ca="1" si="90"/>
        <v/>
      </c>
      <c r="FC42" s="134">
        <f t="shared" ca="1" si="74"/>
        <v>0</v>
      </c>
      <c r="FD42" s="134">
        <f t="shared" ca="1" si="75"/>
        <v>0</v>
      </c>
      <c r="FE42" s="134">
        <f t="shared" ca="1" si="76"/>
        <v>0</v>
      </c>
      <c r="FF42" s="134">
        <f t="shared" ca="1" si="91"/>
        <v>0</v>
      </c>
      <c r="FN42" s="754" t="b">
        <v>0</v>
      </c>
      <c r="FO42" s="754" t="b">
        <f t="shared" si="77"/>
        <v>1</v>
      </c>
      <c r="FP42" s="754" t="b">
        <v>0</v>
      </c>
      <c r="FQ42" s="754" t="b">
        <f t="shared" si="92"/>
        <v>1</v>
      </c>
      <c r="GA42" s="581" t="str">
        <f t="shared" si="78"/>
        <v/>
      </c>
      <c r="GB42" s="623" t="str">
        <f t="shared" si="79"/>
        <v/>
      </c>
      <c r="GC42" s="625" t="str">
        <f t="shared" si="80"/>
        <v/>
      </c>
      <c r="GD42" s="626" t="str">
        <f t="shared" si="81"/>
        <v/>
      </c>
      <c r="GE42" s="624" t="str">
        <f t="shared" si="82"/>
        <v/>
      </c>
      <c r="GF42" s="582" t="str">
        <f t="shared" si="83"/>
        <v/>
      </c>
      <c r="GG42" s="692"/>
      <c r="GH42" s="1136"/>
      <c r="GI42" s="692"/>
      <c r="GJ42" s="1136"/>
      <c r="GK42" s="1641">
        <f t="shared" si="84"/>
        <v>0</v>
      </c>
      <c r="GL42" s="1641" t="e">
        <f t="shared" si="8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5"/>
        <v>0</v>
      </c>
    </row>
    <row r="43" spans="1:272" ht="12.6" customHeight="1" x14ac:dyDescent="0.25">
      <c r="A43" s="2683" t="str">
        <f t="shared" si="0"/>
        <v/>
      </c>
      <c r="B43" s="2684" t="str">
        <f t="shared" si="0"/>
        <v/>
      </c>
      <c r="C43" s="2685"/>
      <c r="D43" s="2686" t="str">
        <f t="shared" si="1"/>
        <v/>
      </c>
      <c r="E43" s="2687" t="str">
        <f t="shared" si="2"/>
        <v/>
      </c>
      <c r="F43" s="2688" t="str">
        <f t="shared" si="3"/>
        <v/>
      </c>
      <c r="G43" s="2689" t="str">
        <f t="shared" si="4"/>
        <v/>
      </c>
      <c r="H43" s="2690" t="str">
        <f t="shared" si="5"/>
        <v/>
      </c>
      <c r="I43" s="2691" t="str">
        <f t="shared" si="6"/>
        <v/>
      </c>
      <c r="J43" s="2686" t="str">
        <f t="shared" si="7"/>
        <v/>
      </c>
      <c r="K43" s="2690" t="str">
        <f t="shared" si="8"/>
        <v/>
      </c>
      <c r="L43" s="2692" t="str">
        <f t="shared" si="9"/>
        <v/>
      </c>
      <c r="M43" s="2693" t="str">
        <f t="shared" si="10"/>
        <v/>
      </c>
      <c r="N43" s="2694" t="str">
        <f t="shared" si="10"/>
        <v/>
      </c>
      <c r="O43" s="2689" t="str">
        <f t="shared" si="11"/>
        <v/>
      </c>
      <c r="P43" s="2690" t="str">
        <f t="shared" si="12"/>
        <v/>
      </c>
      <c r="Q43" s="2686" t="str">
        <f t="shared" si="13"/>
        <v/>
      </c>
      <c r="R43" s="2687" t="str">
        <f t="shared" si="14"/>
        <v/>
      </c>
      <c r="S43" s="2695" t="str">
        <f t="shared" si="15"/>
        <v/>
      </c>
      <c r="T43" s="2690" t="str">
        <f t="shared" si="16"/>
        <v/>
      </c>
      <c r="U43" s="2686" t="str">
        <f t="shared" si="17"/>
        <v/>
      </c>
      <c r="V43" s="2690" t="str">
        <f t="shared" si="18"/>
        <v/>
      </c>
      <c r="W43" s="2694">
        <f t="shared" si="19"/>
        <v>0</v>
      </c>
      <c r="X43" s="2696" t="str">
        <f t="shared" si="20"/>
        <v/>
      </c>
      <c r="Y43" s="2697" t="str">
        <f t="shared" si="21"/>
        <v/>
      </c>
      <c r="Z43" s="2698" t="s">
        <v>116</v>
      </c>
      <c r="AA43" s="2758" t="str">
        <f t="shared" si="22"/>
        <v/>
      </c>
      <c r="AB43" s="2683" t="str">
        <f t="shared" si="23"/>
        <v/>
      </c>
      <c r="AC43" s="2691" t="str">
        <f t="shared" si="24"/>
        <v/>
      </c>
      <c r="AD43" s="2686" t="str">
        <f t="shared" ca="1" si="25"/>
        <v/>
      </c>
      <c r="AE43" s="2690" t="str">
        <f t="shared" ca="1" si="26"/>
        <v/>
      </c>
      <c r="AF43" s="2691" t="str">
        <f t="shared" ca="1" si="27"/>
        <v/>
      </c>
      <c r="AG43" s="2686" t="str">
        <f t="shared" ca="1" si="28"/>
        <v/>
      </c>
      <c r="AH43" s="2690" t="str">
        <f t="shared" ca="1" si="29"/>
        <v/>
      </c>
      <c r="AI43" s="2686" t="str">
        <f t="shared" ca="1" si="30"/>
        <v/>
      </c>
      <c r="AJ43" s="2690" t="str">
        <f t="shared" ca="1" si="31"/>
        <v/>
      </c>
      <c r="AK43" s="2732" t="str">
        <f t="shared" si="32"/>
        <v/>
      </c>
      <c r="AL43" s="2733" t="str">
        <f t="shared" si="33"/>
        <v/>
      </c>
      <c r="AM43" s="2734" t="str">
        <f t="shared" si="32"/>
        <v/>
      </c>
      <c r="AN43" s="2691" t="str">
        <f t="shared" si="32"/>
        <v/>
      </c>
      <c r="AO43" s="2694" t="str">
        <f t="shared" si="32"/>
        <v/>
      </c>
      <c r="AP43" s="2693" t="str">
        <f t="shared" si="34"/>
        <v/>
      </c>
      <c r="AQ43" s="2736" t="str">
        <f t="shared" si="34"/>
        <v/>
      </c>
      <c r="AR43" s="2689" t="str">
        <f t="shared" si="35"/>
        <v/>
      </c>
      <c r="AS43" s="2690" t="str">
        <f t="shared" si="36"/>
        <v/>
      </c>
      <c r="AT43" s="2737" t="str">
        <f t="shared" si="37"/>
        <v/>
      </c>
      <c r="AU43" s="2738" t="str">
        <f t="shared" si="38"/>
        <v/>
      </c>
      <c r="AV43" s="2695" t="str">
        <f t="shared" si="39"/>
        <v/>
      </c>
      <c r="AW43" s="2690" t="str">
        <f t="shared" si="40"/>
        <v/>
      </c>
      <c r="AX43" s="2737" t="str">
        <f t="shared" si="41"/>
        <v/>
      </c>
      <c r="AY43" s="2738" t="str">
        <f t="shared" si="42"/>
        <v/>
      </c>
      <c r="AZ43" s="2695" t="str">
        <f t="shared" si="43"/>
        <v/>
      </c>
      <c r="BA43" s="2690" t="str">
        <f t="shared" si="44"/>
        <v/>
      </c>
      <c r="BB43" s="2737" t="str">
        <f t="shared" si="45"/>
        <v/>
      </c>
      <c r="BC43" s="2738" t="str">
        <f t="shared" si="46"/>
        <v/>
      </c>
      <c r="BD43" s="2695" t="str">
        <f t="shared" si="47"/>
        <v/>
      </c>
      <c r="BE43" s="2690" t="str">
        <f t="shared" si="48"/>
        <v/>
      </c>
      <c r="BF43" s="2737" t="str">
        <f t="shared" si="49"/>
        <v/>
      </c>
      <c r="BG43" s="2738" t="str">
        <f t="shared" si="50"/>
        <v/>
      </c>
      <c r="BH43" s="1417"/>
      <c r="BJ43" s="995" t="str">
        <f t="shared" si="93"/>
        <v/>
      </c>
      <c r="BK43" s="993" t="b">
        <f t="shared" si="51"/>
        <v>0</v>
      </c>
      <c r="BL43" s="1784" t="b">
        <v>0</v>
      </c>
      <c r="BM43" s="989">
        <f t="shared" si="52"/>
        <v>0</v>
      </c>
      <c r="BN43" s="989">
        <f t="shared" si="53"/>
        <v>0</v>
      </c>
      <c r="BO43" s="989">
        <f t="shared" si="54"/>
        <v>0</v>
      </c>
      <c r="BP43" s="989">
        <f t="shared" si="55"/>
        <v>0</v>
      </c>
      <c r="BQ43" s="989">
        <f t="shared" si="56"/>
        <v>0</v>
      </c>
      <c r="BR43" s="989" t="b">
        <f t="shared" si="57"/>
        <v>1</v>
      </c>
      <c r="BS43" s="1303">
        <f t="shared" si="58"/>
        <v>6</v>
      </c>
      <c r="BT43" s="990" t="str">
        <f t="shared" si="59"/>
        <v>No</v>
      </c>
      <c r="BU43" s="1303">
        <f t="shared" si="60"/>
        <v>6</v>
      </c>
      <c r="BV43" s="990" t="str">
        <f t="shared" si="61"/>
        <v>No</v>
      </c>
      <c r="BW43" s="991">
        <f t="shared" ca="1" si="62"/>
        <v>0</v>
      </c>
      <c r="BX43" s="991" t="str">
        <f t="shared" ca="1" si="63"/>
        <v/>
      </c>
      <c r="BY43" s="991" t="b">
        <f t="shared" ca="1" si="64"/>
        <v>0</v>
      </c>
      <c r="BZ43" s="991" t="b">
        <f t="shared" si="86"/>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5"/>
        <v/>
      </c>
      <c r="EN43" s="1429" t="str">
        <f t="shared" si="66"/>
        <v/>
      </c>
      <c r="EO43" s="1430" t="str">
        <f t="shared" si="67"/>
        <v/>
      </c>
      <c r="EP43" s="1431" t="str">
        <f t="shared" si="68"/>
        <v/>
      </c>
      <c r="EQ43" s="1435" t="str">
        <f t="shared" si="69"/>
        <v/>
      </c>
      <c r="ER43" s="1441" t="str">
        <f t="shared" si="70"/>
        <v/>
      </c>
      <c r="ES43" s="1442" t="str">
        <f t="shared" si="71"/>
        <v/>
      </c>
      <c r="ET43" s="1443" t="str">
        <f t="shared" si="72"/>
        <v/>
      </c>
      <c r="EU43" s="1444" t="str">
        <f t="shared" si="87"/>
        <v/>
      </c>
      <c r="EX43" s="503" t="str">
        <f t="shared" ca="1" si="88"/>
        <v/>
      </c>
      <c r="EY43" s="940" t="str">
        <f t="shared" si="73"/>
        <v/>
      </c>
      <c r="EZ43" s="940" t="str">
        <f t="shared" si="89"/>
        <v/>
      </c>
      <c r="FA43" s="958" t="str">
        <f t="shared" ca="1" si="94"/>
        <v/>
      </c>
      <c r="FB43" s="134" t="str">
        <f t="shared" ca="1" si="90"/>
        <v/>
      </c>
      <c r="FC43" s="134">
        <f t="shared" ca="1" si="74"/>
        <v>0</v>
      </c>
      <c r="FD43" s="134">
        <f t="shared" ca="1" si="75"/>
        <v>0</v>
      </c>
      <c r="FE43" s="134">
        <f t="shared" ca="1" si="76"/>
        <v>0</v>
      </c>
      <c r="FF43" s="134">
        <f t="shared" ca="1" si="91"/>
        <v>0</v>
      </c>
      <c r="FN43" s="754" t="b">
        <v>0</v>
      </c>
      <c r="FO43" s="754" t="b">
        <f t="shared" si="77"/>
        <v>1</v>
      </c>
      <c r="FP43" s="754" t="b">
        <v>0</v>
      </c>
      <c r="FQ43" s="754" t="b">
        <f t="shared" si="92"/>
        <v>1</v>
      </c>
      <c r="GA43" s="581" t="str">
        <f t="shared" si="78"/>
        <v/>
      </c>
      <c r="GB43" s="623" t="str">
        <f t="shared" si="79"/>
        <v/>
      </c>
      <c r="GC43" s="625" t="str">
        <f t="shared" si="80"/>
        <v/>
      </c>
      <c r="GD43" s="626" t="str">
        <f t="shared" si="81"/>
        <v/>
      </c>
      <c r="GE43" s="624" t="str">
        <f t="shared" si="82"/>
        <v/>
      </c>
      <c r="GF43" s="582" t="str">
        <f t="shared" si="83"/>
        <v/>
      </c>
      <c r="GG43" s="692"/>
      <c r="GH43" s="1136"/>
      <c r="GI43" s="692"/>
      <c r="GJ43" s="1136"/>
      <c r="GK43" s="1641">
        <f t="shared" si="84"/>
        <v>0</v>
      </c>
      <c r="GL43" s="1641" t="e">
        <f t="shared" si="8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5"/>
        <v>0</v>
      </c>
    </row>
    <row r="44" spans="1:272" ht="12.6" customHeight="1" x14ac:dyDescent="0.25">
      <c r="A44" s="2683" t="str">
        <f t="shared" si="0"/>
        <v/>
      </c>
      <c r="B44" s="2684" t="str">
        <f t="shared" si="0"/>
        <v/>
      </c>
      <c r="C44" s="2685"/>
      <c r="D44" s="2686" t="str">
        <f t="shared" si="1"/>
        <v/>
      </c>
      <c r="E44" s="2687" t="str">
        <f t="shared" si="2"/>
        <v/>
      </c>
      <c r="F44" s="2688" t="str">
        <f t="shared" si="3"/>
        <v/>
      </c>
      <c r="G44" s="2689" t="str">
        <f t="shared" si="4"/>
        <v/>
      </c>
      <c r="H44" s="2690" t="str">
        <f t="shared" si="5"/>
        <v/>
      </c>
      <c r="I44" s="2691" t="str">
        <f t="shared" si="6"/>
        <v/>
      </c>
      <c r="J44" s="2686" t="str">
        <f t="shared" si="7"/>
        <v/>
      </c>
      <c r="K44" s="2690" t="str">
        <f t="shared" si="8"/>
        <v/>
      </c>
      <c r="L44" s="2692" t="str">
        <f t="shared" si="9"/>
        <v/>
      </c>
      <c r="M44" s="2693" t="str">
        <f t="shared" si="10"/>
        <v/>
      </c>
      <c r="N44" s="2694" t="str">
        <f t="shared" si="10"/>
        <v/>
      </c>
      <c r="O44" s="2689" t="str">
        <f t="shared" si="11"/>
        <v/>
      </c>
      <c r="P44" s="2690" t="str">
        <f t="shared" si="12"/>
        <v/>
      </c>
      <c r="Q44" s="2686" t="str">
        <f t="shared" si="13"/>
        <v/>
      </c>
      <c r="R44" s="2687" t="str">
        <f t="shared" si="14"/>
        <v/>
      </c>
      <c r="S44" s="2695" t="str">
        <f t="shared" si="15"/>
        <v/>
      </c>
      <c r="T44" s="2690" t="str">
        <f t="shared" si="16"/>
        <v/>
      </c>
      <c r="U44" s="2686" t="str">
        <f t="shared" si="17"/>
        <v/>
      </c>
      <c r="V44" s="2690" t="str">
        <f t="shared" si="18"/>
        <v/>
      </c>
      <c r="W44" s="2694">
        <f t="shared" si="19"/>
        <v>0</v>
      </c>
      <c r="X44" s="2696" t="str">
        <f t="shared" si="20"/>
        <v/>
      </c>
      <c r="Y44" s="2697" t="str">
        <f t="shared" si="21"/>
        <v/>
      </c>
      <c r="Z44" s="2698" t="s">
        <v>116</v>
      </c>
      <c r="AA44" s="2758" t="str">
        <f t="shared" si="22"/>
        <v/>
      </c>
      <c r="AB44" s="2683" t="str">
        <f t="shared" si="23"/>
        <v/>
      </c>
      <c r="AC44" s="2691" t="str">
        <f t="shared" si="24"/>
        <v/>
      </c>
      <c r="AD44" s="2686" t="str">
        <f t="shared" ca="1" si="25"/>
        <v/>
      </c>
      <c r="AE44" s="2690" t="str">
        <f t="shared" ca="1" si="26"/>
        <v/>
      </c>
      <c r="AF44" s="2691" t="str">
        <f t="shared" ca="1" si="27"/>
        <v/>
      </c>
      <c r="AG44" s="2686" t="str">
        <f t="shared" ca="1" si="28"/>
        <v/>
      </c>
      <c r="AH44" s="2690" t="str">
        <f t="shared" ca="1" si="29"/>
        <v/>
      </c>
      <c r="AI44" s="2686" t="str">
        <f t="shared" ca="1" si="30"/>
        <v/>
      </c>
      <c r="AJ44" s="2690" t="str">
        <f t="shared" ca="1" si="31"/>
        <v/>
      </c>
      <c r="AK44" s="2732" t="str">
        <f t="shared" si="32"/>
        <v/>
      </c>
      <c r="AL44" s="2733" t="str">
        <f t="shared" si="33"/>
        <v/>
      </c>
      <c r="AM44" s="2734" t="str">
        <f t="shared" si="32"/>
        <v/>
      </c>
      <c r="AN44" s="2691" t="str">
        <f t="shared" si="32"/>
        <v/>
      </c>
      <c r="AO44" s="2694" t="str">
        <f t="shared" si="32"/>
        <v/>
      </c>
      <c r="AP44" s="2693" t="str">
        <f t="shared" si="34"/>
        <v/>
      </c>
      <c r="AQ44" s="2736" t="str">
        <f t="shared" si="34"/>
        <v/>
      </c>
      <c r="AR44" s="2689" t="str">
        <f t="shared" si="35"/>
        <v/>
      </c>
      <c r="AS44" s="2690" t="str">
        <f t="shared" si="36"/>
        <v/>
      </c>
      <c r="AT44" s="2737" t="str">
        <f t="shared" si="37"/>
        <v/>
      </c>
      <c r="AU44" s="2738" t="str">
        <f t="shared" si="38"/>
        <v/>
      </c>
      <c r="AV44" s="2695" t="str">
        <f t="shared" si="39"/>
        <v/>
      </c>
      <c r="AW44" s="2690" t="str">
        <f t="shared" si="40"/>
        <v/>
      </c>
      <c r="AX44" s="2737" t="str">
        <f t="shared" si="41"/>
        <v/>
      </c>
      <c r="AY44" s="2738" t="str">
        <f t="shared" si="42"/>
        <v/>
      </c>
      <c r="AZ44" s="2695" t="str">
        <f t="shared" si="43"/>
        <v/>
      </c>
      <c r="BA44" s="2690" t="str">
        <f t="shared" si="44"/>
        <v/>
      </c>
      <c r="BB44" s="2737" t="str">
        <f t="shared" si="45"/>
        <v/>
      </c>
      <c r="BC44" s="2738" t="str">
        <f t="shared" si="46"/>
        <v/>
      </c>
      <c r="BD44" s="2695" t="str">
        <f t="shared" si="47"/>
        <v/>
      </c>
      <c r="BE44" s="2690" t="str">
        <f t="shared" si="48"/>
        <v/>
      </c>
      <c r="BF44" s="2737" t="str">
        <f t="shared" si="49"/>
        <v/>
      </c>
      <c r="BG44" s="2738" t="str">
        <f t="shared" si="50"/>
        <v/>
      </c>
      <c r="BH44" s="1417"/>
      <c r="BJ44" s="995" t="str">
        <f t="shared" si="93"/>
        <v/>
      </c>
      <c r="BK44" s="993" t="b">
        <f t="shared" si="51"/>
        <v>0</v>
      </c>
      <c r="BL44" s="1784" t="b">
        <v>0</v>
      </c>
      <c r="BM44" s="989">
        <f t="shared" si="52"/>
        <v>0</v>
      </c>
      <c r="BN44" s="989">
        <f t="shared" si="53"/>
        <v>0</v>
      </c>
      <c r="BO44" s="989">
        <f t="shared" si="54"/>
        <v>0</v>
      </c>
      <c r="BP44" s="989">
        <f t="shared" si="55"/>
        <v>0</v>
      </c>
      <c r="BQ44" s="989">
        <f t="shared" si="56"/>
        <v>0</v>
      </c>
      <c r="BR44" s="989" t="b">
        <f t="shared" si="57"/>
        <v>1</v>
      </c>
      <c r="BS44" s="1303">
        <f t="shared" si="58"/>
        <v>6</v>
      </c>
      <c r="BT44" s="990" t="str">
        <f t="shared" si="59"/>
        <v>No</v>
      </c>
      <c r="BU44" s="1303">
        <f t="shared" si="60"/>
        <v>6</v>
      </c>
      <c r="BV44" s="990" t="str">
        <f t="shared" si="61"/>
        <v>No</v>
      </c>
      <c r="BW44" s="991">
        <f t="shared" ca="1" si="62"/>
        <v>0</v>
      </c>
      <c r="BX44" s="991" t="str">
        <f t="shared" ca="1" si="63"/>
        <v/>
      </c>
      <c r="BY44" s="991" t="b">
        <f t="shared" ca="1" si="64"/>
        <v>0</v>
      </c>
      <c r="BZ44" s="991" t="b">
        <f t="shared" si="86"/>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5"/>
        <v/>
      </c>
      <c r="EN44" s="1429" t="str">
        <f t="shared" si="66"/>
        <v/>
      </c>
      <c r="EO44" s="1430" t="str">
        <f t="shared" si="67"/>
        <v/>
      </c>
      <c r="EP44" s="1431" t="str">
        <f t="shared" si="68"/>
        <v/>
      </c>
      <c r="EQ44" s="1435" t="str">
        <f t="shared" si="69"/>
        <v/>
      </c>
      <c r="ER44" s="1441" t="str">
        <f t="shared" si="70"/>
        <v/>
      </c>
      <c r="ES44" s="1442" t="str">
        <f t="shared" si="71"/>
        <v/>
      </c>
      <c r="ET44" s="1443" t="str">
        <f t="shared" si="72"/>
        <v/>
      </c>
      <c r="EU44" s="1444" t="str">
        <f t="shared" si="87"/>
        <v/>
      </c>
      <c r="EX44" s="503" t="str">
        <f t="shared" ca="1" si="88"/>
        <v/>
      </c>
      <c r="EY44" s="940" t="str">
        <f t="shared" si="73"/>
        <v/>
      </c>
      <c r="EZ44" s="940" t="str">
        <f t="shared" si="89"/>
        <v/>
      </c>
      <c r="FA44" s="958" t="str">
        <f t="shared" ca="1" si="94"/>
        <v/>
      </c>
      <c r="FB44" s="134" t="str">
        <f t="shared" ca="1" si="90"/>
        <v/>
      </c>
      <c r="FC44" s="134">
        <f t="shared" ca="1" si="74"/>
        <v>0</v>
      </c>
      <c r="FD44" s="134">
        <f t="shared" ca="1" si="75"/>
        <v>0</v>
      </c>
      <c r="FE44" s="134">
        <f t="shared" ca="1" si="76"/>
        <v>0</v>
      </c>
      <c r="FF44" s="134">
        <f t="shared" ca="1" si="91"/>
        <v>0</v>
      </c>
      <c r="FN44" s="754" t="b">
        <v>0</v>
      </c>
      <c r="FO44" s="754" t="b">
        <f t="shared" si="77"/>
        <v>1</v>
      </c>
      <c r="FP44" s="754" t="b">
        <v>0</v>
      </c>
      <c r="FQ44" s="754" t="b">
        <f t="shared" si="92"/>
        <v>1</v>
      </c>
      <c r="GA44" s="581" t="str">
        <f t="shared" si="78"/>
        <v/>
      </c>
      <c r="GB44" s="623" t="str">
        <f t="shared" si="79"/>
        <v/>
      </c>
      <c r="GC44" s="625" t="str">
        <f t="shared" si="80"/>
        <v/>
      </c>
      <c r="GD44" s="626" t="str">
        <f t="shared" si="81"/>
        <v/>
      </c>
      <c r="GE44" s="624" t="str">
        <f t="shared" si="82"/>
        <v/>
      </c>
      <c r="GF44" s="582" t="str">
        <f t="shared" si="83"/>
        <v/>
      </c>
      <c r="GG44" s="692"/>
      <c r="GH44" s="1136"/>
      <c r="GI44" s="692"/>
      <c r="GJ44" s="1136"/>
      <c r="GK44" s="1641">
        <f t="shared" si="84"/>
        <v>0</v>
      </c>
      <c r="GL44" s="1641" t="e">
        <f t="shared" si="85"/>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5"/>
        <v>0</v>
      </c>
    </row>
    <row r="45" spans="1:272" ht="12.6" customHeight="1" thickBot="1" x14ac:dyDescent="0.35">
      <c r="A45" s="2701" t="str">
        <f t="shared" si="0"/>
        <v/>
      </c>
      <c r="B45" s="2702" t="str">
        <f t="shared" si="0"/>
        <v/>
      </c>
      <c r="C45" s="2703"/>
      <c r="D45" s="2704" t="str">
        <f t="shared" si="1"/>
        <v/>
      </c>
      <c r="E45" s="2705" t="str">
        <f t="shared" si="2"/>
        <v/>
      </c>
      <c r="F45" s="2706" t="str">
        <f t="shared" si="3"/>
        <v/>
      </c>
      <c r="G45" s="2707" t="str">
        <f t="shared" si="4"/>
        <v/>
      </c>
      <c r="H45" s="2708" t="str">
        <f t="shared" si="5"/>
        <v/>
      </c>
      <c r="I45" s="2709" t="str">
        <f t="shared" si="6"/>
        <v/>
      </c>
      <c r="J45" s="2704" t="str">
        <f t="shared" si="7"/>
        <v/>
      </c>
      <c r="K45" s="2708" t="str">
        <f t="shared" si="8"/>
        <v/>
      </c>
      <c r="L45" s="2710" t="str">
        <f t="shared" si="9"/>
        <v/>
      </c>
      <c r="M45" s="2711" t="str">
        <f t="shared" si="10"/>
        <v/>
      </c>
      <c r="N45" s="2712" t="str">
        <f t="shared" si="10"/>
        <v/>
      </c>
      <c r="O45" s="2707" t="str">
        <f t="shared" si="11"/>
        <v/>
      </c>
      <c r="P45" s="2708" t="str">
        <f t="shared" si="12"/>
        <v/>
      </c>
      <c r="Q45" s="2704" t="str">
        <f t="shared" si="13"/>
        <v/>
      </c>
      <c r="R45" s="2705" t="str">
        <f t="shared" si="14"/>
        <v/>
      </c>
      <c r="S45" s="2713" t="str">
        <f t="shared" si="15"/>
        <v/>
      </c>
      <c r="T45" s="2708" t="str">
        <f t="shared" si="16"/>
        <v/>
      </c>
      <c r="U45" s="2704" t="str">
        <f t="shared" si="17"/>
        <v/>
      </c>
      <c r="V45" s="2708" t="str">
        <f t="shared" si="18"/>
        <v/>
      </c>
      <c r="W45" s="2712">
        <f t="shared" si="19"/>
        <v>0</v>
      </c>
      <c r="X45" s="2714" t="str">
        <f t="shared" si="20"/>
        <v/>
      </c>
      <c r="Y45" s="2715" t="str">
        <f t="shared" si="21"/>
        <v/>
      </c>
      <c r="Z45" s="2716" t="s">
        <v>116</v>
      </c>
      <c r="AA45" s="2759" t="str">
        <f t="shared" si="22"/>
        <v/>
      </c>
      <c r="AB45" s="2701" t="str">
        <f t="shared" si="23"/>
        <v/>
      </c>
      <c r="AC45" s="2709" t="str">
        <f t="shared" si="24"/>
        <v/>
      </c>
      <c r="AD45" s="2704" t="str">
        <f t="shared" ca="1" si="25"/>
        <v/>
      </c>
      <c r="AE45" s="2708" t="str">
        <f t="shared" ca="1" si="26"/>
        <v/>
      </c>
      <c r="AF45" s="2709" t="str">
        <f t="shared" ca="1" si="27"/>
        <v/>
      </c>
      <c r="AG45" s="2704" t="str">
        <f t="shared" ca="1" si="28"/>
        <v/>
      </c>
      <c r="AH45" s="2708" t="str">
        <f t="shared" ca="1" si="29"/>
        <v/>
      </c>
      <c r="AI45" s="2704" t="str">
        <f t="shared" ca="1" si="30"/>
        <v/>
      </c>
      <c r="AJ45" s="2708" t="str">
        <f t="shared" ca="1" si="31"/>
        <v/>
      </c>
      <c r="AK45" s="2739" t="str">
        <f t="shared" si="32"/>
        <v/>
      </c>
      <c r="AL45" s="2740" t="str">
        <f t="shared" si="33"/>
        <v/>
      </c>
      <c r="AM45" s="2741" t="str">
        <f t="shared" si="32"/>
        <v/>
      </c>
      <c r="AN45" s="2709" t="str">
        <f t="shared" si="32"/>
        <v/>
      </c>
      <c r="AO45" s="2712" t="str">
        <f t="shared" si="32"/>
        <v/>
      </c>
      <c r="AP45" s="2711" t="str">
        <f t="shared" si="34"/>
        <v/>
      </c>
      <c r="AQ45" s="2743" t="str">
        <f t="shared" si="34"/>
        <v/>
      </c>
      <c r="AR45" s="2707" t="str">
        <f t="shared" si="35"/>
        <v/>
      </c>
      <c r="AS45" s="2708" t="str">
        <f t="shared" si="36"/>
        <v/>
      </c>
      <c r="AT45" s="2744" t="str">
        <f t="shared" si="37"/>
        <v/>
      </c>
      <c r="AU45" s="2745" t="str">
        <f t="shared" si="38"/>
        <v/>
      </c>
      <c r="AV45" s="2713" t="str">
        <f t="shared" si="39"/>
        <v/>
      </c>
      <c r="AW45" s="2708" t="str">
        <f t="shared" si="40"/>
        <v/>
      </c>
      <c r="AX45" s="2744" t="str">
        <f t="shared" si="41"/>
        <v/>
      </c>
      <c r="AY45" s="2745" t="str">
        <f t="shared" si="42"/>
        <v/>
      </c>
      <c r="AZ45" s="2713" t="str">
        <f t="shared" si="43"/>
        <v/>
      </c>
      <c r="BA45" s="2708" t="str">
        <f t="shared" si="44"/>
        <v/>
      </c>
      <c r="BB45" s="2744" t="str">
        <f t="shared" si="45"/>
        <v/>
      </c>
      <c r="BC45" s="2745" t="str">
        <f t="shared" si="46"/>
        <v/>
      </c>
      <c r="BD45" s="2713" t="str">
        <f t="shared" si="47"/>
        <v/>
      </c>
      <c r="BE45" s="2708" t="str">
        <f t="shared" si="48"/>
        <v/>
      </c>
      <c r="BF45" s="2744" t="str">
        <f t="shared" si="49"/>
        <v/>
      </c>
      <c r="BG45" s="2745" t="str">
        <f t="shared" si="50"/>
        <v/>
      </c>
      <c r="BH45" s="1417"/>
      <c r="BJ45" s="995" t="str">
        <f t="shared" si="93"/>
        <v/>
      </c>
      <c r="BK45" s="993" t="b">
        <f t="shared" si="51"/>
        <v>0</v>
      </c>
      <c r="BL45" s="1784" t="b">
        <v>0</v>
      </c>
      <c r="BM45" s="989">
        <f t="shared" si="52"/>
        <v>0</v>
      </c>
      <c r="BN45" s="989">
        <f t="shared" si="53"/>
        <v>0</v>
      </c>
      <c r="BO45" s="989">
        <f t="shared" si="54"/>
        <v>0</v>
      </c>
      <c r="BP45" s="989">
        <f t="shared" si="55"/>
        <v>0</v>
      </c>
      <c r="BQ45" s="989">
        <f t="shared" si="56"/>
        <v>0</v>
      </c>
      <c r="BR45" s="989" t="b">
        <f t="shared" si="57"/>
        <v>1</v>
      </c>
      <c r="BS45" s="1303">
        <f t="shared" si="58"/>
        <v>6</v>
      </c>
      <c r="BT45" s="990" t="str">
        <f t="shared" si="59"/>
        <v>No</v>
      </c>
      <c r="BU45" s="1303">
        <f t="shared" si="60"/>
        <v>6</v>
      </c>
      <c r="BV45" s="990" t="str">
        <f t="shared" si="61"/>
        <v>No</v>
      </c>
      <c r="BW45" s="991">
        <f t="shared" ca="1" si="62"/>
        <v>0</v>
      </c>
      <c r="BX45" s="991" t="str">
        <f t="shared" ca="1" si="63"/>
        <v/>
      </c>
      <c r="BY45" s="991" t="b">
        <f t="shared" ca="1" si="64"/>
        <v>0</v>
      </c>
      <c r="BZ45" s="991" t="b">
        <f t="shared" si="86"/>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5"/>
        <v/>
      </c>
      <c r="EN45" s="1636" t="str">
        <f t="shared" si="66"/>
        <v/>
      </c>
      <c r="EO45" s="1432" t="str">
        <f t="shared" si="67"/>
        <v/>
      </c>
      <c r="EP45" s="1433" t="str">
        <f t="shared" si="68"/>
        <v/>
      </c>
      <c r="EQ45" s="1436" t="str">
        <f t="shared" si="69"/>
        <v/>
      </c>
      <c r="ER45" s="1445" t="str">
        <f t="shared" si="70"/>
        <v/>
      </c>
      <c r="ES45" s="1446" t="str">
        <f t="shared" si="71"/>
        <v/>
      </c>
      <c r="ET45" s="1447" t="str">
        <f t="shared" si="72"/>
        <v/>
      </c>
      <c r="EU45" s="1448" t="str">
        <f t="shared" si="87"/>
        <v/>
      </c>
      <c r="EX45" s="503" t="str">
        <f t="shared" ca="1" si="88"/>
        <v/>
      </c>
      <c r="EY45" s="940" t="str">
        <f t="shared" si="73"/>
        <v/>
      </c>
      <c r="EZ45" s="940" t="str">
        <f t="shared" si="89"/>
        <v/>
      </c>
      <c r="FA45" s="958" t="str">
        <f t="shared" ca="1" si="94"/>
        <v/>
      </c>
      <c r="FB45" s="134" t="str">
        <f t="shared" ca="1" si="90"/>
        <v/>
      </c>
      <c r="FC45" s="134">
        <f t="shared" ca="1" si="74"/>
        <v>0</v>
      </c>
      <c r="FD45" s="134">
        <f t="shared" ca="1" si="75"/>
        <v>0</v>
      </c>
      <c r="FE45" s="134">
        <f t="shared" ca="1" si="76"/>
        <v>0</v>
      </c>
      <c r="FF45" s="134">
        <f t="shared" ca="1" si="91"/>
        <v>0</v>
      </c>
      <c r="FN45" s="754" t="b">
        <v>0</v>
      </c>
      <c r="FO45" s="754" t="b">
        <f t="shared" si="77"/>
        <v>1</v>
      </c>
      <c r="FP45" s="754" t="b">
        <v>0</v>
      </c>
      <c r="FQ45" s="754" t="b">
        <f t="shared" si="92"/>
        <v>1</v>
      </c>
      <c r="FW45" s="102"/>
      <c r="FX45" s="102"/>
      <c r="FZ45" s="104"/>
      <c r="GA45" s="581" t="str">
        <f t="shared" si="78"/>
        <v/>
      </c>
      <c r="GB45" s="623" t="str">
        <f t="shared" si="79"/>
        <v/>
      </c>
      <c r="GC45" s="625" t="str">
        <f t="shared" si="80"/>
        <v/>
      </c>
      <c r="GD45" s="626" t="str">
        <f t="shared" si="81"/>
        <v/>
      </c>
      <c r="GE45" s="624" t="str">
        <f t="shared" si="82"/>
        <v/>
      </c>
      <c r="GF45" s="582" t="str">
        <f t="shared" si="83"/>
        <v/>
      </c>
      <c r="GG45" s="1137"/>
      <c r="GH45" s="1138"/>
      <c r="GI45" s="1137"/>
      <c r="GJ45" s="1138"/>
      <c r="GK45" s="1641">
        <f t="shared" si="84"/>
        <v>0</v>
      </c>
      <c r="GL45" s="1641" t="e">
        <f t="shared" si="8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5"/>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27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76" t="s">
        <v>472</v>
      </c>
      <c r="EE50" s="1976" t="s">
        <v>525</v>
      </c>
      <c r="EF50" s="1976" t="s">
        <v>526</v>
      </c>
      <c r="EG50" s="1976" t="s">
        <v>527</v>
      </c>
      <c r="EH50" s="1976" t="s">
        <v>528</v>
      </c>
      <c r="EI50" s="1976" t="s">
        <v>529</v>
      </c>
      <c r="EJ50" s="1976" t="s">
        <v>530</v>
      </c>
      <c r="EK50" s="1976" t="s">
        <v>531</v>
      </c>
      <c r="EL50" s="1976" t="s">
        <v>473</v>
      </c>
      <c r="EM50" s="1976" t="s">
        <v>532</v>
      </c>
      <c r="EN50" s="1976" t="s">
        <v>583</v>
      </c>
      <c r="EO50" s="1976" t="s">
        <v>474</v>
      </c>
      <c r="EP50" s="1976" t="s">
        <v>533</v>
      </c>
      <c r="EQ50" s="1976" t="s">
        <v>475</v>
      </c>
      <c r="ER50" s="1976" t="s">
        <v>534</v>
      </c>
      <c r="ES50" s="1976" t="s">
        <v>584</v>
      </c>
      <c r="ET50" s="1976" t="s">
        <v>476</v>
      </c>
      <c r="EU50" s="1976" t="s">
        <v>477</v>
      </c>
      <c r="EV50" s="293"/>
      <c r="EW50" s="293"/>
      <c r="EX50" s="293"/>
      <c r="EY50" s="293"/>
      <c r="EZ50" s="293"/>
      <c r="FA50" s="293"/>
      <c r="FB50" s="293"/>
      <c r="FC50" s="293"/>
      <c r="FD50" s="293"/>
      <c r="FG50" s="117"/>
      <c r="FH50" s="117"/>
      <c r="FI50" s="117"/>
      <c r="FJ50" s="117"/>
      <c r="FK50" s="117"/>
      <c r="FL50" s="246"/>
      <c r="FM50" s="246"/>
      <c r="FN50" s="1993" t="s">
        <v>616</v>
      </c>
      <c r="FO50" s="1994"/>
      <c r="FP50" s="1994"/>
      <c r="FQ50" s="1994"/>
      <c r="FR50" s="1994"/>
      <c r="FS50" s="1995"/>
      <c r="FT50" s="2040" t="s">
        <v>617</v>
      </c>
      <c r="FU50" s="2041"/>
      <c r="FV50" s="2041"/>
      <c r="FW50" s="2041"/>
      <c r="FX50" s="2041"/>
      <c r="FY50" s="2041"/>
      <c r="FZ50" s="2042"/>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44" t="s">
        <v>614</v>
      </c>
      <c r="CD51" s="2145"/>
      <c r="CE51" s="2145"/>
      <c r="CF51" s="2145"/>
      <c r="CG51" s="2145"/>
      <c r="CH51" s="2145"/>
      <c r="CI51" s="2145"/>
      <c r="CJ51" s="2145"/>
      <c r="CK51" s="2146"/>
      <c r="CL51" s="2144" t="s">
        <v>470</v>
      </c>
      <c r="CM51" s="2145"/>
      <c r="CN51" s="2145"/>
      <c r="CO51" s="2145"/>
      <c r="CP51" s="2145"/>
      <c r="CQ51" s="2145"/>
      <c r="CR51" s="2145"/>
      <c r="CS51" s="2145"/>
      <c r="CT51" s="214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77"/>
      <c r="EE51" s="2005"/>
      <c r="EF51" s="2005"/>
      <c r="EG51" s="2088"/>
      <c r="EH51" s="2005"/>
      <c r="EI51" s="2005"/>
      <c r="EJ51" s="2005"/>
      <c r="EK51" s="1977"/>
      <c r="EL51" s="1977"/>
      <c r="EM51" s="1977"/>
      <c r="EN51" s="2005"/>
      <c r="EO51" s="1977"/>
      <c r="EP51" s="1977"/>
      <c r="EQ51" s="1977"/>
      <c r="ER51" s="1977"/>
      <c r="ES51" s="1977"/>
      <c r="ET51" s="1977"/>
      <c r="EU51" s="1977"/>
      <c r="EV51" s="293"/>
      <c r="EW51" s="293"/>
      <c r="EX51" s="1980" t="s">
        <v>618</v>
      </c>
      <c r="EY51" s="1978" t="s">
        <v>619</v>
      </c>
      <c r="EZ51" s="293"/>
      <c r="FA51" s="293"/>
      <c r="FB51" s="293"/>
      <c r="FC51" s="293"/>
      <c r="FD51" s="293"/>
      <c r="FF51" s="2070" t="s">
        <v>947</v>
      </c>
      <c r="FG51" s="2071"/>
      <c r="FH51" s="2071"/>
      <c r="FI51" s="2071"/>
      <c r="FL51" s="246"/>
      <c r="FM51" s="246"/>
      <c r="FN51" s="1996"/>
      <c r="FO51" s="1997"/>
      <c r="FP51" s="1997"/>
      <c r="FQ51" s="1997"/>
      <c r="FR51" s="1997"/>
      <c r="FS51" s="1998"/>
      <c r="FT51" s="2043"/>
      <c r="FU51" s="2044"/>
      <c r="FV51" s="2044"/>
      <c r="FW51" s="2044"/>
      <c r="FX51" s="2044"/>
      <c r="FY51" s="2044"/>
      <c r="FZ51" s="2045"/>
      <c r="GA51" s="245"/>
      <c r="GB51" s="245"/>
      <c r="GC51" s="245"/>
      <c r="GD51" s="245"/>
      <c r="GE51" s="245"/>
      <c r="GF51" s="245"/>
      <c r="GG51" s="245"/>
      <c r="GH51" s="245"/>
      <c r="GI51" s="245"/>
      <c r="GJ51" s="245"/>
      <c r="GK51" s="2"/>
    </row>
    <row r="52" spans="1:193" ht="12.6" hidden="1" customHeight="1" thickTop="1" thickBot="1" x14ac:dyDescent="0.25">
      <c r="BZ52" s="293"/>
      <c r="CA52" s="293"/>
      <c r="CB52" s="2075" t="s">
        <v>613</v>
      </c>
      <c r="CC52" s="2141" t="s">
        <v>498</v>
      </c>
      <c r="CD52" s="2077" t="s">
        <v>499</v>
      </c>
      <c r="CE52" s="2077" t="s">
        <v>500</v>
      </c>
      <c r="CF52" s="2077" t="s">
        <v>501</v>
      </c>
      <c r="CG52" s="2077" t="s">
        <v>560</v>
      </c>
      <c r="CH52" s="2077" t="s">
        <v>502</v>
      </c>
      <c r="CI52" s="2077" t="s">
        <v>579</v>
      </c>
      <c r="CJ52" s="2077" t="s">
        <v>503</v>
      </c>
      <c r="CK52" s="2143" t="s">
        <v>504</v>
      </c>
      <c r="CL52" s="2141" t="s">
        <v>498</v>
      </c>
      <c r="CM52" s="2077" t="s">
        <v>499</v>
      </c>
      <c r="CN52" s="2077" t="s">
        <v>505</v>
      </c>
      <c r="CO52" s="2077" t="s">
        <v>501</v>
      </c>
      <c r="CP52" s="2077" t="s">
        <v>560</v>
      </c>
      <c r="CQ52" s="2077" t="s">
        <v>502</v>
      </c>
      <c r="CR52" s="2077" t="s">
        <v>579</v>
      </c>
      <c r="CS52" s="2077" t="s">
        <v>503</v>
      </c>
      <c r="CT52" s="2143" t="s">
        <v>504</v>
      </c>
      <c r="CU52" s="2083" t="s">
        <v>491</v>
      </c>
      <c r="CV52" s="2006" t="s">
        <v>506</v>
      </c>
      <c r="CW52" s="2006" t="s">
        <v>507</v>
      </c>
      <c r="CX52" s="2003" t="s">
        <v>508</v>
      </c>
      <c r="CY52" s="2140" t="s">
        <v>543</v>
      </c>
      <c r="CZ52" s="2086" t="s">
        <v>509</v>
      </c>
      <c r="DA52" s="2087"/>
      <c r="DB52" s="2140" t="s">
        <v>510</v>
      </c>
      <c r="DC52" s="2006" t="s">
        <v>513</v>
      </c>
      <c r="DD52" s="2006" t="s">
        <v>514</v>
      </c>
      <c r="DE52" s="2140" t="s">
        <v>544</v>
      </c>
      <c r="DF52" s="2086" t="s">
        <v>511</v>
      </c>
      <c r="DG52" s="2087"/>
      <c r="DH52" s="2006" t="s">
        <v>512</v>
      </c>
      <c r="DI52" s="2006" t="s">
        <v>515</v>
      </c>
      <c r="DJ52" s="2006" t="s">
        <v>516</v>
      </c>
      <c r="DK52" s="2006" t="s">
        <v>517</v>
      </c>
      <c r="DL52" s="2006" t="s">
        <v>545</v>
      </c>
      <c r="DM52" s="2001" t="s">
        <v>546</v>
      </c>
      <c r="DN52" s="2154"/>
      <c r="DO52" s="2001" t="s">
        <v>547</v>
      </c>
      <c r="DP52" s="2002"/>
      <c r="DQ52" s="2003" t="s">
        <v>548</v>
      </c>
      <c r="DR52" s="2004"/>
      <c r="DS52" s="2006" t="s">
        <v>568</v>
      </c>
      <c r="DT52" s="2001" t="s">
        <v>549</v>
      </c>
      <c r="DU52" s="2154"/>
      <c r="DV52" s="2001" t="s">
        <v>550</v>
      </c>
      <c r="DW52" s="2002"/>
      <c r="DX52" s="2003" t="s">
        <v>551</v>
      </c>
      <c r="DY52" s="2004"/>
      <c r="DZ52" s="2006" t="s">
        <v>12</v>
      </c>
      <c r="EA52" s="2006" t="s">
        <v>13</v>
      </c>
      <c r="EB52" s="2006" t="s">
        <v>582</v>
      </c>
      <c r="EC52" s="2006" t="s">
        <v>581</v>
      </c>
      <c r="ED52" s="1977"/>
      <c r="EE52" s="2005"/>
      <c r="EF52" s="2005"/>
      <c r="EG52" s="2088"/>
      <c r="EH52" s="2005"/>
      <c r="EI52" s="2005"/>
      <c r="EJ52" s="2005"/>
      <c r="EK52" s="1977"/>
      <c r="EL52" s="1977"/>
      <c r="EM52" s="1977"/>
      <c r="EN52" s="2005"/>
      <c r="EO52" s="1977"/>
      <c r="EP52" s="1977"/>
      <c r="EQ52" s="1977"/>
      <c r="ER52" s="1977"/>
      <c r="ES52" s="1977"/>
      <c r="ET52" s="1977"/>
      <c r="EU52" s="1977"/>
      <c r="EV52" s="2006" t="s">
        <v>590</v>
      </c>
      <c r="EW52" s="2006" t="s">
        <v>591</v>
      </c>
      <c r="EX52" s="1981"/>
      <c r="EY52" s="1978"/>
      <c r="EZ52" s="2064" t="s">
        <v>518</v>
      </c>
      <c r="FA52" s="2066" t="s">
        <v>519</v>
      </c>
      <c r="FB52" s="1982" t="s">
        <v>682</v>
      </c>
      <c r="FC52" s="1982" t="s">
        <v>683</v>
      </c>
      <c r="FD52" s="2062" t="s">
        <v>787</v>
      </c>
      <c r="FE52" s="2063"/>
      <c r="FF52" s="246" t="s">
        <v>948</v>
      </c>
      <c r="FK52" s="2048" t="s">
        <v>789</v>
      </c>
      <c r="FL52" s="2050" t="s">
        <v>620</v>
      </c>
      <c r="FM52" s="2052" t="s">
        <v>490</v>
      </c>
      <c r="FN52" s="2060" t="s">
        <v>492</v>
      </c>
      <c r="FO52" s="2282" t="s">
        <v>493</v>
      </c>
      <c r="FP52" s="2271" t="s">
        <v>494</v>
      </c>
      <c r="FQ52" s="2271" t="s">
        <v>495</v>
      </c>
      <c r="FR52" s="2279" t="s">
        <v>496</v>
      </c>
      <c r="FS52" s="2276" t="s">
        <v>497</v>
      </c>
      <c r="FT52" s="2046" t="s">
        <v>642</v>
      </c>
      <c r="FU52" s="1989" t="s">
        <v>484</v>
      </c>
      <c r="FV52" s="1989" t="s">
        <v>645</v>
      </c>
      <c r="FW52" s="1989" t="s">
        <v>644</v>
      </c>
      <c r="FX52" s="1989" t="s">
        <v>485</v>
      </c>
      <c r="FY52" s="1989" t="s">
        <v>643</v>
      </c>
      <c r="FZ52" s="1989" t="s">
        <v>646</v>
      </c>
      <c r="GA52" s="1989" t="s">
        <v>486</v>
      </c>
      <c r="GB52" s="1991" t="s">
        <v>487</v>
      </c>
      <c r="GC52" s="1987" t="s">
        <v>625</v>
      </c>
      <c r="GD52" s="207"/>
      <c r="GE52" s="133"/>
      <c r="GF52" s="133"/>
      <c r="GG52" s="137"/>
      <c r="GH52" s="137"/>
      <c r="GI52" s="138"/>
      <c r="GJ52" s="1985" t="s">
        <v>647</v>
      </c>
      <c r="GK52" s="2"/>
    </row>
    <row r="53" spans="1:193" ht="12.6" hidden="1" customHeight="1" thickTop="1" thickBot="1" x14ac:dyDescent="0.25">
      <c r="BZ53" s="293"/>
      <c r="CA53" s="293"/>
      <c r="CB53" s="2076"/>
      <c r="CC53" s="2142"/>
      <c r="CD53" s="1984"/>
      <c r="CE53" s="1984"/>
      <c r="CF53" s="2078"/>
      <c r="CG53" s="2078"/>
      <c r="CH53" s="2078"/>
      <c r="CI53" s="2078"/>
      <c r="CJ53" s="2078"/>
      <c r="CK53" s="2067"/>
      <c r="CL53" s="2142"/>
      <c r="CM53" s="1984"/>
      <c r="CN53" s="1984"/>
      <c r="CO53" s="2078"/>
      <c r="CP53" s="2078"/>
      <c r="CQ53" s="2078"/>
      <c r="CR53" s="2078"/>
      <c r="CS53" s="2078"/>
      <c r="CT53" s="2067"/>
      <c r="CU53" s="2084"/>
      <c r="CV53" s="2007"/>
      <c r="CW53" s="2082"/>
      <c r="CX53" s="2085"/>
      <c r="CY53" s="1977"/>
      <c r="CZ53" s="343" t="s">
        <v>554</v>
      </c>
      <c r="DA53" s="343" t="s">
        <v>555</v>
      </c>
      <c r="DB53" s="1977"/>
      <c r="DC53" s="2007"/>
      <c r="DD53" s="2007"/>
      <c r="DE53" s="1977"/>
      <c r="DF53" s="343" t="s">
        <v>554</v>
      </c>
      <c r="DG53" s="343" t="s">
        <v>555</v>
      </c>
      <c r="DH53" s="2007"/>
      <c r="DI53" s="2007"/>
      <c r="DJ53" s="2007"/>
      <c r="DK53" s="2007"/>
      <c r="DL53" s="2007"/>
      <c r="DM53" s="344" t="s">
        <v>521</v>
      </c>
      <c r="DN53" s="344" t="s">
        <v>522</v>
      </c>
      <c r="DO53" s="344" t="s">
        <v>521</v>
      </c>
      <c r="DP53" s="344" t="s">
        <v>522</v>
      </c>
      <c r="DQ53" s="344" t="s">
        <v>521</v>
      </c>
      <c r="DR53" s="344" t="s">
        <v>522</v>
      </c>
      <c r="DS53" s="2007"/>
      <c r="DT53" s="344" t="s">
        <v>521</v>
      </c>
      <c r="DU53" s="344" t="s">
        <v>522</v>
      </c>
      <c r="DV53" s="344" t="s">
        <v>521</v>
      </c>
      <c r="DW53" s="344" t="s">
        <v>522</v>
      </c>
      <c r="DX53" s="344" t="s">
        <v>521</v>
      </c>
      <c r="DY53" s="344" t="s">
        <v>522</v>
      </c>
      <c r="DZ53" s="2007"/>
      <c r="EA53" s="2007"/>
      <c r="EB53" s="2008"/>
      <c r="EC53" s="2008"/>
      <c r="ED53" s="1977"/>
      <c r="EE53" s="2005"/>
      <c r="EF53" s="2005"/>
      <c r="EG53" s="2088"/>
      <c r="EH53" s="2005"/>
      <c r="EI53" s="2005"/>
      <c r="EJ53" s="2005"/>
      <c r="EK53" s="1977"/>
      <c r="EL53" s="1977"/>
      <c r="EM53" s="1977"/>
      <c r="EN53" s="2005"/>
      <c r="EO53" s="1977"/>
      <c r="EP53" s="1977"/>
      <c r="EQ53" s="1977"/>
      <c r="ER53" s="1977"/>
      <c r="ES53" s="1977"/>
      <c r="ET53" s="1977"/>
      <c r="EU53" s="1977"/>
      <c r="EV53" s="2007"/>
      <c r="EW53" s="2007"/>
      <c r="EX53" s="1981"/>
      <c r="EY53" s="1979"/>
      <c r="EZ53" s="2065"/>
      <c r="FA53" s="2067"/>
      <c r="FB53" s="1983"/>
      <c r="FC53" s="1983"/>
      <c r="FD53" s="508" t="s">
        <v>606</v>
      </c>
      <c r="FE53" s="509" t="s">
        <v>607</v>
      </c>
      <c r="FF53" s="251" t="s">
        <v>949</v>
      </c>
      <c r="FG53" s="251" t="s">
        <v>950</v>
      </c>
      <c r="FH53" s="251" t="s">
        <v>951</v>
      </c>
      <c r="FI53" s="251" t="s">
        <v>952</v>
      </c>
      <c r="FK53" s="2049"/>
      <c r="FL53" s="2051"/>
      <c r="FM53" s="2053"/>
      <c r="FN53" s="2061"/>
      <c r="FO53" s="2272"/>
      <c r="FP53" s="2272"/>
      <c r="FQ53" s="2272"/>
      <c r="FR53" s="2272"/>
      <c r="FS53" s="2277"/>
      <c r="FT53" s="2278"/>
      <c r="FU53" s="2270"/>
      <c r="FV53" s="2270"/>
      <c r="FW53" s="2270"/>
      <c r="FX53" s="2270"/>
      <c r="FY53" s="2270"/>
      <c r="FZ53" s="2270"/>
      <c r="GA53" s="2273"/>
      <c r="GB53" s="2275"/>
      <c r="GC53" s="2269"/>
      <c r="GD53" s="208" t="s">
        <v>623</v>
      </c>
      <c r="GE53" s="142" t="s">
        <v>624</v>
      </c>
      <c r="GF53" s="135" t="s">
        <v>626</v>
      </c>
      <c r="GG53" s="135" t="s">
        <v>627</v>
      </c>
      <c r="GH53" s="135" t="s">
        <v>628</v>
      </c>
      <c r="GI53" s="136" t="s">
        <v>629</v>
      </c>
      <c r="GJ53" s="1986"/>
      <c r="GK53" s="757" t="s">
        <v>953</v>
      </c>
    </row>
    <row r="54" spans="1:193" ht="12.6" hidden="1" customHeight="1" thickTop="1" x14ac:dyDescent="0.2">
      <c r="BZ54" s="293"/>
      <c r="CA54" s="293"/>
      <c r="CB54" s="365" t="str">
        <f t="shared" ref="CB54:CB85" si="100">IF(CB14="","",CB14)</f>
        <v>G71</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1">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2">CW14*-1</f>
        <v>0</v>
      </c>
      <c r="CU54" s="1317">
        <f t="shared" ref="CU54:CU85" si="103">IF(DA14="",0,ATAN(DA14/12))</f>
        <v>0</v>
      </c>
      <c r="CV54" s="1311">
        <f t="shared" ref="CV54:CV85" si="104">IF(OR(CD54="",CE14="",CM54=""),"",CEILING(IF(AND(CE14="",CF14=""),"",((CE14*12+CF14)+CD54+CM54)/COS(EU54))-0.0625,0.125))</f>
        <v>671.5</v>
      </c>
      <c r="CW54" s="1311">
        <f t="shared" ref="CW54:CW85" si="105">IF(CF54="","",IF(ABS(EM54)&lt;ABS($FA$2),CF54,IF(EM54=0,CF54,CEILING((CF54+((DC54-CD54)/12)*EM54)-0.0625,0.125))))</f>
        <v>7.5</v>
      </c>
      <c r="CX54" s="1311">
        <f t="shared" ref="CX54:CX85" si="106">IF(CO54="","",IF(ABS(ER54)&lt;ABS($FA$2),CO54,IF(ER54=0,CO54,CEILING((CO54+((DI54-CM54)/12)*ER54)-0.0625,0.125))))</f>
        <v>7.5</v>
      </c>
      <c r="CY54" s="1313">
        <f t="shared" ref="CY54:CY85" si="107">RADIANS(ABS(CL14))</f>
        <v>0</v>
      </c>
      <c r="CZ54" s="1313">
        <f t="shared" ref="CZ54:CZ85" si="108">MIN(IF(CH14&gt;0,CH14/2,MAX(CI14/2,CJ54)),IF(CI14&gt;0,CI14/2,MAX(CH14/2,CJ54)),IF(CJ54&gt;0,CJ54,MAX(CI14/2,CH14/2)))/IF(OR(CC54="C",AND(CC54="M",$FG$1="N")),1,COS(CY54))</f>
        <v>9</v>
      </c>
      <c r="DA54" s="1313">
        <f t="shared" ref="DA54:DA85" si="109">IF(CD54="","",IF(CJ54&gt;=0,MAX(CH14/2,CI14/2,CJ54),CJ54)/IF(OR(CC54="C",AND(CC54="M",$FG$1="N")),1,COS(CY54)))</f>
        <v>9</v>
      </c>
      <c r="DB54" s="1311">
        <f>IF(CD54="","",CD54+DA54+($EY$4*TAN(CY54)))</f>
        <v>8.75</v>
      </c>
      <c r="DC54" s="1311">
        <f t="shared" ref="DC54:DC85" si="110">IF(CD54="","",IF(NOT(ISBLANK(CO14)),CD54-CO14,MAX(IF(AND(CZ54&gt;=$FB$4,DA54&lt;=$FA$4,OR($FA$1=1,$FA$1=4)),CD54,IF(OR($FA$1=3,$FA$1=4),DB54-$FA$4,DB54+MAX(($FA$4-$FB$4)-(DA54-CZ54)-$EY$4/2*TAN(CY54),0)-$FA$4))-EO54,0)))</f>
        <v>2.75</v>
      </c>
      <c r="DD54" s="875">
        <f>IF(CD54="",0,IF(DC54/COS(EU54)&lt;0.0625,0,CEILING(DC54/COS(EU54)-0.03125,0.125)))</f>
        <v>2.75</v>
      </c>
      <c r="DE54" s="873">
        <f t="shared" ref="DE54:DE85" si="111">RADIANS(ABS(CV14))</f>
        <v>0</v>
      </c>
      <c r="DF54" s="874">
        <f t="shared" ref="DF54:DF85" si="112">MIN(IF(CR14&gt;0,CR14/2,MAX(CS14/2,CS54)),IF(CS14&gt;0,CS14/2,MAX(CR14/2,CS54)),IF(CS54&gt;0,CS54,MAX(CS14/2,CR14/2)))/IF(OR(CL54="C",AND(CL54="M",$FG$1="N")),1,COS(DE54))</f>
        <v>9</v>
      </c>
      <c r="DG54" s="874">
        <f t="shared" ref="DG54:DG85" si="113">IF(CM54="","",IF(CS54&gt;=0,MAX(CR14/2,CS14/2,CS54),CS54)/IF(OR(CL54="C",AND(CL54="M",$FG$1="N")),1,COS(DE54)))</f>
        <v>9</v>
      </c>
      <c r="DH54" s="1311">
        <f>IF(CM54="","",CM54+DG54+($EY$4*TAN(DE54)))</f>
        <v>8.75</v>
      </c>
      <c r="DI54" s="1311">
        <f t="shared" ref="DI54:DI85" si="114">IF(CM54="","",IF(NOT(ISBLANK(CY14)),CM54-CY14,MAX(IF(AND(DF54&gt;=$FB$4,DG54&lt;=$FA$4,OR($FA$1=1,$FA$1=4)),CM54,IF(OR($FA$1=3,$FA$1=4),DH54-$FA$4,DH54+MAX(($FA$4-$FB$4)-(DG54-DF54)-$EY$4/2*TAN(DE54),0)-$FA$4))-ET54,0)-CY14))</f>
        <v>2.75</v>
      </c>
      <c r="DJ54" s="1312">
        <f>IF(CM54="",0,IF(DI54/COS(EU54)&lt;0.0625,0,CEILING(DI54/COS(EU54)-0.03125,0.125)))</f>
        <v>2.75</v>
      </c>
      <c r="DK54" s="1311">
        <f t="shared" ref="DK54:DK85" si="115">IF(CV54="","",CEILING(CV54-DD54-DJ54-0.0625,0.125))</f>
        <v>666</v>
      </c>
      <c r="DL54" s="1311">
        <f t="shared" ref="DL54:DL85" si="116">IF(AND(EG54="",CH54=""),"",IF(EG54="ERR","ERR",IF(ISNUMBER(EG54),(EG54/2)*-1,CH54)))</f>
        <v>-7.5</v>
      </c>
      <c r="DM54" s="1311">
        <f t="shared" ref="DM54:DM85" si="117">IF(DL54="ERR","ERR",IF(DL54="","",IF(CR54*TAN(CY54)&lt;=($FE$4-($FD$4-0.0625)),CD54-(DL54-EO54)/IF(OR(CC54="C",AND(CC54="M",$FG$1="N")),1,COS(CY54))-IF(MID(CE54,1,1)="R",0,DC54),(ABS(DL54-EO54)/IF(OR(CC54="C",AND(CC54="M",$FG$1="N")),1,COS(CY54))+CD54)-((CR54/2)*TAN(CY54))-IF(MID(CE54,1,1)="R",0,DC54))))</f>
        <v>7.25</v>
      </c>
      <c r="DN54" s="1311">
        <f t="shared" ref="DN54:DN85" si="118">IF(DL54="ERR","ERR",IF(DL54="","",IF(CI54*TAN(CY54)&lt;=($FE$4-($FD$4-0.0625)),CD54-(DL54-EO54)/IF(OR(CC54="C",AND(CC54="M",$FG$1="N")),1,COS(CY54))-IF(MID(CE54,1,1)="R",0,DC54),(ABS(DL54-EO54)/IF(OR(CC54="C",AND(CC54="M",$FG$1="N")),1,COS(CY54))+CD54)+((CI54/2)*TAN(CY54))-IF(MID(CE54,1,1)="R",0,DC54))))</f>
        <v>7.25</v>
      </c>
      <c r="DO54" s="889">
        <f t="shared" ref="DO54:DO85" si="119">IF(ISBLANK(CO14),IF(DM54&lt;$EX$6+($FD$4-0.0625)/2,"ERR",IF(DM54&lt;$EX$6+$FE$4/2,($FE$4/2+$EX$6),IF(DM54&lt;$FA$4+IF(MID(CE54,1,1)="R",DC54+CO14,0)-$FE$4/2-$EX$6,DM54,IF(DM54&lt;=$FA$4+IF(MID(CE54,1,1)="R",DC54,0)-($FD$4-0.0625)/2-$EX$6,$FA$4+IF(MID(CE54,1,1)="R",DC54,0)-($FE$4/2+$EX$6),"ERR")))),DM54)</f>
        <v>7.25</v>
      </c>
      <c r="DP54" s="889">
        <f t="shared" ref="DP54:DP85" si="120">IF(ISBLANK(CO14),IF(DN54&lt;$EX$6+($FD$4-0.0625)/2,"ERR",IF(DN54&lt;0.5+$FE$4/2,($FE$4/2+$EX$6),IF(DN54&lt;$FA$4+IF(MID(CE54,1,1)="R",DC54+CO14,0)-$FE$4/2-$EX$6,DN54,IF(DN54&lt;=$FA$4+IF(MID(CE54,1,1)="R",DC54,0)-($FD$4-0.0625)/2-$EX$6,$FA$4+IF(MID(CE54,1,1)="R",DC54,0)-($FE$4/2+$EX$6),"ERR")))),DN54)</f>
        <v>7.25</v>
      </c>
      <c r="DQ54" s="1311">
        <f t="shared" ref="DQ54:DR85" si="121">IF(ISERROR(DM54),"ERR",IF(DM54="","",IF(DO54="ERR","ERR",CEILING(DO54-0.0625,0.125))))</f>
        <v>7.25</v>
      </c>
      <c r="DR54" s="1311">
        <f t="shared" si="121"/>
        <v>7.25</v>
      </c>
      <c r="DS54" s="1311">
        <f t="shared" ref="DS54:DS85" si="122">IF(AND(EJ54="",CQ54=""),"",IF(EJ54="ERR","ERR",IF(ISNUMBER(EJ54),(EJ54/2)*-1,CQ54)))</f>
        <v>-7.5</v>
      </c>
      <c r="DT54" s="1311">
        <f t="shared" ref="DT54:DT85" si="123">IF(DS54="ERR","ERR",IF(DS54="","",IF(CR54*TAN(DE54)&lt;=($FE$4-($FD$4-0.0625)),CM54-(DS54-ET54)/IF(OR(CL54="C",AND(CL54="M",$FG$1="N")),1,COS(DE54))-IF(MID(CN54,1,1)="R",0,DI54),(ABS(DS54-ET54)/IF(OR(CL54="C",AND(CL54="M",$FG$1="N")),1,COS(DE54))+CM54)-((CR54/2)*TAN(DE54))-IF(MID(CN54,1,1)="R",0,DI54))))</f>
        <v>7.25</v>
      </c>
      <c r="DU54" s="1311">
        <f t="shared" ref="DU54:DU85" si="124">IF(DS54="ERR","ERR",IF(DS54="","",IF(CR54*TAN(DE54)&lt;=($FE$4-($FD$4-0.0625)),CM54-(DS54-ET54)/IF(OR(CL54="C",AND(CL54="M",$FG$1="N")),1,COS(DE54))-IF(MID(CN54,1,1)="R",0,DI54),(ABS(DS54-ET54)/IF(OR(CL54="C",AND(CL54="M",$FG$1="N")),1,COS(DE54))+CM54)+((CR54/2)*TAN(DE54))-IF(MID(CN54,1,1)="R",0,DI54))))</f>
        <v>7.25</v>
      </c>
      <c r="DV54" s="889">
        <f t="shared" ref="DV54:DV85" si="125">IF(ISBLANK(CY14),IF(DT54&lt;$EX$6+($FD$4-0.0625)/2,"ERR",IF(DT54&lt;$EX$6+$FE$4/2,($FE$4/2+$EX$6),IF(DT54&lt;$FA$4+IF(MID(CN54,1,1)="R",DI54+CY14,0)-$FE$4/2-$EX$6,DT54,IF(DT54&lt;=$FA$4+IF(MID(CN54,1,1)="R",DI54,0)-($FD$4-0.0625)/2-$EX$6,$FA$4+IF(MID(CN54,1,1)="R",DI54,0)-($FE$4/2+$EX$6),"ERR")))),DT54)</f>
        <v>7.25</v>
      </c>
      <c r="DW54" s="889">
        <f t="shared" ref="DW54:DW85" si="126">IF(ISBLANK(CY14),IF(DU54&lt;$EX$6+($FD$4-0.0625)/2,"ERR",IF(DU54&lt;0.5+$FE$4/2,($FE$4/2+$EX$6),IF(DU54&lt;$FA$4+IF(MID(CN54,1,1)="R",DI54+CY14,0)-$FE$4/2-$EX$6,DU54,IF(DU54&lt;=$FA$4+IF(MID(CN54,1,1)="R",DI54,0)-($FD$4-0.0625)/2-$EX$6,$FA$4+IF(MID(CN54,1,1)="R",DI54,0)-($FE$4/2+$EX$6),"ERR")))),DU54)</f>
        <v>7.25</v>
      </c>
      <c r="DX54" s="873">
        <f t="shared" ref="DX54:DY74" si="127">IF(ISERROR(DT54),"ERR",IF(DT54="","",IF(DV54="ERR","ERR",CEILING(DV54-0.0625,0.125))))</f>
        <v>7.25</v>
      </c>
      <c r="DY54" s="873">
        <f t="shared" si="127"/>
        <v>7.25</v>
      </c>
      <c r="DZ54" s="873">
        <f t="shared" ref="DZ54:DZ84" si="128">IF(CG54="","",IF((CD54-CG54)/COS(CU54)-FB54&lt;=-0.0625,CEILING((CD54-CG54)/COS(CU54)-FB54+0.0625,-0.125),IF((CD54-CG54)/COS(CU54)-FB54&gt;=0.0625,CEILING((CD54-CG54)/COS(CU54)-FB54-0.0625,0.125),0)))</f>
        <v>7.75</v>
      </c>
      <c r="EA54" s="873">
        <f t="shared" ref="EA54:EA84" si="129">IF(CP54="","",IF((CM54-CP54)/COS(CU54)-FC54&lt;=-0.0625,CEILING((CM54-CP54)/COS(CU54)-FC54+0.0625,-0.125),IF((CM54-CP54)/COS(CU54)-FC54&gt;=0.0625,CEILING((CM54-CP54)/COS(CU54)-FC54-0.0625,0.125),0)))</f>
        <v>7.75</v>
      </c>
      <c r="EB54" s="876">
        <f t="shared" ref="EB54:EB85" si="130">IF(CD14="","",$FC$4)</f>
        <v>5</v>
      </c>
      <c r="EC54" s="877">
        <f t="shared" ref="EC54:EC85" si="131">IF(AND(DR54="",DY54=""),"",IF(OR(CI54=EB54,CR54=EB54),EB54,CI54))</f>
        <v>5</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f t="shared" ref="EO54:EO85" si="143">IF(CF54="","",CF54*TAN(EK54))</f>
        <v>0</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f t="shared" ref="ET54:ET85" si="148">IF(CO54="","",CO54*TAN(EP54))</f>
        <v>0</v>
      </c>
      <c r="EU54" s="873">
        <f t="shared" ref="EU54:EU85" si="149">IF((CE14*12+CF14)/COS(CU54)-(CE14*12+CF14)&lt;$FE$2,0,CU54)</f>
        <v>0</v>
      </c>
      <c r="EV54" s="876">
        <f t="shared" ref="EV54:EV85" si="150">MIN(IF(CH14&gt;0,CH14/2,MAX(CI14/2,CJ54)),IF(CI14&gt;0,CI14/2,MAX(CH14/2,CJ54)),IF(CJ54&gt;0,CJ54,MAX(CI14/2,CH14/2)))/COS(CY54)+CD54-DC54</f>
        <v>6</v>
      </c>
      <c r="EW54" s="876">
        <f t="shared" ref="EW54:EW85" si="151">MIN(IF(CR14&gt;0,CR14/2,MAX(CS14/2,CS54)),IF(CS14&gt;0,CS14/2,MAX(CR14/2,CS54)),IF(CS54&gt;0,CS54,MAX(CS14/2,CR14/2)))/COS(DE54)+CM54-DI54</f>
        <v>6</v>
      </c>
      <c r="EX54" s="878" t="e">
        <f t="shared" ref="EX54:EX85" si="152">IF(CD14="","",IF(EZ54&lt;1.2,5+$EX$4,IF(EZ54&lt;1.79,6+$EX$4,IF(EZ54&lt;2.3,7+$EX$4,IF(EZ54&lt;3.76,8+$EX$4,IF(EZ54&lt;4.76,10+$EX$4,IF(EZ54&lt;8.45,12+$EX$4,"ERR")))))))</f>
        <v>#VALUE!</v>
      </c>
      <c r="EY54" s="879" t="e">
        <f t="shared" ref="EY54:EY85" si="153">TRUNC(IF(FA54&lt;1.03,25.667,IF(FA54&lt;1.2,29.667,IF(FA54&lt;1.79,33.583,IF(FA54&lt;2.3,37.75,IF(FA54&lt;3.76,42,IF(FA54&lt;4.76,50.167,IF(FA54&lt;8.45,58.167,"ERR"))))))))</f>
        <v>#VALUE!</v>
      </c>
      <c r="EZ54" s="959" t="e">
        <f t="shared" ref="EZ54:EZ85" si="154">(0.03*BP14*((CE14+CF14/12)/BO14)*(BO14^2-IF(ISEVEN(BO14),0,1)))/BM14</f>
        <v>#VALUE!</v>
      </c>
      <c r="FA54" s="960" t="e">
        <f t="shared" ref="FA54:FA85" si="155">(0.026*BP14*((CE14+CF14/12)/BO14)*(BO14^2-IF(ISEVEN(BO14),0,1)))/BM14</f>
        <v>#VALUE!</v>
      </c>
      <c r="FB54" s="880">
        <f t="shared" ref="FB54:FB85" si="156">IF(CG54="","",IF(ABS(DA14*((BM14-IF(DA14&gt;0,$FF$4,0))/12))&gt;$CX$2,DA14*((BM14-IF(DA14&gt;0,$FF$4,0))/12),0))</f>
        <v>0</v>
      </c>
      <c r="FC54" s="881">
        <f t="shared" ref="FC54:FC85" si="157">IF(CP54="","",IF(ABS(DA14*((BM14-IF(DA14&lt;0,$FF$4,0))/12))&gt;$CX$2,DA14*((BM14-IF(DA14&lt;0,$FF$4,0))/12)*-1,0))</f>
        <v>0</v>
      </c>
      <c r="FD54" s="890">
        <f t="shared" ref="FD54:FD85" si="158">IF(CF54="",0,MAX(0,DB54-$FA$4))</f>
        <v>2.75</v>
      </c>
      <c r="FE54" s="833">
        <f t="shared" ref="FE54:FE85" si="159">IF(CO54="",0,MAX(0,DH54-$FA$4))</f>
        <v>2.75</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G71</v>
      </c>
      <c r="FL54" s="311">
        <f>VLOOKUP(DH14,$CB$54:$DK$85,36,FALSE)</f>
        <v>666</v>
      </c>
      <c r="FM54" s="312" t="str">
        <f t="shared" ref="FM54:FM85" si="164">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5">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6">IF(ISBLANK(DT14),"",MAX(0,DT14+VLOOKUP(FK54,$CB$54:$CD$85,3,FALSE)))</f>
        <v>1.75</v>
      </c>
      <c r="GE54" s="318">
        <f t="shared" ref="GE54:GE85" si="167">IF(ISBLANK(DU14),"",MAX(0,DU14+VLOOKUP(FK54,$CB$54:$CM$85,12,FALSE)))</f>
        <v>1.75</v>
      </c>
      <c r="GF54" s="269" t="str">
        <f t="shared" ref="GF54:GF85" si="168">IF(AND(ISBLANK(DV14),ISBLANK(DW14)),"",IF(DV14="P",IF(ISNUMBER(DW14),CONCATENATE("#", DW14),DW14),CEILING((DV14*12+DW14+GC54)/COS(VLOOKUP(FK54,$CB$54:$EU$85,72,FALSE))-0.0625,0.125)))</f>
        <v>#5</v>
      </c>
      <c r="GG54" s="270" t="str">
        <f t="shared" ref="GG54:GG85" si="169">IF(AND(ISBLANK(DZ14),ISBLANK(EA14)),"",IF(DZ14="P",IF(ISNUMBER(EA14),CONCATENATE("#", EA14),EA14),CEILING((DZ14*12+EA14+GC54)/COS(VLOOKUP(FK54,$CB$54:$EU$85,72,FALSE))-0.0625,0.125)))</f>
        <v>#6</v>
      </c>
      <c r="GH54" s="270">
        <f t="shared" ref="GH54:GH85" si="170">IF(AND(ISBLANK(ED14),ISBLANK(EE14)),"",IF(ED14="P",IF(ISNUMBER(EE14),CONCATENATE("#", EE14),EE14),CEILING((ED14*12+EE14+GC54)/COS(VLOOKUP(FK54,$CB$54:$EU$85,72,FALSE))-0.0625,0.125)))</f>
        <v>12</v>
      </c>
      <c r="GI54" s="271">
        <f t="shared" ref="GI54:GI85" si="171">IF(AND(ISBLANK(EH14),ISBLANK(EI14)),"",IF(EH14="P",IF(ISNUMBER(EI14),CONCATENATE("#", EI14),EI14),CEILING((EH14*12+EI14+GC54)/COS(VLOOKUP(FK54,$CB$54:$EU$85,72,FALSE))-0.0625,0.125)))</f>
        <v>660</v>
      </c>
      <c r="GJ54" s="529">
        <f t="shared" ref="GJ54:GJ84"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0"/>
        <v>G72</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1"/>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2"/>
        <v>0</v>
      </c>
      <c r="CU55" s="1317">
        <f t="shared" si="103"/>
        <v>0</v>
      </c>
      <c r="CV55" s="1311">
        <f t="shared" si="104"/>
        <v>671.5</v>
      </c>
      <c r="CW55" s="1311">
        <f t="shared" si="105"/>
        <v>7.5</v>
      </c>
      <c r="CX55" s="1311">
        <f t="shared" si="106"/>
        <v>7.5</v>
      </c>
      <c r="CY55" s="1313">
        <f t="shared" si="107"/>
        <v>0</v>
      </c>
      <c r="CZ55" s="1313">
        <f t="shared" si="108"/>
        <v>9</v>
      </c>
      <c r="DA55" s="1313">
        <f t="shared" si="109"/>
        <v>9</v>
      </c>
      <c r="DB55" s="1311">
        <f t="shared" ref="DB55:DB85" si="173">IF(CD55="","",CD55+DA55+($EY$4*TAN(CY55)))</f>
        <v>8.75</v>
      </c>
      <c r="DC55" s="1311">
        <f t="shared" si="110"/>
        <v>2.75</v>
      </c>
      <c r="DD55" s="875">
        <f t="shared" ref="DD55:DD85" si="174">IF(CD55="",0,IF(DC55/COS(EU55)&lt;0.0625,0,CEILING(DC55/COS(EU55)-0.03125,0.125)))</f>
        <v>2.75</v>
      </c>
      <c r="DE55" s="873">
        <f t="shared" si="111"/>
        <v>0</v>
      </c>
      <c r="DF55" s="874">
        <f t="shared" si="112"/>
        <v>9</v>
      </c>
      <c r="DG55" s="874">
        <f t="shared" si="113"/>
        <v>9</v>
      </c>
      <c r="DH55" s="1311">
        <f t="shared" ref="DH55:DH85" si="175">IF(CM55="","",CM55+DG55+($EY$4*TAN(DE55)))</f>
        <v>8.75</v>
      </c>
      <c r="DI55" s="1311">
        <f t="shared" si="114"/>
        <v>2.75</v>
      </c>
      <c r="DJ55" s="1312">
        <f t="shared" ref="DJ55:DJ85" si="176">IF(CM55="",0,IF(DI55/COS(EU55)&lt;0.0625,0,CEILING(DI55/COS(EU55)-0.03125,0.125)))</f>
        <v>2.75</v>
      </c>
      <c r="DK55" s="1311">
        <f t="shared" si="115"/>
        <v>666</v>
      </c>
      <c r="DL55" s="1311">
        <f t="shared" si="116"/>
        <v>-7.5</v>
      </c>
      <c r="DM55" s="1311">
        <f t="shared" si="117"/>
        <v>7.25</v>
      </c>
      <c r="DN55" s="1311">
        <f t="shared" si="118"/>
        <v>7.25</v>
      </c>
      <c r="DO55" s="889">
        <f t="shared" si="119"/>
        <v>7.25</v>
      </c>
      <c r="DP55" s="889">
        <f t="shared" si="120"/>
        <v>7.25</v>
      </c>
      <c r="DQ55" s="1311">
        <f t="shared" si="121"/>
        <v>7.25</v>
      </c>
      <c r="DR55" s="1311">
        <f t="shared" si="121"/>
        <v>7.25</v>
      </c>
      <c r="DS55" s="1311">
        <f t="shared" si="122"/>
        <v>-7.5</v>
      </c>
      <c r="DT55" s="1311">
        <f t="shared" si="123"/>
        <v>7.25</v>
      </c>
      <c r="DU55" s="1311">
        <f t="shared" si="124"/>
        <v>7.25</v>
      </c>
      <c r="DV55" s="889">
        <f t="shared" si="125"/>
        <v>7.25</v>
      </c>
      <c r="DW55" s="889">
        <f t="shared" si="126"/>
        <v>7.25</v>
      </c>
      <c r="DX55" s="873">
        <f t="shared" si="127"/>
        <v>7.25</v>
      </c>
      <c r="DY55" s="873">
        <f t="shared" si="127"/>
        <v>7.25</v>
      </c>
      <c r="DZ55" s="873">
        <f t="shared" si="128"/>
        <v>7.75</v>
      </c>
      <c r="EA55" s="873">
        <f t="shared" si="129"/>
        <v>7.75</v>
      </c>
      <c r="EB55" s="876">
        <f t="shared" si="130"/>
        <v>5</v>
      </c>
      <c r="EC55" s="877">
        <f t="shared" si="131"/>
        <v>5</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f t="shared" si="143"/>
        <v>0</v>
      </c>
      <c r="EP55" s="874">
        <f t="shared" si="144"/>
        <v>0</v>
      </c>
      <c r="EQ55" s="874">
        <f t="shared" si="145"/>
        <v>0</v>
      </c>
      <c r="ER55" s="874">
        <f t="shared" si="146"/>
        <v>0</v>
      </c>
      <c r="ES55" s="874" t="str">
        <f t="shared" si="147"/>
        <v/>
      </c>
      <c r="ET55" s="873">
        <f t="shared" si="148"/>
        <v>0</v>
      </c>
      <c r="EU55" s="873">
        <f t="shared" si="149"/>
        <v>0</v>
      </c>
      <c r="EV55" s="876">
        <f t="shared" si="150"/>
        <v>6</v>
      </c>
      <c r="EW55" s="876">
        <f t="shared" si="151"/>
        <v>6</v>
      </c>
      <c r="EX55" s="878" t="e">
        <f t="shared" si="152"/>
        <v>#VALUE!</v>
      </c>
      <c r="EY55" s="879" t="e">
        <f t="shared" si="153"/>
        <v>#VALUE!</v>
      </c>
      <c r="EZ55" s="959" t="e">
        <f t="shared" si="154"/>
        <v>#VALUE!</v>
      </c>
      <c r="FA55" s="960" t="e">
        <f t="shared" si="155"/>
        <v>#VALUE!</v>
      </c>
      <c r="FB55" s="880">
        <f t="shared" si="156"/>
        <v>0</v>
      </c>
      <c r="FC55" s="881">
        <f t="shared" si="157"/>
        <v>0</v>
      </c>
      <c r="FD55" s="890">
        <f t="shared" si="158"/>
        <v>2.75</v>
      </c>
      <c r="FE55" s="833">
        <f t="shared" si="159"/>
        <v>2.75</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G72</v>
      </c>
      <c r="FL55" s="320">
        <f t="shared" ref="FL55:FL85" si="179">IF(ISERROR(VLOOKUP(DH15,$CB$54:$DK$85,36,FALSE)),FL54,VLOOKUP(DH15,$CB$54:$DK$85,36,FALSE))</f>
        <v>666</v>
      </c>
      <c r="FM55" s="312" t="str">
        <f t="shared" si="164"/>
        <v/>
      </c>
      <c r="FN55" s="272">
        <f t="shared" ref="FN55:FN85" ca="1" si="180">IF(OR(FS55=0,DL15=""),"",IF(UPPER(FM54)="X",0,CEILING(IF(AND(DJ15="",DK15=""),IF(UPPER(FM55)="X",FP55,IF(AND(DM15="",DN15=""),(FS55-FO55*FP55)/2,(DJ15*12+DK15+(DL15*(DM15*12+DN15)))-FO55*FP55)),(DJ15*12+DK15))-0.0625,0.125)))</f>
        <v>96</v>
      </c>
      <c r="FO55" s="273">
        <f t="shared" ref="FO55:FO85" ca="1" si="181">IF(OR(FS55=0,DL15=""),"",DL15-IF(AND(DJ15="",DK15="",FM54&lt;&gt;"X"),1,0)-IF(AND(DM15="",DN15="",FM55=""),1,0))</f>
        <v>5</v>
      </c>
      <c r="FP55" s="274">
        <f t="shared" ref="FP55:FP85" ca="1" si="182">IF(OR(FS55=0,DL15=""),"",CEILING(IF(AND(DM15="",DN15=""),IF(DL15=FO55,(FS55-FN55-FQ55)/FO55,(FS55-IF(AND(DJ15="",DK15=""),0,FN55)-IF(FM55="",0,FQ55))/DL15),DM15*12+DN15)-0.0625,0.125))</f>
        <v>96</v>
      </c>
      <c r="FQ55" s="274">
        <f t="shared" ref="FQ55:FQ85" ca="1" si="183">IF(OR(FS55=0,DL15=""),"",IF(UPPER(FM55)="X",0,FS55-FN55-FO55*FP55))</f>
        <v>96</v>
      </c>
      <c r="FR55" s="321">
        <f t="shared" ref="FR55:FR85" ca="1" si="184">IF(OR(FS55=0,DL15=""),0,FS55-(FN55+FO55*FP55+FQ55))</f>
        <v>0</v>
      </c>
      <c r="FS55" s="322">
        <f t="shared" ref="FS55:FS85" ca="1" si="185">IF(ISBLANK(DH15),IF(FR54=0,IF(OR(DI15="F",DI15="N"),OFFSET(FS54,(-1*(FU54-1)),0),0),FR54),VLOOKUP(DH15,$CB$14:$CF$45,4,FALSE)*12+VLOOKUP(DH15,$CB$14:$CF$45,5,FALSE))</f>
        <v>672</v>
      </c>
      <c r="FT55" s="272">
        <f t="shared" ref="FT55:FT85" ca="1" si="186">IF(FU55="","",IF(FU55=1,IF(FL55="",OFFSET(FL55,(-1*FU54),0),FL55),FT54-GA54))</f>
        <v>666</v>
      </c>
      <c r="FU55" s="275">
        <f t="shared" ref="FU55:FU85" ca="1" si="187">IF(FS55=0,"",IF(FR54=0,1,FU54+1))</f>
        <v>1</v>
      </c>
      <c r="FV55" s="323">
        <f t="shared" ca="1" si="165"/>
        <v>93</v>
      </c>
      <c r="FW55" s="276">
        <f t="shared" ref="FW55:FW85" ca="1" si="188">IF(OR(FN55=0,FN55=""),"",(FN55+VLOOKUP(FK55,$CB$54:$CD$85,3,FALSE)-VLOOKUP(FK55,$CB$54:$DD$85,29,FALSE))/COS(VLOOKUP(FK55,$CB$54:$EU$85,72,FALSE)))</f>
        <v>93</v>
      </c>
      <c r="FX55" s="276">
        <f t="shared" ref="FX55:FX85" ca="1" si="189">IF(FO55=0,0,IF(FP55="","",CEILING(FP55/COS(VLOOKUP(FK55,$CB$54:$EU$85,72,FALSE))-0.0625,0.125)))</f>
        <v>96</v>
      </c>
      <c r="FY55" s="276">
        <f t="shared" ref="FY55:FY85" ca="1" si="190">IF(OR(FQ55=0,FQ55=""),"",FT55-IF(FW55="",0,FW55)-FO55*FX55)</f>
        <v>93</v>
      </c>
      <c r="FZ55" s="276">
        <f t="shared" ref="FZ55:FZ85" ca="1" si="191">IF(FY55="","",CEILING(FT55-IF(FV55="",0,FV55)-(FO55*FX55)-0.0625,0.125))</f>
        <v>93</v>
      </c>
      <c r="GA55" s="276">
        <f t="shared" ref="GA55:GA85" ca="1" si="192">IF(FP55="","",IF(FW55="",0,FW55)+FO55*FX55+IF(FY55="",0,FY55))</f>
        <v>666</v>
      </c>
      <c r="GB55" s="277">
        <f ca="1">IF(FY55="","",2+SUM(FO55:OFFSET(FO55,(FU55-1)*-1,0)))</f>
        <v>7</v>
      </c>
      <c r="GC55" s="316">
        <f t="shared" ref="GC55:GC85" si="193">IF(ISERROR(VLOOKUP(DH15,$CB$54:$CD$85,3,FALSE)),GC54,VLOOKUP(DH15,$CB$54:$CD$85,3,FALSE))</f>
        <v>-0.25</v>
      </c>
      <c r="GD55" s="324">
        <f t="shared" si="166"/>
        <v>1.75</v>
      </c>
      <c r="GE55" s="325">
        <f t="shared" si="167"/>
        <v>1.75</v>
      </c>
      <c r="GF55" s="278" t="str">
        <f t="shared" si="168"/>
        <v>#1</v>
      </c>
      <c r="GG55" s="279" t="str">
        <f t="shared" si="169"/>
        <v>#2</v>
      </c>
      <c r="GH55" s="279">
        <f t="shared" si="170"/>
        <v>12</v>
      </c>
      <c r="GI55" s="280">
        <f t="shared" si="171"/>
        <v>660</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0"/>
        <v>G73</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1"/>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2"/>
        <v>0</v>
      </c>
      <c r="CU56" s="1317">
        <f t="shared" si="103"/>
        <v>0</v>
      </c>
      <c r="CV56" s="1311">
        <f t="shared" si="104"/>
        <v>671.5</v>
      </c>
      <c r="CW56" s="1311">
        <f t="shared" si="105"/>
        <v>7.5</v>
      </c>
      <c r="CX56" s="1311">
        <f t="shared" si="106"/>
        <v>7.5</v>
      </c>
      <c r="CY56" s="1313">
        <f t="shared" si="107"/>
        <v>0</v>
      </c>
      <c r="CZ56" s="1313">
        <f t="shared" si="108"/>
        <v>9</v>
      </c>
      <c r="DA56" s="1313">
        <f t="shared" si="109"/>
        <v>9</v>
      </c>
      <c r="DB56" s="1311">
        <f t="shared" si="173"/>
        <v>8.75</v>
      </c>
      <c r="DC56" s="1311">
        <f t="shared" si="110"/>
        <v>2.75</v>
      </c>
      <c r="DD56" s="875">
        <f t="shared" si="174"/>
        <v>2.75</v>
      </c>
      <c r="DE56" s="873">
        <f t="shared" si="111"/>
        <v>0</v>
      </c>
      <c r="DF56" s="874">
        <f t="shared" si="112"/>
        <v>9</v>
      </c>
      <c r="DG56" s="874">
        <f t="shared" si="113"/>
        <v>9</v>
      </c>
      <c r="DH56" s="1311">
        <f t="shared" si="175"/>
        <v>8.75</v>
      </c>
      <c r="DI56" s="1311">
        <f t="shared" si="114"/>
        <v>2.75</v>
      </c>
      <c r="DJ56" s="1312">
        <f t="shared" si="176"/>
        <v>2.75</v>
      </c>
      <c r="DK56" s="1311">
        <f t="shared" si="115"/>
        <v>666</v>
      </c>
      <c r="DL56" s="1311">
        <f t="shared" si="116"/>
        <v>-7.5</v>
      </c>
      <c r="DM56" s="1311">
        <f t="shared" si="117"/>
        <v>7.25</v>
      </c>
      <c r="DN56" s="1311">
        <f t="shared" si="118"/>
        <v>7.25</v>
      </c>
      <c r="DO56" s="889">
        <f t="shared" si="119"/>
        <v>7.25</v>
      </c>
      <c r="DP56" s="889">
        <f t="shared" si="120"/>
        <v>7.25</v>
      </c>
      <c r="DQ56" s="1311">
        <f t="shared" si="121"/>
        <v>7.25</v>
      </c>
      <c r="DR56" s="1311">
        <f t="shared" si="121"/>
        <v>7.25</v>
      </c>
      <c r="DS56" s="1311">
        <f t="shared" si="122"/>
        <v>-7.5</v>
      </c>
      <c r="DT56" s="1311">
        <f t="shared" si="123"/>
        <v>7.25</v>
      </c>
      <c r="DU56" s="1311">
        <f t="shared" si="124"/>
        <v>7.25</v>
      </c>
      <c r="DV56" s="889">
        <f t="shared" si="125"/>
        <v>7.25</v>
      </c>
      <c r="DW56" s="889">
        <f t="shared" si="126"/>
        <v>7.25</v>
      </c>
      <c r="DX56" s="873">
        <f t="shared" si="127"/>
        <v>7.25</v>
      </c>
      <c r="DY56" s="873">
        <f t="shared" si="127"/>
        <v>7.25</v>
      </c>
      <c r="DZ56" s="873">
        <f t="shared" si="128"/>
        <v>7.75</v>
      </c>
      <c r="EA56" s="873">
        <f t="shared" si="129"/>
        <v>7.75</v>
      </c>
      <c r="EB56" s="876">
        <f t="shared" si="130"/>
        <v>5</v>
      </c>
      <c r="EC56" s="877">
        <f t="shared" si="131"/>
        <v>5</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f t="shared" si="143"/>
        <v>0</v>
      </c>
      <c r="EP56" s="874">
        <f t="shared" si="144"/>
        <v>0</v>
      </c>
      <c r="EQ56" s="874">
        <f t="shared" si="145"/>
        <v>0</v>
      </c>
      <c r="ER56" s="874">
        <f t="shared" si="146"/>
        <v>0</v>
      </c>
      <c r="ES56" s="874" t="str">
        <f t="shared" si="147"/>
        <v/>
      </c>
      <c r="ET56" s="873">
        <f t="shared" si="148"/>
        <v>0</v>
      </c>
      <c r="EU56" s="873">
        <f t="shared" si="149"/>
        <v>0</v>
      </c>
      <c r="EV56" s="876">
        <f t="shared" si="150"/>
        <v>6</v>
      </c>
      <c r="EW56" s="876">
        <f t="shared" si="151"/>
        <v>6</v>
      </c>
      <c r="EX56" s="878" t="e">
        <f t="shared" si="152"/>
        <v>#VALUE!</v>
      </c>
      <c r="EY56" s="879" t="e">
        <f t="shared" si="153"/>
        <v>#VALUE!</v>
      </c>
      <c r="EZ56" s="959" t="e">
        <f t="shared" si="154"/>
        <v>#VALUE!</v>
      </c>
      <c r="FA56" s="960" t="e">
        <f t="shared" si="155"/>
        <v>#VALUE!</v>
      </c>
      <c r="FB56" s="880">
        <f t="shared" si="156"/>
        <v>0</v>
      </c>
      <c r="FC56" s="881">
        <f t="shared" si="157"/>
        <v>0</v>
      </c>
      <c r="FD56" s="890">
        <f t="shared" si="158"/>
        <v>2.75</v>
      </c>
      <c r="FE56" s="833">
        <f t="shared" si="159"/>
        <v>2.75</v>
      </c>
      <c r="FF56" s="754" t="b">
        <f t="shared" si="160"/>
        <v>0</v>
      </c>
      <c r="FG56" s="754" t="b">
        <f t="shared" si="161"/>
        <v>0</v>
      </c>
      <c r="FH56" s="754" t="b">
        <f t="shared" si="162"/>
        <v>0</v>
      </c>
      <c r="FI56" s="754" t="b">
        <f t="shared" si="163"/>
        <v>0</v>
      </c>
      <c r="FJ56" s="920" t="str">
        <f t="shared" si="177"/>
        <v/>
      </c>
      <c r="FK56" s="919" t="str">
        <f t="shared" si="178"/>
        <v>G73</v>
      </c>
      <c r="FL56" s="320">
        <f t="shared" si="179"/>
        <v>666</v>
      </c>
      <c r="FM56" s="312" t="str">
        <f t="shared" si="164"/>
        <v/>
      </c>
      <c r="FN56" s="272">
        <f t="shared" ca="1" si="180"/>
        <v>96</v>
      </c>
      <c r="FO56" s="273">
        <f t="shared" ca="1" si="181"/>
        <v>5</v>
      </c>
      <c r="FP56" s="274">
        <f t="shared" ca="1" si="182"/>
        <v>96</v>
      </c>
      <c r="FQ56" s="274">
        <f t="shared" ca="1" si="183"/>
        <v>96</v>
      </c>
      <c r="FR56" s="321">
        <f t="shared" ca="1" si="184"/>
        <v>0</v>
      </c>
      <c r="FS56" s="322">
        <f t="shared" ca="1" si="185"/>
        <v>672</v>
      </c>
      <c r="FT56" s="272">
        <f t="shared" ca="1" si="186"/>
        <v>666</v>
      </c>
      <c r="FU56" s="275">
        <f t="shared" ca="1" si="187"/>
        <v>1</v>
      </c>
      <c r="FV56" s="323">
        <f t="shared" ca="1" si="165"/>
        <v>93</v>
      </c>
      <c r="FW56" s="276">
        <f t="shared" ca="1" si="188"/>
        <v>93</v>
      </c>
      <c r="FX56" s="276">
        <f t="shared" ca="1" si="189"/>
        <v>96</v>
      </c>
      <c r="FY56" s="276">
        <f t="shared" ca="1" si="190"/>
        <v>93</v>
      </c>
      <c r="FZ56" s="276">
        <f t="shared" ca="1" si="191"/>
        <v>93</v>
      </c>
      <c r="GA56" s="276">
        <f t="shared" ca="1" si="192"/>
        <v>666</v>
      </c>
      <c r="GB56" s="277">
        <f ca="1">IF(FY56="","",2+SUM(FO56:OFFSET(FO56,(FU56-1)*-1,0)))</f>
        <v>7</v>
      </c>
      <c r="GC56" s="316">
        <f t="shared" si="193"/>
        <v>-0.25</v>
      </c>
      <c r="GD56" s="324">
        <f t="shared" si="166"/>
        <v>1.75</v>
      </c>
      <c r="GE56" s="325">
        <f t="shared" si="167"/>
        <v>1.75</v>
      </c>
      <c r="GF56" s="278">
        <f t="shared" si="168"/>
        <v>12</v>
      </c>
      <c r="GG56" s="279">
        <f t="shared" si="169"/>
        <v>660</v>
      </c>
      <c r="GH56" s="279" t="str">
        <f t="shared" si="170"/>
        <v/>
      </c>
      <c r="GI56" s="280" t="str">
        <f t="shared" si="171"/>
        <v/>
      </c>
      <c r="GJ56" s="530">
        <f t="shared" ca="1" si="172"/>
        <v>0</v>
      </c>
      <c r="GK56" s="895" t="str">
        <f t="shared" ca="1" si="194"/>
        <v/>
      </c>
    </row>
    <row r="57" spans="1:193" ht="12.6" hidden="1" customHeight="1" x14ac:dyDescent="0.2">
      <c r="BZ57" s="293"/>
      <c r="CA57" s="293"/>
      <c r="CB57" s="365" t="str">
        <f t="shared" si="100"/>
        <v>G74</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1"/>
        <v>0</v>
      </c>
      <c r="CL57" s="1305" t="str">
        <f>IF(CQ17="","",VLOOKUP(CQ17,SectInfo!$B:$N,12,FALSE))</f>
        <v>C</v>
      </c>
      <c r="CM57" s="1306">
        <f>IF(ISBLANK(CX17),IF(CQ17="","",VLOOKUP(CQ17,SectInfo!$B:$N,13,FALSE)),CX17)</f>
        <v>-8.375</v>
      </c>
      <c r="CN57" s="1306" t="str">
        <f>IF(CQ17="","",IF(VLOOKUP(CQ17,SectInfo!$B:$N,5,FALSE)="","R",UPPER(VLOOKUP(CQ17,SectInfo!$B:$N,5,FALSE))))</f>
        <v>R</v>
      </c>
      <c r="CO57" s="1306">
        <f>IF(ISBLANK(CZ17),IF(CQ17="","",VLOOKUP(CQ17,SectInfo!$B:$N,6,FALSE)),CZ17)</f>
        <v>7.5</v>
      </c>
      <c r="CP57" s="1306">
        <f>IF(CQ17="","",IF(VLOOKUP(CQ17,SectInfo!$B:$N,10,FALSE)="","",(VLOOKUP(CQ17,SectInfo!$B:$N,10,FALSE)*-1)))</f>
        <v>-9.375</v>
      </c>
      <c r="CQ57" s="1306">
        <f>IF(CQ17="","",IF(VLOOKUP(CQ17,SectInfo!$B:$N,7,FALSE)="","",(VLOOKUP(CQ17,SectInfo!$B:$N,7,FALSE)*-1)))</f>
        <v>-9.875</v>
      </c>
      <c r="CR57" s="1306">
        <f>IF(CQ17="","",IF(VLOOKUP(CQ17,SectInfo!$B:$N,8,FALSE)="",$FC$4,(VLOOKUP(CQ17,SectInfo!$B:$N,8,FALSE))))</f>
        <v>5</v>
      </c>
      <c r="CS57" s="1306">
        <f>IF(CQ17="","",VLOOKUP(CQ17,SectInfo!$B:$N,9,FALSE))</f>
        <v>13.375</v>
      </c>
      <c r="CT57" s="1307">
        <f t="shared" si="102"/>
        <v>0</v>
      </c>
      <c r="CU57" s="1317">
        <f t="shared" si="103"/>
        <v>0</v>
      </c>
      <c r="CV57" s="1311">
        <f t="shared" si="104"/>
        <v>663.375</v>
      </c>
      <c r="CW57" s="1311">
        <f t="shared" si="105"/>
        <v>7.5</v>
      </c>
      <c r="CX57" s="1311">
        <f t="shared" si="106"/>
        <v>7.5</v>
      </c>
      <c r="CY57" s="1313">
        <f t="shared" si="107"/>
        <v>0</v>
      </c>
      <c r="CZ57" s="1313">
        <f t="shared" si="108"/>
        <v>9</v>
      </c>
      <c r="DA57" s="1313">
        <f t="shared" si="109"/>
        <v>9</v>
      </c>
      <c r="DB57" s="1311">
        <f t="shared" si="173"/>
        <v>8.75</v>
      </c>
      <c r="DC57" s="1311">
        <f t="shared" si="110"/>
        <v>2.75</v>
      </c>
      <c r="DD57" s="875">
        <f t="shared" si="174"/>
        <v>2.75</v>
      </c>
      <c r="DE57" s="873">
        <f t="shared" si="111"/>
        <v>0</v>
      </c>
      <c r="DF57" s="874">
        <f t="shared" si="112"/>
        <v>13.375</v>
      </c>
      <c r="DG57" s="874">
        <f t="shared" si="113"/>
        <v>13.375</v>
      </c>
      <c r="DH57" s="1311">
        <f t="shared" si="175"/>
        <v>5</v>
      </c>
      <c r="DI57" s="1311">
        <f t="shared" si="114"/>
        <v>0</v>
      </c>
      <c r="DJ57" s="1312">
        <f t="shared" si="176"/>
        <v>0</v>
      </c>
      <c r="DK57" s="1311">
        <f t="shared" si="115"/>
        <v>660.625</v>
      </c>
      <c r="DL57" s="1311">
        <f t="shared" si="116"/>
        <v>-7.5</v>
      </c>
      <c r="DM57" s="1311">
        <f t="shared" si="117"/>
        <v>7.25</v>
      </c>
      <c r="DN57" s="1311">
        <f t="shared" si="118"/>
        <v>7.25</v>
      </c>
      <c r="DO57" s="889">
        <f t="shared" si="119"/>
        <v>7.25</v>
      </c>
      <c r="DP57" s="889">
        <f t="shared" si="120"/>
        <v>7.25</v>
      </c>
      <c r="DQ57" s="1311">
        <f t="shared" si="121"/>
        <v>7.25</v>
      </c>
      <c r="DR57" s="1311">
        <f t="shared" si="121"/>
        <v>7.25</v>
      </c>
      <c r="DS57" s="1311">
        <f t="shared" si="122"/>
        <v>-9.875</v>
      </c>
      <c r="DT57" s="1311">
        <f t="shared" si="123"/>
        <v>1.5</v>
      </c>
      <c r="DU57" s="1311">
        <f t="shared" si="124"/>
        <v>1.5</v>
      </c>
      <c r="DV57" s="889">
        <f t="shared" si="125"/>
        <v>1.5</v>
      </c>
      <c r="DW57" s="889">
        <f t="shared" si="126"/>
        <v>1.5</v>
      </c>
      <c r="DX57" s="873">
        <f t="shared" si="127"/>
        <v>1.5</v>
      </c>
      <c r="DY57" s="873">
        <f t="shared" si="127"/>
        <v>1.5</v>
      </c>
      <c r="DZ57" s="873">
        <f t="shared" si="128"/>
        <v>7.75</v>
      </c>
      <c r="EA57" s="873">
        <f t="shared" si="129"/>
        <v>1</v>
      </c>
      <c r="EB57" s="876">
        <f t="shared" si="130"/>
        <v>5</v>
      </c>
      <c r="EC57" s="877">
        <f t="shared" si="131"/>
        <v>5</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f t="shared" si="143"/>
        <v>0</v>
      </c>
      <c r="EP57" s="874">
        <f t="shared" si="144"/>
        <v>0</v>
      </c>
      <c r="EQ57" s="874">
        <f t="shared" si="145"/>
        <v>0</v>
      </c>
      <c r="ER57" s="874">
        <f t="shared" si="146"/>
        <v>0</v>
      </c>
      <c r="ES57" s="874" t="str">
        <f t="shared" si="147"/>
        <v/>
      </c>
      <c r="ET57" s="873">
        <f t="shared" si="148"/>
        <v>0</v>
      </c>
      <c r="EU57" s="873">
        <f t="shared" si="149"/>
        <v>0</v>
      </c>
      <c r="EV57" s="876">
        <f t="shared" si="150"/>
        <v>6</v>
      </c>
      <c r="EW57" s="876">
        <f t="shared" si="151"/>
        <v>5</v>
      </c>
      <c r="EX57" s="878" t="e">
        <f t="shared" si="152"/>
        <v>#VALUE!</v>
      </c>
      <c r="EY57" s="879" t="e">
        <f t="shared" si="153"/>
        <v>#VALUE!</v>
      </c>
      <c r="EZ57" s="959" t="e">
        <f t="shared" si="154"/>
        <v>#VALUE!</v>
      </c>
      <c r="FA57" s="960" t="e">
        <f t="shared" si="155"/>
        <v>#VALUE!</v>
      </c>
      <c r="FB57" s="880">
        <f t="shared" si="156"/>
        <v>0</v>
      </c>
      <c r="FC57" s="881">
        <f t="shared" si="157"/>
        <v>0</v>
      </c>
      <c r="FD57" s="890">
        <f t="shared" si="158"/>
        <v>2.75</v>
      </c>
      <c r="FE57" s="833">
        <f t="shared" si="159"/>
        <v>0</v>
      </c>
      <c r="FF57" s="754" t="b">
        <f t="shared" si="160"/>
        <v>0</v>
      </c>
      <c r="FG57" s="754" t="b">
        <f t="shared" si="161"/>
        <v>0</v>
      </c>
      <c r="FH57" s="754" t="b">
        <f t="shared" si="162"/>
        <v>0</v>
      </c>
      <c r="FI57" s="754" t="b">
        <f t="shared" si="163"/>
        <v>0</v>
      </c>
      <c r="FJ57" s="920" t="str">
        <f t="shared" si="177"/>
        <v/>
      </c>
      <c r="FK57" s="919" t="str">
        <f t="shared" si="178"/>
        <v>G74</v>
      </c>
      <c r="FL57" s="320">
        <f t="shared" si="179"/>
        <v>660.625</v>
      </c>
      <c r="FM57" s="312" t="str">
        <f t="shared" si="164"/>
        <v/>
      </c>
      <c r="FN57" s="272">
        <f t="shared" ca="1" si="180"/>
        <v>96</v>
      </c>
      <c r="FO57" s="273">
        <f t="shared" ca="1" si="181"/>
        <v>5</v>
      </c>
      <c r="FP57" s="274">
        <f t="shared" ca="1" si="182"/>
        <v>96</v>
      </c>
      <c r="FQ57" s="274">
        <f t="shared" ca="1" si="183"/>
        <v>96</v>
      </c>
      <c r="FR57" s="321">
        <f t="shared" ca="1" si="184"/>
        <v>0</v>
      </c>
      <c r="FS57" s="322">
        <f t="shared" ca="1" si="185"/>
        <v>672</v>
      </c>
      <c r="FT57" s="272">
        <f t="shared" ca="1" si="186"/>
        <v>660.625</v>
      </c>
      <c r="FU57" s="275">
        <f t="shared" ca="1" si="187"/>
        <v>1</v>
      </c>
      <c r="FV57" s="323">
        <f t="shared" ca="1" si="165"/>
        <v>93</v>
      </c>
      <c r="FW57" s="276">
        <f t="shared" ca="1" si="188"/>
        <v>93</v>
      </c>
      <c r="FX57" s="276">
        <f t="shared" ca="1" si="189"/>
        <v>96</v>
      </c>
      <c r="FY57" s="276">
        <f t="shared" ca="1" si="190"/>
        <v>87.625</v>
      </c>
      <c r="FZ57" s="276">
        <f t="shared" ca="1" si="191"/>
        <v>87.625</v>
      </c>
      <c r="GA57" s="276">
        <f t="shared" ca="1" si="192"/>
        <v>660.625</v>
      </c>
      <c r="GB57" s="277">
        <f ca="1">IF(FY57="","",2+SUM(FO57:OFFSET(FO57,(FU57-1)*-1,0)))</f>
        <v>7</v>
      </c>
      <c r="GC57" s="316">
        <f t="shared" si="193"/>
        <v>-0.25</v>
      </c>
      <c r="GD57" s="324">
        <f t="shared" si="166"/>
        <v>1.75</v>
      </c>
      <c r="GE57" s="325" t="str">
        <f t="shared" si="167"/>
        <v/>
      </c>
      <c r="GF57" s="278">
        <f t="shared" si="168"/>
        <v>12</v>
      </c>
      <c r="GG57" s="279" t="str">
        <f t="shared" si="169"/>
        <v/>
      </c>
      <c r="GH57" s="279" t="str">
        <f t="shared" si="170"/>
        <v/>
      </c>
      <c r="GI57" s="280" t="str">
        <f t="shared" si="171"/>
        <v/>
      </c>
      <c r="GJ57" s="530">
        <f t="shared" ca="1" si="172"/>
        <v>0</v>
      </c>
      <c r="GK57" s="895" t="str">
        <f t="shared" ca="1" si="194"/>
        <v/>
      </c>
    </row>
    <row r="58" spans="1:193" ht="12.6" hidden="1" customHeight="1" x14ac:dyDescent="0.2">
      <c r="BZ58" s="293"/>
      <c r="CA58" s="293"/>
      <c r="CB58" s="365" t="str">
        <f t="shared" si="100"/>
        <v>G75</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1"/>
        <v>0</v>
      </c>
      <c r="CL58" s="1305" t="str">
        <f>IF(CQ18="","",VLOOKUP(CQ18,SectInfo!$B:$N,12,FALSE))</f>
        <v>C</v>
      </c>
      <c r="CM58" s="1306">
        <f>IF(ISBLANK(CX18),IF(CQ18="","",VLOOKUP(CQ18,SectInfo!$B:$N,13,FALSE)),CX18)</f>
        <v>-8.375</v>
      </c>
      <c r="CN58" s="1306" t="str">
        <f>IF(CQ18="","",IF(VLOOKUP(CQ18,SectInfo!$B:$N,5,FALSE)="","R",UPPER(VLOOKUP(CQ18,SectInfo!$B:$N,5,FALSE))))</f>
        <v>R</v>
      </c>
      <c r="CO58" s="1306">
        <f>IF(ISBLANK(CZ18),IF(CQ18="","",VLOOKUP(CQ18,SectInfo!$B:$N,6,FALSE)),CZ18)</f>
        <v>7.5</v>
      </c>
      <c r="CP58" s="1306">
        <f>IF(CQ18="","",IF(VLOOKUP(CQ18,SectInfo!$B:$N,10,FALSE)="","",(VLOOKUP(CQ18,SectInfo!$B:$N,10,FALSE)*-1)))</f>
        <v>-9.375</v>
      </c>
      <c r="CQ58" s="1306">
        <f>IF(CQ18="","",IF(VLOOKUP(CQ18,SectInfo!$B:$N,7,FALSE)="","",(VLOOKUP(CQ18,SectInfo!$B:$N,7,FALSE)*-1)))</f>
        <v>-9.875</v>
      </c>
      <c r="CR58" s="1306">
        <f>IF(CQ18="","",IF(VLOOKUP(CQ18,SectInfo!$B:$N,8,FALSE)="",$FC$4,(VLOOKUP(CQ18,SectInfo!$B:$N,8,FALSE))))</f>
        <v>5</v>
      </c>
      <c r="CS58" s="1306">
        <f>IF(CQ18="","",VLOOKUP(CQ18,SectInfo!$B:$N,9,FALSE))</f>
        <v>13.375</v>
      </c>
      <c r="CT58" s="1307">
        <f t="shared" si="102"/>
        <v>0</v>
      </c>
      <c r="CU58" s="1317">
        <f t="shared" si="103"/>
        <v>0</v>
      </c>
      <c r="CV58" s="1311">
        <f t="shared" si="104"/>
        <v>663.375</v>
      </c>
      <c r="CW58" s="1311">
        <f t="shared" si="105"/>
        <v>7.5</v>
      </c>
      <c r="CX58" s="1311">
        <f t="shared" si="106"/>
        <v>7.5</v>
      </c>
      <c r="CY58" s="1313">
        <f t="shared" si="107"/>
        <v>0</v>
      </c>
      <c r="CZ58" s="1313">
        <f t="shared" si="108"/>
        <v>9</v>
      </c>
      <c r="DA58" s="1313">
        <f t="shared" si="109"/>
        <v>9</v>
      </c>
      <c r="DB58" s="1311">
        <f t="shared" si="173"/>
        <v>8.75</v>
      </c>
      <c r="DC58" s="1311">
        <f t="shared" si="110"/>
        <v>2.75</v>
      </c>
      <c r="DD58" s="875">
        <f t="shared" si="174"/>
        <v>2.75</v>
      </c>
      <c r="DE58" s="873">
        <f t="shared" si="111"/>
        <v>0</v>
      </c>
      <c r="DF58" s="874">
        <f t="shared" si="112"/>
        <v>13.375</v>
      </c>
      <c r="DG58" s="874">
        <f t="shared" si="113"/>
        <v>13.375</v>
      </c>
      <c r="DH58" s="1311">
        <f t="shared" si="175"/>
        <v>5</v>
      </c>
      <c r="DI58" s="1311">
        <f t="shared" si="114"/>
        <v>0</v>
      </c>
      <c r="DJ58" s="1312">
        <f t="shared" si="176"/>
        <v>0</v>
      </c>
      <c r="DK58" s="1311">
        <f t="shared" si="115"/>
        <v>660.625</v>
      </c>
      <c r="DL58" s="1311">
        <f t="shared" si="116"/>
        <v>-7.5</v>
      </c>
      <c r="DM58" s="1311">
        <f t="shared" si="117"/>
        <v>7.25</v>
      </c>
      <c r="DN58" s="1311">
        <f t="shared" si="118"/>
        <v>7.25</v>
      </c>
      <c r="DO58" s="889">
        <f t="shared" si="119"/>
        <v>7.25</v>
      </c>
      <c r="DP58" s="889">
        <f t="shared" si="120"/>
        <v>7.25</v>
      </c>
      <c r="DQ58" s="1311">
        <f t="shared" si="121"/>
        <v>7.25</v>
      </c>
      <c r="DR58" s="1311">
        <f t="shared" si="121"/>
        <v>7.25</v>
      </c>
      <c r="DS58" s="1311">
        <f t="shared" si="122"/>
        <v>-9.875</v>
      </c>
      <c r="DT58" s="1311">
        <f t="shared" si="123"/>
        <v>1.5</v>
      </c>
      <c r="DU58" s="1311">
        <f t="shared" si="124"/>
        <v>1.5</v>
      </c>
      <c r="DV58" s="889">
        <f t="shared" si="125"/>
        <v>1.5</v>
      </c>
      <c r="DW58" s="889">
        <f t="shared" si="126"/>
        <v>1.5</v>
      </c>
      <c r="DX58" s="873">
        <f t="shared" si="127"/>
        <v>1.5</v>
      </c>
      <c r="DY58" s="873">
        <f t="shared" si="127"/>
        <v>1.5</v>
      </c>
      <c r="DZ58" s="873">
        <f t="shared" si="128"/>
        <v>7.75</v>
      </c>
      <c r="EA58" s="873">
        <f t="shared" si="129"/>
        <v>1</v>
      </c>
      <c r="EB58" s="876">
        <f t="shared" si="130"/>
        <v>5</v>
      </c>
      <c r="EC58" s="877">
        <f t="shared" si="131"/>
        <v>5</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f t="shared" si="143"/>
        <v>0</v>
      </c>
      <c r="EP58" s="874">
        <f t="shared" si="144"/>
        <v>0</v>
      </c>
      <c r="EQ58" s="874">
        <f t="shared" si="145"/>
        <v>0</v>
      </c>
      <c r="ER58" s="874">
        <f t="shared" si="146"/>
        <v>0</v>
      </c>
      <c r="ES58" s="874" t="str">
        <f t="shared" si="147"/>
        <v/>
      </c>
      <c r="ET58" s="873">
        <f t="shared" si="148"/>
        <v>0</v>
      </c>
      <c r="EU58" s="873">
        <f t="shared" si="149"/>
        <v>0</v>
      </c>
      <c r="EV58" s="876">
        <f t="shared" si="150"/>
        <v>6</v>
      </c>
      <c r="EW58" s="876">
        <f t="shared" si="151"/>
        <v>5</v>
      </c>
      <c r="EX58" s="878" t="e">
        <f t="shared" si="152"/>
        <v>#VALUE!</v>
      </c>
      <c r="EY58" s="879" t="e">
        <f t="shared" si="153"/>
        <v>#VALUE!</v>
      </c>
      <c r="EZ58" s="959" t="e">
        <f t="shared" si="154"/>
        <v>#VALUE!</v>
      </c>
      <c r="FA58" s="960" t="e">
        <f t="shared" si="155"/>
        <v>#VALUE!</v>
      </c>
      <c r="FB58" s="880">
        <f t="shared" si="156"/>
        <v>0</v>
      </c>
      <c r="FC58" s="881">
        <f t="shared" si="157"/>
        <v>0</v>
      </c>
      <c r="FD58" s="890">
        <f t="shared" si="158"/>
        <v>2.75</v>
      </c>
      <c r="FE58" s="833">
        <f t="shared" si="159"/>
        <v>0</v>
      </c>
      <c r="FF58" s="754" t="b">
        <f t="shared" si="160"/>
        <v>0</v>
      </c>
      <c r="FG58" s="754" t="b">
        <f t="shared" si="161"/>
        <v>0</v>
      </c>
      <c r="FH58" s="754" t="b">
        <f t="shared" si="162"/>
        <v>0</v>
      </c>
      <c r="FI58" s="754" t="b">
        <f t="shared" si="163"/>
        <v>0</v>
      </c>
      <c r="FJ58" s="920" t="str">
        <f t="shared" si="177"/>
        <v/>
      </c>
      <c r="FK58" s="919" t="str">
        <f t="shared" si="178"/>
        <v>G75</v>
      </c>
      <c r="FL58" s="320">
        <f t="shared" si="179"/>
        <v>660.625</v>
      </c>
      <c r="FM58" s="312" t="str">
        <f t="shared" si="164"/>
        <v/>
      </c>
      <c r="FN58" s="272">
        <f t="shared" ca="1" si="180"/>
        <v>96</v>
      </c>
      <c r="FO58" s="273">
        <f t="shared" ca="1" si="181"/>
        <v>5</v>
      </c>
      <c r="FP58" s="274">
        <f t="shared" ca="1" si="182"/>
        <v>96</v>
      </c>
      <c r="FQ58" s="274">
        <f t="shared" ca="1" si="183"/>
        <v>96</v>
      </c>
      <c r="FR58" s="321">
        <f t="shared" ca="1" si="184"/>
        <v>0</v>
      </c>
      <c r="FS58" s="322">
        <f t="shared" ca="1" si="185"/>
        <v>672</v>
      </c>
      <c r="FT58" s="272">
        <f t="shared" ca="1" si="186"/>
        <v>660.625</v>
      </c>
      <c r="FU58" s="275">
        <f t="shared" ca="1" si="187"/>
        <v>1</v>
      </c>
      <c r="FV58" s="323">
        <f t="shared" ca="1" si="165"/>
        <v>93</v>
      </c>
      <c r="FW58" s="276">
        <f t="shared" ca="1" si="188"/>
        <v>93</v>
      </c>
      <c r="FX58" s="276">
        <f t="shared" ca="1" si="189"/>
        <v>96</v>
      </c>
      <c r="FY58" s="276">
        <f t="shared" ca="1" si="190"/>
        <v>87.625</v>
      </c>
      <c r="FZ58" s="276">
        <f t="shared" ca="1" si="191"/>
        <v>87.625</v>
      </c>
      <c r="GA58" s="276">
        <f t="shared" ca="1" si="192"/>
        <v>660.625</v>
      </c>
      <c r="GB58" s="277">
        <f ca="1">IF(FY58="","",2+SUM(FO58:OFFSET(FO58,(FU58-1)*-1,0)))</f>
        <v>7</v>
      </c>
      <c r="GC58" s="316">
        <f t="shared" si="193"/>
        <v>-0.25</v>
      </c>
      <c r="GD58" s="324">
        <f t="shared" si="166"/>
        <v>1.75</v>
      </c>
      <c r="GE58" s="325" t="str">
        <f t="shared" si="167"/>
        <v/>
      </c>
      <c r="GF58" s="278">
        <f t="shared" si="168"/>
        <v>12</v>
      </c>
      <c r="GG58" s="279" t="str">
        <f t="shared" si="169"/>
        <v/>
      </c>
      <c r="GH58" s="279" t="str">
        <f t="shared" si="170"/>
        <v/>
      </c>
      <c r="GI58" s="280" t="str">
        <f t="shared" si="171"/>
        <v/>
      </c>
      <c r="GJ58" s="530">
        <f t="shared" ca="1" si="172"/>
        <v>0</v>
      </c>
      <c r="GK58" s="895" t="str">
        <f t="shared" ca="1" si="194"/>
        <v/>
      </c>
    </row>
    <row r="59" spans="1:193" ht="12.6" hidden="1" customHeight="1" x14ac:dyDescent="0.2">
      <c r="BZ59" s="293"/>
      <c r="CA59" s="293"/>
      <c r="CB59" s="365" t="str">
        <f t="shared" si="100"/>
        <v>G76</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1"/>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2"/>
        <v>0</v>
      </c>
      <c r="CU59" s="1317">
        <f t="shared" si="103"/>
        <v>0</v>
      </c>
      <c r="CV59" s="1311">
        <f t="shared" si="104"/>
        <v>671.5</v>
      </c>
      <c r="CW59" s="1311">
        <f t="shared" si="105"/>
        <v>7.5</v>
      </c>
      <c r="CX59" s="1311">
        <f t="shared" si="106"/>
        <v>7.5</v>
      </c>
      <c r="CY59" s="1313">
        <f t="shared" si="107"/>
        <v>0</v>
      </c>
      <c r="CZ59" s="1313">
        <f t="shared" si="108"/>
        <v>9</v>
      </c>
      <c r="DA59" s="1313">
        <f t="shared" si="109"/>
        <v>9</v>
      </c>
      <c r="DB59" s="1311">
        <f t="shared" si="173"/>
        <v>8.75</v>
      </c>
      <c r="DC59" s="1311">
        <f t="shared" si="110"/>
        <v>2.75</v>
      </c>
      <c r="DD59" s="875">
        <f t="shared" si="174"/>
        <v>2.75</v>
      </c>
      <c r="DE59" s="873">
        <f t="shared" si="111"/>
        <v>0</v>
      </c>
      <c r="DF59" s="874">
        <f t="shared" si="112"/>
        <v>9</v>
      </c>
      <c r="DG59" s="874">
        <f t="shared" si="113"/>
        <v>9</v>
      </c>
      <c r="DH59" s="1311">
        <f t="shared" si="175"/>
        <v>8.75</v>
      </c>
      <c r="DI59" s="1311">
        <f t="shared" si="114"/>
        <v>2.75</v>
      </c>
      <c r="DJ59" s="1312">
        <f t="shared" si="176"/>
        <v>2.75</v>
      </c>
      <c r="DK59" s="1311">
        <f t="shared" si="115"/>
        <v>666</v>
      </c>
      <c r="DL59" s="1311">
        <f t="shared" si="116"/>
        <v>-7.5</v>
      </c>
      <c r="DM59" s="1311">
        <f t="shared" si="117"/>
        <v>7.25</v>
      </c>
      <c r="DN59" s="1311">
        <f t="shared" si="118"/>
        <v>7.25</v>
      </c>
      <c r="DO59" s="889">
        <f t="shared" si="119"/>
        <v>7.25</v>
      </c>
      <c r="DP59" s="889">
        <f t="shared" si="120"/>
        <v>7.25</v>
      </c>
      <c r="DQ59" s="1311">
        <f t="shared" si="121"/>
        <v>7.25</v>
      </c>
      <c r="DR59" s="1311">
        <f t="shared" si="121"/>
        <v>7.25</v>
      </c>
      <c r="DS59" s="1311">
        <f t="shared" si="122"/>
        <v>-7.5</v>
      </c>
      <c r="DT59" s="1311">
        <f t="shared" si="123"/>
        <v>7.25</v>
      </c>
      <c r="DU59" s="1311">
        <f t="shared" si="124"/>
        <v>7.25</v>
      </c>
      <c r="DV59" s="889">
        <f t="shared" si="125"/>
        <v>7.25</v>
      </c>
      <c r="DW59" s="889">
        <f t="shared" si="126"/>
        <v>7.25</v>
      </c>
      <c r="DX59" s="873">
        <f t="shared" si="127"/>
        <v>7.25</v>
      </c>
      <c r="DY59" s="873">
        <f t="shared" si="127"/>
        <v>7.25</v>
      </c>
      <c r="DZ59" s="873">
        <f t="shared" si="128"/>
        <v>7.75</v>
      </c>
      <c r="EA59" s="873">
        <f t="shared" si="129"/>
        <v>7.75</v>
      </c>
      <c r="EB59" s="876">
        <f t="shared" si="130"/>
        <v>5</v>
      </c>
      <c r="EC59" s="877">
        <f t="shared" si="131"/>
        <v>5</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f t="shared" si="143"/>
        <v>0</v>
      </c>
      <c r="EP59" s="874">
        <f t="shared" si="144"/>
        <v>0</v>
      </c>
      <c r="EQ59" s="874">
        <f t="shared" si="145"/>
        <v>0</v>
      </c>
      <c r="ER59" s="874">
        <f t="shared" si="146"/>
        <v>0</v>
      </c>
      <c r="ES59" s="874" t="str">
        <f t="shared" si="147"/>
        <v/>
      </c>
      <c r="ET59" s="873">
        <f t="shared" si="148"/>
        <v>0</v>
      </c>
      <c r="EU59" s="873">
        <f t="shared" si="149"/>
        <v>0</v>
      </c>
      <c r="EV59" s="876">
        <f t="shared" si="150"/>
        <v>6</v>
      </c>
      <c r="EW59" s="876">
        <f t="shared" si="151"/>
        <v>6</v>
      </c>
      <c r="EX59" s="878" t="e">
        <f t="shared" si="152"/>
        <v>#VALUE!</v>
      </c>
      <c r="EY59" s="879" t="e">
        <f t="shared" si="153"/>
        <v>#VALUE!</v>
      </c>
      <c r="EZ59" s="959" t="e">
        <f t="shared" si="154"/>
        <v>#VALUE!</v>
      </c>
      <c r="FA59" s="960" t="e">
        <f t="shared" si="155"/>
        <v>#VALUE!</v>
      </c>
      <c r="FB59" s="880">
        <f t="shared" si="156"/>
        <v>0</v>
      </c>
      <c r="FC59" s="881">
        <f t="shared" si="157"/>
        <v>0</v>
      </c>
      <c r="FD59" s="890">
        <f t="shared" si="158"/>
        <v>2.75</v>
      </c>
      <c r="FE59" s="833">
        <f t="shared" si="159"/>
        <v>2.75</v>
      </c>
      <c r="FF59" s="754" t="b">
        <f t="shared" si="160"/>
        <v>0</v>
      </c>
      <c r="FG59" s="754" t="b">
        <f t="shared" si="161"/>
        <v>0</v>
      </c>
      <c r="FH59" s="754" t="b">
        <f t="shared" si="162"/>
        <v>0</v>
      </c>
      <c r="FI59" s="754" t="b">
        <f t="shared" si="163"/>
        <v>0</v>
      </c>
      <c r="FJ59" s="920" t="str">
        <f t="shared" si="177"/>
        <v/>
      </c>
      <c r="FK59" s="919" t="str">
        <f t="shared" si="178"/>
        <v>G76</v>
      </c>
      <c r="FL59" s="320">
        <f t="shared" si="179"/>
        <v>666</v>
      </c>
      <c r="FM59" s="312" t="str">
        <f t="shared" si="164"/>
        <v/>
      </c>
      <c r="FN59" s="272">
        <f t="shared" ca="1" si="180"/>
        <v>96</v>
      </c>
      <c r="FO59" s="273">
        <f t="shared" ca="1" si="181"/>
        <v>5</v>
      </c>
      <c r="FP59" s="274">
        <f t="shared" ca="1" si="182"/>
        <v>96</v>
      </c>
      <c r="FQ59" s="274">
        <f t="shared" ca="1" si="183"/>
        <v>96</v>
      </c>
      <c r="FR59" s="321">
        <f t="shared" ca="1" si="184"/>
        <v>0</v>
      </c>
      <c r="FS59" s="322">
        <f t="shared" ca="1" si="185"/>
        <v>672</v>
      </c>
      <c r="FT59" s="272">
        <f t="shared" ca="1" si="186"/>
        <v>666</v>
      </c>
      <c r="FU59" s="275">
        <f t="shared" ca="1" si="187"/>
        <v>1</v>
      </c>
      <c r="FV59" s="323">
        <f t="shared" ca="1" si="165"/>
        <v>93</v>
      </c>
      <c r="FW59" s="276">
        <f t="shared" ca="1" si="188"/>
        <v>93</v>
      </c>
      <c r="FX59" s="276">
        <f t="shared" ca="1" si="189"/>
        <v>96</v>
      </c>
      <c r="FY59" s="276">
        <f t="shared" ca="1" si="190"/>
        <v>93</v>
      </c>
      <c r="FZ59" s="276">
        <f t="shared" ca="1" si="191"/>
        <v>93</v>
      </c>
      <c r="GA59" s="276">
        <f t="shared" ca="1" si="192"/>
        <v>666</v>
      </c>
      <c r="GB59" s="277">
        <f ca="1">IF(FY59="","",2+SUM(FO59:OFFSET(FO59,(FU59-1)*-1,0)))</f>
        <v>7</v>
      </c>
      <c r="GC59" s="316">
        <f t="shared" si="193"/>
        <v>-0.25</v>
      </c>
      <c r="GD59" s="324">
        <f t="shared" si="166"/>
        <v>1.75</v>
      </c>
      <c r="GE59" s="325">
        <f t="shared" si="167"/>
        <v>1.75</v>
      </c>
      <c r="GF59" s="278">
        <f t="shared" si="168"/>
        <v>12</v>
      </c>
      <c r="GG59" s="279">
        <f t="shared" si="169"/>
        <v>660</v>
      </c>
      <c r="GH59" s="279" t="str">
        <f t="shared" si="170"/>
        <v/>
      </c>
      <c r="GI59" s="280" t="str">
        <f t="shared" si="171"/>
        <v/>
      </c>
      <c r="GJ59" s="530">
        <f t="shared" ca="1" si="172"/>
        <v>0</v>
      </c>
      <c r="GK59" s="895" t="str">
        <f t="shared" ca="1" si="194"/>
        <v/>
      </c>
    </row>
    <row r="60" spans="1:193" ht="12.6" hidden="1" customHeight="1" x14ac:dyDescent="0.2">
      <c r="A60" s="892" t="s">
        <v>1177</v>
      </c>
      <c r="BZ60" s="293"/>
      <c r="CA60" s="293"/>
      <c r="CB60" s="365" t="str">
        <f t="shared" si="100"/>
        <v>G77</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1"/>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2"/>
        <v>0</v>
      </c>
      <c r="CU60" s="1317">
        <f t="shared" si="103"/>
        <v>0</v>
      </c>
      <c r="CV60" s="1311">
        <f t="shared" si="104"/>
        <v>671.5</v>
      </c>
      <c r="CW60" s="1311">
        <f t="shared" si="105"/>
        <v>7.5</v>
      </c>
      <c r="CX60" s="1311">
        <f t="shared" si="106"/>
        <v>7.5</v>
      </c>
      <c r="CY60" s="1313">
        <f t="shared" si="107"/>
        <v>0</v>
      </c>
      <c r="CZ60" s="1313">
        <f t="shared" si="108"/>
        <v>9</v>
      </c>
      <c r="DA60" s="1313">
        <f t="shared" si="109"/>
        <v>9</v>
      </c>
      <c r="DB60" s="1311">
        <f t="shared" si="173"/>
        <v>8.75</v>
      </c>
      <c r="DC60" s="1311">
        <f t="shared" si="110"/>
        <v>2.75</v>
      </c>
      <c r="DD60" s="875">
        <f t="shared" si="174"/>
        <v>2.75</v>
      </c>
      <c r="DE60" s="873">
        <f t="shared" si="111"/>
        <v>0</v>
      </c>
      <c r="DF60" s="874">
        <f t="shared" si="112"/>
        <v>9</v>
      </c>
      <c r="DG60" s="874">
        <f t="shared" si="113"/>
        <v>9</v>
      </c>
      <c r="DH60" s="1311">
        <f t="shared" si="175"/>
        <v>8.75</v>
      </c>
      <c r="DI60" s="1311">
        <f t="shared" si="114"/>
        <v>2.75</v>
      </c>
      <c r="DJ60" s="1312">
        <f t="shared" si="176"/>
        <v>2.75</v>
      </c>
      <c r="DK60" s="1311">
        <f t="shared" si="115"/>
        <v>666</v>
      </c>
      <c r="DL60" s="1311">
        <f t="shared" si="116"/>
        <v>-7.5</v>
      </c>
      <c r="DM60" s="1311">
        <f t="shared" si="117"/>
        <v>7.25</v>
      </c>
      <c r="DN60" s="1311">
        <f t="shared" si="118"/>
        <v>7.25</v>
      </c>
      <c r="DO60" s="889">
        <f t="shared" si="119"/>
        <v>7.25</v>
      </c>
      <c r="DP60" s="889">
        <f t="shared" si="120"/>
        <v>7.25</v>
      </c>
      <c r="DQ60" s="1311">
        <f t="shared" si="121"/>
        <v>7.25</v>
      </c>
      <c r="DR60" s="1311">
        <f t="shared" si="121"/>
        <v>7.25</v>
      </c>
      <c r="DS60" s="1311">
        <f t="shared" si="122"/>
        <v>-7.5</v>
      </c>
      <c r="DT60" s="1311">
        <f t="shared" si="123"/>
        <v>7.25</v>
      </c>
      <c r="DU60" s="1311">
        <f t="shared" si="124"/>
        <v>7.25</v>
      </c>
      <c r="DV60" s="889">
        <f t="shared" si="125"/>
        <v>7.25</v>
      </c>
      <c r="DW60" s="889">
        <f t="shared" si="126"/>
        <v>7.25</v>
      </c>
      <c r="DX60" s="873">
        <f t="shared" si="127"/>
        <v>7.25</v>
      </c>
      <c r="DY60" s="873">
        <f t="shared" si="127"/>
        <v>7.25</v>
      </c>
      <c r="DZ60" s="873">
        <f t="shared" si="128"/>
        <v>7.75</v>
      </c>
      <c r="EA60" s="873">
        <f t="shared" si="129"/>
        <v>7.75</v>
      </c>
      <c r="EB60" s="876">
        <f t="shared" si="130"/>
        <v>5</v>
      </c>
      <c r="EC60" s="877">
        <f t="shared" si="131"/>
        <v>5</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f t="shared" si="143"/>
        <v>0</v>
      </c>
      <c r="EP60" s="874">
        <f t="shared" si="144"/>
        <v>0</v>
      </c>
      <c r="EQ60" s="874">
        <f t="shared" si="145"/>
        <v>0</v>
      </c>
      <c r="ER60" s="874">
        <f t="shared" si="146"/>
        <v>0</v>
      </c>
      <c r="ES60" s="874" t="str">
        <f t="shared" si="147"/>
        <v/>
      </c>
      <c r="ET60" s="873">
        <f t="shared" si="148"/>
        <v>0</v>
      </c>
      <c r="EU60" s="873">
        <f t="shared" si="149"/>
        <v>0</v>
      </c>
      <c r="EV60" s="876">
        <f t="shared" si="150"/>
        <v>6</v>
      </c>
      <c r="EW60" s="876">
        <f t="shared" si="151"/>
        <v>6</v>
      </c>
      <c r="EX60" s="878" t="e">
        <f t="shared" si="152"/>
        <v>#VALUE!</v>
      </c>
      <c r="EY60" s="879" t="e">
        <f t="shared" si="153"/>
        <v>#VALUE!</v>
      </c>
      <c r="EZ60" s="959" t="e">
        <f t="shared" si="154"/>
        <v>#VALUE!</v>
      </c>
      <c r="FA60" s="960" t="e">
        <f t="shared" si="155"/>
        <v>#VALUE!</v>
      </c>
      <c r="FB60" s="880">
        <f t="shared" si="156"/>
        <v>0</v>
      </c>
      <c r="FC60" s="881">
        <f t="shared" si="157"/>
        <v>0</v>
      </c>
      <c r="FD60" s="890">
        <f t="shared" si="158"/>
        <v>2.75</v>
      </c>
      <c r="FE60" s="833">
        <f t="shared" si="159"/>
        <v>2.75</v>
      </c>
      <c r="FF60" s="754" t="b">
        <f t="shared" si="160"/>
        <v>0</v>
      </c>
      <c r="FG60" s="754" t="b">
        <f t="shared" si="161"/>
        <v>0</v>
      </c>
      <c r="FH60" s="754" t="b">
        <f t="shared" si="162"/>
        <v>0</v>
      </c>
      <c r="FI60" s="754" t="b">
        <f t="shared" si="163"/>
        <v>0</v>
      </c>
      <c r="FJ60" s="920" t="str">
        <f t="shared" si="177"/>
        <v/>
      </c>
      <c r="FK60" s="919" t="str">
        <f t="shared" si="178"/>
        <v>G77</v>
      </c>
      <c r="FL60" s="320">
        <f t="shared" si="179"/>
        <v>666</v>
      </c>
      <c r="FM60" s="312" t="str">
        <f t="shared" si="164"/>
        <v/>
      </c>
      <c r="FN60" s="272">
        <f t="shared" ca="1" si="180"/>
        <v>96</v>
      </c>
      <c r="FO60" s="273">
        <f t="shared" ca="1" si="181"/>
        <v>5</v>
      </c>
      <c r="FP60" s="274">
        <f t="shared" ca="1" si="182"/>
        <v>96</v>
      </c>
      <c r="FQ60" s="274">
        <f t="shared" ca="1" si="183"/>
        <v>96</v>
      </c>
      <c r="FR60" s="321">
        <f t="shared" ca="1" si="184"/>
        <v>0</v>
      </c>
      <c r="FS60" s="322">
        <f t="shared" ca="1" si="185"/>
        <v>672</v>
      </c>
      <c r="FT60" s="272">
        <f t="shared" ca="1" si="186"/>
        <v>666</v>
      </c>
      <c r="FU60" s="275">
        <f t="shared" ca="1" si="187"/>
        <v>1</v>
      </c>
      <c r="FV60" s="323">
        <f t="shared" ca="1" si="165"/>
        <v>93</v>
      </c>
      <c r="FW60" s="276">
        <f t="shared" ca="1" si="188"/>
        <v>93</v>
      </c>
      <c r="FX60" s="276">
        <f t="shared" ca="1" si="189"/>
        <v>96</v>
      </c>
      <c r="FY60" s="276">
        <f t="shared" ca="1" si="190"/>
        <v>93</v>
      </c>
      <c r="FZ60" s="276">
        <f t="shared" ca="1" si="191"/>
        <v>93</v>
      </c>
      <c r="GA60" s="276">
        <f t="shared" ca="1" si="192"/>
        <v>666</v>
      </c>
      <c r="GB60" s="277">
        <f ca="1">IF(FY60="","",2+SUM(FO60:OFFSET(FO60,(FU60-1)*-1,0)))</f>
        <v>7</v>
      </c>
      <c r="GC60" s="316">
        <f t="shared" si="193"/>
        <v>-0.25</v>
      </c>
      <c r="GD60" s="324">
        <f t="shared" si="166"/>
        <v>1.75</v>
      </c>
      <c r="GE60" s="325">
        <f t="shared" si="167"/>
        <v>1.75</v>
      </c>
      <c r="GF60" s="278">
        <f t="shared" si="168"/>
        <v>12</v>
      </c>
      <c r="GG60" s="279">
        <f t="shared" si="169"/>
        <v>660</v>
      </c>
      <c r="GH60" s="279" t="str">
        <f t="shared" si="170"/>
        <v/>
      </c>
      <c r="GI60" s="280" t="str">
        <f t="shared" si="171"/>
        <v/>
      </c>
      <c r="GJ60" s="530">
        <f t="shared" ca="1" si="172"/>
        <v>0</v>
      </c>
      <c r="GK60" s="895" t="str">
        <f t="shared" ca="1" si="194"/>
        <v/>
      </c>
    </row>
    <row r="61" spans="1:193" ht="12.6" hidden="1" customHeight="1" x14ac:dyDescent="0.2">
      <c r="A61" s="894" t="s">
        <v>1850</v>
      </c>
      <c r="BZ61" s="293"/>
      <c r="CA61" s="293"/>
      <c r="CB61" s="365" t="str">
        <f t="shared" si="100"/>
        <v>G78</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1"/>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2"/>
        <v>0</v>
      </c>
      <c r="CU61" s="1317">
        <f t="shared" si="103"/>
        <v>0</v>
      </c>
      <c r="CV61" s="1311">
        <f t="shared" si="104"/>
        <v>671.5</v>
      </c>
      <c r="CW61" s="1311">
        <f t="shared" si="105"/>
        <v>7.5</v>
      </c>
      <c r="CX61" s="1311">
        <f t="shared" si="106"/>
        <v>7.5</v>
      </c>
      <c r="CY61" s="1313">
        <f t="shared" si="107"/>
        <v>0</v>
      </c>
      <c r="CZ61" s="1313">
        <f t="shared" si="108"/>
        <v>9</v>
      </c>
      <c r="DA61" s="1313">
        <f t="shared" si="109"/>
        <v>9</v>
      </c>
      <c r="DB61" s="1311">
        <f t="shared" si="173"/>
        <v>8.75</v>
      </c>
      <c r="DC61" s="1311">
        <f t="shared" si="110"/>
        <v>2.75</v>
      </c>
      <c r="DD61" s="875">
        <f t="shared" si="174"/>
        <v>2.75</v>
      </c>
      <c r="DE61" s="873">
        <f t="shared" si="111"/>
        <v>0</v>
      </c>
      <c r="DF61" s="874">
        <f t="shared" si="112"/>
        <v>9</v>
      </c>
      <c r="DG61" s="874">
        <f t="shared" si="113"/>
        <v>9</v>
      </c>
      <c r="DH61" s="1311">
        <f t="shared" si="175"/>
        <v>8.75</v>
      </c>
      <c r="DI61" s="1311">
        <f t="shared" si="114"/>
        <v>2.75</v>
      </c>
      <c r="DJ61" s="1312">
        <f t="shared" si="176"/>
        <v>2.75</v>
      </c>
      <c r="DK61" s="1311">
        <f t="shared" si="115"/>
        <v>666</v>
      </c>
      <c r="DL61" s="1311">
        <f t="shared" si="116"/>
        <v>-7.5</v>
      </c>
      <c r="DM61" s="1311">
        <f t="shared" si="117"/>
        <v>7.25</v>
      </c>
      <c r="DN61" s="1311">
        <f t="shared" si="118"/>
        <v>7.25</v>
      </c>
      <c r="DO61" s="889">
        <f t="shared" si="119"/>
        <v>7.25</v>
      </c>
      <c r="DP61" s="889">
        <f t="shared" si="120"/>
        <v>7.25</v>
      </c>
      <c r="DQ61" s="1311">
        <f t="shared" si="121"/>
        <v>7.25</v>
      </c>
      <c r="DR61" s="1311">
        <f t="shared" si="121"/>
        <v>7.25</v>
      </c>
      <c r="DS61" s="1311">
        <f t="shared" si="122"/>
        <v>-7.5</v>
      </c>
      <c r="DT61" s="1311">
        <f t="shared" si="123"/>
        <v>7.25</v>
      </c>
      <c r="DU61" s="1311">
        <f t="shared" si="124"/>
        <v>7.25</v>
      </c>
      <c r="DV61" s="889">
        <f t="shared" si="125"/>
        <v>7.25</v>
      </c>
      <c r="DW61" s="889">
        <f t="shared" si="126"/>
        <v>7.25</v>
      </c>
      <c r="DX61" s="873">
        <f t="shared" si="127"/>
        <v>7.25</v>
      </c>
      <c r="DY61" s="873">
        <f t="shared" si="127"/>
        <v>7.25</v>
      </c>
      <c r="DZ61" s="873">
        <f t="shared" si="128"/>
        <v>7.75</v>
      </c>
      <c r="EA61" s="873">
        <f t="shared" si="129"/>
        <v>7.75</v>
      </c>
      <c r="EB61" s="876">
        <f t="shared" si="130"/>
        <v>5</v>
      </c>
      <c r="EC61" s="877">
        <f t="shared" si="131"/>
        <v>5</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f t="shared" si="143"/>
        <v>0</v>
      </c>
      <c r="EP61" s="874">
        <f t="shared" si="144"/>
        <v>0</v>
      </c>
      <c r="EQ61" s="874">
        <f t="shared" si="145"/>
        <v>0</v>
      </c>
      <c r="ER61" s="874">
        <f t="shared" si="146"/>
        <v>0</v>
      </c>
      <c r="ES61" s="874" t="str">
        <f t="shared" si="147"/>
        <v/>
      </c>
      <c r="ET61" s="873">
        <f t="shared" si="148"/>
        <v>0</v>
      </c>
      <c r="EU61" s="873">
        <f t="shared" si="149"/>
        <v>0</v>
      </c>
      <c r="EV61" s="876">
        <f t="shared" si="150"/>
        <v>6</v>
      </c>
      <c r="EW61" s="876">
        <f t="shared" si="151"/>
        <v>6</v>
      </c>
      <c r="EX61" s="878" t="e">
        <f t="shared" si="152"/>
        <v>#VALUE!</v>
      </c>
      <c r="EY61" s="879" t="e">
        <f t="shared" si="153"/>
        <v>#VALUE!</v>
      </c>
      <c r="EZ61" s="959" t="e">
        <f t="shared" si="154"/>
        <v>#VALUE!</v>
      </c>
      <c r="FA61" s="960" t="e">
        <f t="shared" si="155"/>
        <v>#VALUE!</v>
      </c>
      <c r="FB61" s="880">
        <f t="shared" si="156"/>
        <v>0</v>
      </c>
      <c r="FC61" s="881">
        <f t="shared" si="157"/>
        <v>0</v>
      </c>
      <c r="FD61" s="890">
        <f t="shared" si="158"/>
        <v>2.75</v>
      </c>
      <c r="FE61" s="833">
        <f t="shared" si="159"/>
        <v>2.75</v>
      </c>
      <c r="FF61" s="754" t="b">
        <f t="shared" si="160"/>
        <v>0</v>
      </c>
      <c r="FG61" s="754" t="b">
        <f t="shared" si="161"/>
        <v>0</v>
      </c>
      <c r="FH61" s="754" t="b">
        <f t="shared" si="162"/>
        <v>0</v>
      </c>
      <c r="FI61" s="754" t="b">
        <f t="shared" si="163"/>
        <v>0</v>
      </c>
      <c r="FJ61" s="920" t="str">
        <f t="shared" si="177"/>
        <v/>
      </c>
      <c r="FK61" s="919" t="str">
        <f t="shared" si="178"/>
        <v>G78</v>
      </c>
      <c r="FL61" s="320">
        <f t="shared" si="179"/>
        <v>666</v>
      </c>
      <c r="FM61" s="312" t="str">
        <f t="shared" si="164"/>
        <v/>
      </c>
      <c r="FN61" s="272">
        <f t="shared" ca="1" si="180"/>
        <v>96</v>
      </c>
      <c r="FO61" s="273">
        <f t="shared" ca="1" si="181"/>
        <v>5</v>
      </c>
      <c r="FP61" s="274">
        <f t="shared" ca="1" si="182"/>
        <v>96</v>
      </c>
      <c r="FQ61" s="274">
        <f t="shared" ca="1" si="183"/>
        <v>96</v>
      </c>
      <c r="FR61" s="321">
        <f t="shared" ca="1" si="184"/>
        <v>0</v>
      </c>
      <c r="FS61" s="322">
        <f t="shared" ca="1" si="185"/>
        <v>672</v>
      </c>
      <c r="FT61" s="272">
        <f t="shared" ca="1" si="186"/>
        <v>666</v>
      </c>
      <c r="FU61" s="275">
        <f t="shared" ca="1" si="187"/>
        <v>1</v>
      </c>
      <c r="FV61" s="323">
        <f t="shared" ca="1" si="165"/>
        <v>93</v>
      </c>
      <c r="FW61" s="276">
        <f t="shared" ca="1" si="188"/>
        <v>93</v>
      </c>
      <c r="FX61" s="276">
        <f t="shared" ca="1" si="189"/>
        <v>96</v>
      </c>
      <c r="FY61" s="276">
        <f t="shared" ca="1" si="190"/>
        <v>93</v>
      </c>
      <c r="FZ61" s="276">
        <f t="shared" ca="1" si="191"/>
        <v>93</v>
      </c>
      <c r="GA61" s="276">
        <f t="shared" ca="1" si="192"/>
        <v>666</v>
      </c>
      <c r="GB61" s="277">
        <f ca="1">IF(FY61="","",2+SUM(FO61:OFFSET(FO61,(FU61-1)*-1,0)))</f>
        <v>7</v>
      </c>
      <c r="GC61" s="316">
        <f t="shared" si="193"/>
        <v>-0.25</v>
      </c>
      <c r="GD61" s="324">
        <f t="shared" si="166"/>
        <v>1.75</v>
      </c>
      <c r="GE61" s="325">
        <f t="shared" si="167"/>
        <v>1.75</v>
      </c>
      <c r="GF61" s="278">
        <f t="shared" si="168"/>
        <v>12</v>
      </c>
      <c r="GG61" s="279">
        <f t="shared" si="169"/>
        <v>660</v>
      </c>
      <c r="GH61" s="279" t="str">
        <f t="shared" si="170"/>
        <v/>
      </c>
      <c r="GI61" s="280" t="str">
        <f t="shared" si="171"/>
        <v/>
      </c>
      <c r="GJ61" s="530">
        <f t="shared" ca="1" si="172"/>
        <v>0</v>
      </c>
      <c r="GK61" s="895" t="str">
        <f t="shared" ca="1" si="194"/>
        <v/>
      </c>
    </row>
    <row r="62" spans="1:193" ht="12.6" hidden="1" customHeight="1" x14ac:dyDescent="0.2">
      <c r="BZ62" s="293"/>
      <c r="CA62" s="293"/>
      <c r="CB62" s="365" t="str">
        <f t="shared" si="100"/>
        <v>G79</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1"/>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2"/>
        <v>0</v>
      </c>
      <c r="CU62" s="1317">
        <f t="shared" si="103"/>
        <v>0</v>
      </c>
      <c r="CV62" s="1311">
        <f t="shared" si="104"/>
        <v>671.5</v>
      </c>
      <c r="CW62" s="1311">
        <f t="shared" si="105"/>
        <v>7.5</v>
      </c>
      <c r="CX62" s="1311">
        <f t="shared" si="106"/>
        <v>7.5</v>
      </c>
      <c r="CY62" s="1313">
        <f t="shared" si="107"/>
        <v>0</v>
      </c>
      <c r="CZ62" s="1313">
        <f t="shared" si="108"/>
        <v>9</v>
      </c>
      <c r="DA62" s="1313">
        <f t="shared" si="109"/>
        <v>9</v>
      </c>
      <c r="DB62" s="1311">
        <f t="shared" si="173"/>
        <v>8.75</v>
      </c>
      <c r="DC62" s="1311">
        <f t="shared" si="110"/>
        <v>2.75</v>
      </c>
      <c r="DD62" s="875">
        <f t="shared" si="174"/>
        <v>2.75</v>
      </c>
      <c r="DE62" s="873">
        <f t="shared" si="111"/>
        <v>0</v>
      </c>
      <c r="DF62" s="874">
        <f t="shared" si="112"/>
        <v>9</v>
      </c>
      <c r="DG62" s="874">
        <f t="shared" si="113"/>
        <v>9</v>
      </c>
      <c r="DH62" s="1311">
        <f t="shared" si="175"/>
        <v>8.75</v>
      </c>
      <c r="DI62" s="1311">
        <f t="shared" si="114"/>
        <v>2.75</v>
      </c>
      <c r="DJ62" s="1312">
        <f t="shared" si="176"/>
        <v>2.75</v>
      </c>
      <c r="DK62" s="1311">
        <f t="shared" si="115"/>
        <v>666</v>
      </c>
      <c r="DL62" s="1311">
        <f t="shared" si="116"/>
        <v>-7.5</v>
      </c>
      <c r="DM62" s="1311">
        <f t="shared" si="117"/>
        <v>7.25</v>
      </c>
      <c r="DN62" s="1311">
        <f t="shared" si="118"/>
        <v>7.25</v>
      </c>
      <c r="DO62" s="889">
        <f t="shared" si="119"/>
        <v>7.25</v>
      </c>
      <c r="DP62" s="889">
        <f t="shared" si="120"/>
        <v>7.25</v>
      </c>
      <c r="DQ62" s="1311">
        <f t="shared" si="121"/>
        <v>7.25</v>
      </c>
      <c r="DR62" s="1311">
        <f t="shared" si="121"/>
        <v>7.25</v>
      </c>
      <c r="DS62" s="1311">
        <f t="shared" si="122"/>
        <v>-7.5</v>
      </c>
      <c r="DT62" s="1311">
        <f t="shared" si="123"/>
        <v>7.25</v>
      </c>
      <c r="DU62" s="1311">
        <f t="shared" si="124"/>
        <v>7.25</v>
      </c>
      <c r="DV62" s="889">
        <f t="shared" si="125"/>
        <v>7.25</v>
      </c>
      <c r="DW62" s="889">
        <f t="shared" si="126"/>
        <v>7.25</v>
      </c>
      <c r="DX62" s="873">
        <f t="shared" si="127"/>
        <v>7.25</v>
      </c>
      <c r="DY62" s="873">
        <f t="shared" si="127"/>
        <v>7.25</v>
      </c>
      <c r="DZ62" s="873">
        <f t="shared" si="128"/>
        <v>7.75</v>
      </c>
      <c r="EA62" s="873">
        <f t="shared" si="129"/>
        <v>7.75</v>
      </c>
      <c r="EB62" s="876">
        <f t="shared" si="130"/>
        <v>5</v>
      </c>
      <c r="EC62" s="877">
        <f t="shared" si="131"/>
        <v>5</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f t="shared" si="143"/>
        <v>0</v>
      </c>
      <c r="EP62" s="874">
        <f t="shared" si="144"/>
        <v>0</v>
      </c>
      <c r="EQ62" s="874">
        <f t="shared" si="145"/>
        <v>0</v>
      </c>
      <c r="ER62" s="874">
        <f t="shared" si="146"/>
        <v>0</v>
      </c>
      <c r="ES62" s="874" t="str">
        <f t="shared" si="147"/>
        <v/>
      </c>
      <c r="ET62" s="873">
        <f t="shared" si="148"/>
        <v>0</v>
      </c>
      <c r="EU62" s="873">
        <f t="shared" si="149"/>
        <v>0</v>
      </c>
      <c r="EV62" s="876">
        <f t="shared" si="150"/>
        <v>6</v>
      </c>
      <c r="EW62" s="876">
        <f t="shared" si="151"/>
        <v>6</v>
      </c>
      <c r="EX62" s="878" t="e">
        <f t="shared" si="152"/>
        <v>#VALUE!</v>
      </c>
      <c r="EY62" s="879" t="e">
        <f t="shared" si="153"/>
        <v>#VALUE!</v>
      </c>
      <c r="EZ62" s="959" t="e">
        <f t="shared" si="154"/>
        <v>#VALUE!</v>
      </c>
      <c r="FA62" s="960" t="e">
        <f t="shared" si="155"/>
        <v>#VALUE!</v>
      </c>
      <c r="FB62" s="880">
        <f t="shared" si="156"/>
        <v>0</v>
      </c>
      <c r="FC62" s="881">
        <f t="shared" si="157"/>
        <v>0</v>
      </c>
      <c r="FD62" s="890">
        <f t="shared" si="158"/>
        <v>2.75</v>
      </c>
      <c r="FE62" s="833">
        <f t="shared" si="159"/>
        <v>2.75</v>
      </c>
      <c r="FF62" s="754" t="b">
        <f t="shared" si="160"/>
        <v>0</v>
      </c>
      <c r="FG62" s="754" t="b">
        <f t="shared" si="161"/>
        <v>0</v>
      </c>
      <c r="FH62" s="754" t="b">
        <f t="shared" si="162"/>
        <v>0</v>
      </c>
      <c r="FI62" s="754" t="b">
        <f t="shared" si="163"/>
        <v>0</v>
      </c>
      <c r="FJ62" s="920" t="str">
        <f t="shared" si="177"/>
        <v/>
      </c>
      <c r="FK62" s="919" t="str">
        <f t="shared" si="178"/>
        <v>G79</v>
      </c>
      <c r="FL62" s="320">
        <f t="shared" si="179"/>
        <v>666</v>
      </c>
      <c r="FM62" s="312" t="str">
        <f t="shared" si="164"/>
        <v/>
      </c>
      <c r="FN62" s="272">
        <f t="shared" ca="1" si="180"/>
        <v>96</v>
      </c>
      <c r="FO62" s="273">
        <f t="shared" ca="1" si="181"/>
        <v>5</v>
      </c>
      <c r="FP62" s="274">
        <f t="shared" ca="1" si="182"/>
        <v>96</v>
      </c>
      <c r="FQ62" s="274">
        <f t="shared" ca="1" si="183"/>
        <v>96</v>
      </c>
      <c r="FR62" s="321">
        <f t="shared" ca="1" si="184"/>
        <v>0</v>
      </c>
      <c r="FS62" s="322">
        <f t="shared" ca="1" si="185"/>
        <v>672</v>
      </c>
      <c r="FT62" s="272">
        <f t="shared" ca="1" si="186"/>
        <v>666</v>
      </c>
      <c r="FU62" s="275">
        <f t="shared" ca="1" si="187"/>
        <v>1</v>
      </c>
      <c r="FV62" s="323">
        <f t="shared" ca="1" si="165"/>
        <v>93</v>
      </c>
      <c r="FW62" s="276">
        <f t="shared" ca="1" si="188"/>
        <v>93</v>
      </c>
      <c r="FX62" s="276">
        <f t="shared" ca="1" si="189"/>
        <v>96</v>
      </c>
      <c r="FY62" s="276">
        <f t="shared" ca="1" si="190"/>
        <v>93</v>
      </c>
      <c r="FZ62" s="276">
        <f t="shared" ca="1" si="191"/>
        <v>93</v>
      </c>
      <c r="GA62" s="276">
        <f t="shared" ca="1" si="192"/>
        <v>666</v>
      </c>
      <c r="GB62" s="277">
        <f ca="1">IF(FY62="","",2+SUM(FO62:OFFSET(FO62,(FU62-1)*-1,0)))</f>
        <v>7</v>
      </c>
      <c r="GC62" s="316">
        <f t="shared" si="193"/>
        <v>-0.25</v>
      </c>
      <c r="GD62" s="324">
        <f t="shared" si="166"/>
        <v>1.75</v>
      </c>
      <c r="GE62" s="325">
        <f t="shared" si="167"/>
        <v>1.75</v>
      </c>
      <c r="GF62" s="278">
        <f t="shared" si="168"/>
        <v>12</v>
      </c>
      <c r="GG62" s="279">
        <f t="shared" si="169"/>
        <v>660</v>
      </c>
      <c r="GH62" s="279" t="str">
        <f t="shared" si="170"/>
        <v/>
      </c>
      <c r="GI62" s="280" t="str">
        <f t="shared" si="171"/>
        <v/>
      </c>
      <c r="GJ62" s="530">
        <f t="shared" ca="1" si="172"/>
        <v>0</v>
      </c>
      <c r="GK62" s="895" t="str">
        <f t="shared" ca="1" si="194"/>
        <v/>
      </c>
    </row>
    <row r="63" spans="1:193" ht="12.6" hidden="1" customHeight="1" x14ac:dyDescent="0.2">
      <c r="BZ63" s="293"/>
      <c r="CA63" s="293"/>
      <c r="CB63" s="365" t="str">
        <f t="shared" si="100"/>
        <v>G80</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1"/>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2"/>
        <v>0</v>
      </c>
      <c r="CU63" s="1317">
        <f t="shared" si="103"/>
        <v>0</v>
      </c>
      <c r="CV63" s="1311">
        <f t="shared" si="104"/>
        <v>719.5</v>
      </c>
      <c r="CW63" s="1311">
        <f t="shared" si="105"/>
        <v>7.5</v>
      </c>
      <c r="CX63" s="1311">
        <f t="shared" si="106"/>
        <v>7.5</v>
      </c>
      <c r="CY63" s="1313">
        <f t="shared" si="107"/>
        <v>0</v>
      </c>
      <c r="CZ63" s="1313">
        <f t="shared" si="108"/>
        <v>9</v>
      </c>
      <c r="DA63" s="1313">
        <f t="shared" si="109"/>
        <v>9</v>
      </c>
      <c r="DB63" s="1311">
        <f t="shared" si="173"/>
        <v>8.75</v>
      </c>
      <c r="DC63" s="1311">
        <f t="shared" si="110"/>
        <v>2.75</v>
      </c>
      <c r="DD63" s="875">
        <f t="shared" si="174"/>
        <v>2.75</v>
      </c>
      <c r="DE63" s="873">
        <f t="shared" si="111"/>
        <v>0</v>
      </c>
      <c r="DF63" s="874">
        <f t="shared" si="112"/>
        <v>9</v>
      </c>
      <c r="DG63" s="874">
        <f t="shared" si="113"/>
        <v>9</v>
      </c>
      <c r="DH63" s="1311">
        <f t="shared" si="175"/>
        <v>8.75</v>
      </c>
      <c r="DI63" s="1311">
        <f t="shared" si="114"/>
        <v>2.75</v>
      </c>
      <c r="DJ63" s="1312">
        <f t="shared" si="176"/>
        <v>2.75</v>
      </c>
      <c r="DK63" s="1311">
        <f t="shared" si="115"/>
        <v>714</v>
      </c>
      <c r="DL63" s="1311">
        <f t="shared" si="116"/>
        <v>-7.5</v>
      </c>
      <c r="DM63" s="1311">
        <f t="shared" si="117"/>
        <v>7.25</v>
      </c>
      <c r="DN63" s="1311">
        <f t="shared" si="118"/>
        <v>7.25</v>
      </c>
      <c r="DO63" s="889">
        <f t="shared" si="119"/>
        <v>7.25</v>
      </c>
      <c r="DP63" s="889">
        <f t="shared" si="120"/>
        <v>7.25</v>
      </c>
      <c r="DQ63" s="1311">
        <f t="shared" si="121"/>
        <v>7.25</v>
      </c>
      <c r="DR63" s="1311">
        <f t="shared" si="121"/>
        <v>7.25</v>
      </c>
      <c r="DS63" s="1311">
        <f t="shared" si="122"/>
        <v>-7.5</v>
      </c>
      <c r="DT63" s="1311">
        <f t="shared" si="123"/>
        <v>7.25</v>
      </c>
      <c r="DU63" s="1311">
        <f t="shared" si="124"/>
        <v>7.25</v>
      </c>
      <c r="DV63" s="889">
        <f t="shared" si="125"/>
        <v>7.25</v>
      </c>
      <c r="DW63" s="889">
        <f t="shared" si="126"/>
        <v>7.25</v>
      </c>
      <c r="DX63" s="873">
        <f t="shared" si="127"/>
        <v>7.25</v>
      </c>
      <c r="DY63" s="873">
        <f t="shared" si="127"/>
        <v>7.25</v>
      </c>
      <c r="DZ63" s="873">
        <f t="shared" si="128"/>
        <v>7.75</v>
      </c>
      <c r="EA63" s="873">
        <f t="shared" si="129"/>
        <v>7.75</v>
      </c>
      <c r="EB63" s="876">
        <f t="shared" si="130"/>
        <v>5</v>
      </c>
      <c r="EC63" s="877">
        <f t="shared" si="131"/>
        <v>5</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f t="shared" si="143"/>
        <v>0</v>
      </c>
      <c r="EP63" s="874">
        <f t="shared" si="144"/>
        <v>0</v>
      </c>
      <c r="EQ63" s="874">
        <f t="shared" si="145"/>
        <v>0</v>
      </c>
      <c r="ER63" s="874">
        <f t="shared" si="146"/>
        <v>0</v>
      </c>
      <c r="ES63" s="874" t="str">
        <f t="shared" si="147"/>
        <v/>
      </c>
      <c r="ET63" s="873">
        <f t="shared" si="148"/>
        <v>0</v>
      </c>
      <c r="EU63" s="873">
        <f t="shared" si="149"/>
        <v>0</v>
      </c>
      <c r="EV63" s="876">
        <f t="shared" si="150"/>
        <v>6</v>
      </c>
      <c r="EW63" s="876">
        <f t="shared" si="151"/>
        <v>6</v>
      </c>
      <c r="EX63" s="878" t="e">
        <f t="shared" si="152"/>
        <v>#VALUE!</v>
      </c>
      <c r="EY63" s="879" t="e">
        <f t="shared" si="153"/>
        <v>#VALUE!</v>
      </c>
      <c r="EZ63" s="959" t="e">
        <f t="shared" si="154"/>
        <v>#VALUE!</v>
      </c>
      <c r="FA63" s="960" t="e">
        <f t="shared" si="155"/>
        <v>#VALUE!</v>
      </c>
      <c r="FB63" s="880">
        <f t="shared" si="156"/>
        <v>0</v>
      </c>
      <c r="FC63" s="881">
        <f t="shared" si="157"/>
        <v>0</v>
      </c>
      <c r="FD63" s="890">
        <f t="shared" si="158"/>
        <v>2.75</v>
      </c>
      <c r="FE63" s="833">
        <f t="shared" si="159"/>
        <v>2.75</v>
      </c>
      <c r="FF63" s="754" t="b">
        <f t="shared" si="160"/>
        <v>0</v>
      </c>
      <c r="FG63" s="754" t="b">
        <f t="shared" si="161"/>
        <v>0</v>
      </c>
      <c r="FH63" s="754" t="b">
        <f t="shared" si="162"/>
        <v>0</v>
      </c>
      <c r="FI63" s="754" t="b">
        <f t="shared" si="163"/>
        <v>0</v>
      </c>
      <c r="FJ63" s="920" t="str">
        <f t="shared" si="177"/>
        <v/>
      </c>
      <c r="FK63" s="919" t="str">
        <f t="shared" si="178"/>
        <v>G80</v>
      </c>
      <c r="FL63" s="320">
        <f t="shared" si="179"/>
        <v>714</v>
      </c>
      <c r="FM63" s="312" t="str">
        <f t="shared" si="164"/>
        <v/>
      </c>
      <c r="FN63" s="272">
        <f t="shared" ca="1" si="180"/>
        <v>96</v>
      </c>
      <c r="FO63" s="273">
        <f t="shared" ca="1" si="181"/>
        <v>6</v>
      </c>
      <c r="FP63" s="274">
        <f t="shared" ca="1" si="182"/>
        <v>96</v>
      </c>
      <c r="FQ63" s="274">
        <f t="shared" ca="1" si="183"/>
        <v>48</v>
      </c>
      <c r="FR63" s="321">
        <f t="shared" ca="1" si="184"/>
        <v>0</v>
      </c>
      <c r="FS63" s="322">
        <f t="shared" ca="1" si="185"/>
        <v>720</v>
      </c>
      <c r="FT63" s="272">
        <f t="shared" ca="1" si="186"/>
        <v>714</v>
      </c>
      <c r="FU63" s="275">
        <f t="shared" ca="1" si="187"/>
        <v>1</v>
      </c>
      <c r="FV63" s="323">
        <f t="shared" ca="1" si="165"/>
        <v>93</v>
      </c>
      <c r="FW63" s="276">
        <f t="shared" ca="1" si="188"/>
        <v>93</v>
      </c>
      <c r="FX63" s="276">
        <f t="shared" ca="1" si="189"/>
        <v>96</v>
      </c>
      <c r="FY63" s="276">
        <f t="shared" ca="1" si="190"/>
        <v>45</v>
      </c>
      <c r="FZ63" s="276">
        <f t="shared" ca="1" si="191"/>
        <v>45</v>
      </c>
      <c r="GA63" s="276">
        <f t="shared" ca="1" si="192"/>
        <v>714</v>
      </c>
      <c r="GB63" s="277">
        <f ca="1">IF(FY63="","",2+SUM(FO63:OFFSET(FO63,(FU63-1)*-1,0)))</f>
        <v>8</v>
      </c>
      <c r="GC63" s="316">
        <f t="shared" si="193"/>
        <v>-0.25</v>
      </c>
      <c r="GD63" s="324">
        <f t="shared" si="166"/>
        <v>1.75</v>
      </c>
      <c r="GE63" s="325" t="str">
        <f t="shared" si="167"/>
        <v/>
      </c>
      <c r="GF63" s="278" t="str">
        <f t="shared" si="168"/>
        <v>#7</v>
      </c>
      <c r="GG63" s="279">
        <f t="shared" si="169"/>
        <v>12</v>
      </c>
      <c r="GH63" s="279" t="str">
        <f t="shared" si="170"/>
        <v/>
      </c>
      <c r="GI63" s="280" t="str">
        <f t="shared" si="171"/>
        <v/>
      </c>
      <c r="GJ63" s="530">
        <f t="shared" ca="1" si="172"/>
        <v>0</v>
      </c>
      <c r="GK63" s="895" t="str">
        <f t="shared" ca="1" si="194"/>
        <v>B</v>
      </c>
    </row>
    <row r="64" spans="1:193" ht="12.6" hidden="1" customHeight="1" x14ac:dyDescent="0.2">
      <c r="BZ64" s="293"/>
      <c r="CA64" s="293"/>
      <c r="CB64" s="365" t="str">
        <f t="shared" si="100"/>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1"/>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2"/>
        <v>0</v>
      </c>
      <c r="CU64" s="1317">
        <f t="shared" si="103"/>
        <v>0</v>
      </c>
      <c r="CV64" s="1311" t="str">
        <f t="shared" si="104"/>
        <v/>
      </c>
      <c r="CW64" s="1311" t="str">
        <f t="shared" si="105"/>
        <v/>
      </c>
      <c r="CX64" s="1311" t="str">
        <f t="shared" si="106"/>
        <v/>
      </c>
      <c r="CY64" s="1313">
        <f t="shared" si="107"/>
        <v>0</v>
      </c>
      <c r="CZ64" s="1313">
        <f t="shared" si="108"/>
        <v>0</v>
      </c>
      <c r="DA64" s="1313" t="str">
        <f t="shared" si="109"/>
        <v/>
      </c>
      <c r="DB64" s="1311" t="str">
        <f t="shared" si="173"/>
        <v/>
      </c>
      <c r="DC64" s="1311" t="str">
        <f t="shared" si="110"/>
        <v/>
      </c>
      <c r="DD64" s="875">
        <f t="shared" si="174"/>
        <v>0</v>
      </c>
      <c r="DE64" s="873">
        <f t="shared" si="111"/>
        <v>0</v>
      </c>
      <c r="DF64" s="874">
        <f t="shared" si="112"/>
        <v>0</v>
      </c>
      <c r="DG64" s="874" t="str">
        <f t="shared" si="113"/>
        <v/>
      </c>
      <c r="DH64" s="1311" t="str">
        <f t="shared" si="175"/>
        <v/>
      </c>
      <c r="DI64" s="1311" t="str">
        <f t="shared" si="114"/>
        <v/>
      </c>
      <c r="DJ64" s="1312">
        <f t="shared" si="176"/>
        <v>0</v>
      </c>
      <c r="DK64" s="1311" t="str">
        <f t="shared" si="115"/>
        <v/>
      </c>
      <c r="DL64" s="1311" t="str">
        <f t="shared" si="116"/>
        <v/>
      </c>
      <c r="DM64" s="1311" t="str">
        <f t="shared" si="117"/>
        <v/>
      </c>
      <c r="DN64" s="1311" t="str">
        <f t="shared" si="118"/>
        <v/>
      </c>
      <c r="DO64" s="889" t="str">
        <f t="shared" si="119"/>
        <v>ERR</v>
      </c>
      <c r="DP64" s="889" t="str">
        <f t="shared" si="120"/>
        <v>ERR</v>
      </c>
      <c r="DQ64" s="1311" t="str">
        <f t="shared" si="121"/>
        <v/>
      </c>
      <c r="DR64" s="1311" t="str">
        <f t="shared" si="121"/>
        <v/>
      </c>
      <c r="DS64" s="1311" t="str">
        <f t="shared" si="122"/>
        <v/>
      </c>
      <c r="DT64" s="1311" t="str">
        <f t="shared" si="123"/>
        <v/>
      </c>
      <c r="DU64" s="1311" t="str">
        <f t="shared" si="124"/>
        <v/>
      </c>
      <c r="DV64" s="889" t="str">
        <f t="shared" si="125"/>
        <v>ERR</v>
      </c>
      <c r="DW64" s="889" t="str">
        <f t="shared" si="126"/>
        <v>ERR</v>
      </c>
      <c r="DX64" s="873" t="str">
        <f t="shared" si="127"/>
        <v/>
      </c>
      <c r="DY64" s="873" t="str">
        <f t="shared" si="127"/>
        <v/>
      </c>
      <c r="DZ64" s="873" t="str">
        <f t="shared" si="128"/>
        <v/>
      </c>
      <c r="EA64" s="873" t="str">
        <f t="shared" si="129"/>
        <v/>
      </c>
      <c r="EB64" s="876" t="str">
        <f t="shared" si="130"/>
        <v/>
      </c>
      <c r="EC64" s="877" t="str">
        <f t="shared" si="131"/>
        <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t="str">
        <f t="shared" si="143"/>
        <v/>
      </c>
      <c r="EP64" s="874">
        <f t="shared" si="144"/>
        <v>0</v>
      </c>
      <c r="EQ64" s="874">
        <f t="shared" si="145"/>
        <v>0</v>
      </c>
      <c r="ER64" s="874">
        <f t="shared" si="146"/>
        <v>0</v>
      </c>
      <c r="ES64" s="874" t="str">
        <f t="shared" si="147"/>
        <v/>
      </c>
      <c r="ET64" s="873" t="str">
        <f t="shared" si="148"/>
        <v/>
      </c>
      <c r="EU64" s="873">
        <f t="shared" si="149"/>
        <v>0</v>
      </c>
      <c r="EV64" s="876" t="e">
        <f t="shared" si="150"/>
        <v>#VALUE!</v>
      </c>
      <c r="EW64" s="876" t="e">
        <f t="shared" si="151"/>
        <v>#VALUE!</v>
      </c>
      <c r="EX64" s="878" t="str">
        <f t="shared" si="152"/>
        <v/>
      </c>
      <c r="EY64" s="879" t="e">
        <f t="shared" si="153"/>
        <v>#DIV/0!</v>
      </c>
      <c r="EZ64" s="959" t="e">
        <f t="shared" si="154"/>
        <v>#DIV/0!</v>
      </c>
      <c r="FA64" s="960" t="e">
        <f t="shared" si="155"/>
        <v>#DIV/0!</v>
      </c>
      <c r="FB64" s="880" t="str">
        <f t="shared" si="156"/>
        <v/>
      </c>
      <c r="FC64" s="881" t="str">
        <f t="shared" si="157"/>
        <v/>
      </c>
      <c r="FD64" s="890">
        <f t="shared" si="158"/>
        <v>0</v>
      </c>
      <c r="FE64" s="833">
        <f t="shared" si="159"/>
        <v>0</v>
      </c>
      <c r="FF64" s="754" t="b">
        <f t="shared" si="160"/>
        <v>0</v>
      </c>
      <c r="FG64" s="754" t="b">
        <f t="shared" si="161"/>
        <v>0</v>
      </c>
      <c r="FH64" s="754" t="b">
        <f t="shared" si="162"/>
        <v>0</v>
      </c>
      <c r="FI64" s="754" t="b">
        <f t="shared" si="163"/>
        <v>0</v>
      </c>
      <c r="FJ64" s="920" t="str">
        <f t="shared" si="177"/>
        <v/>
      </c>
      <c r="FK64" s="919" t="str">
        <f t="shared" si="178"/>
        <v>G80</v>
      </c>
      <c r="FL64" s="320">
        <f t="shared" si="179"/>
        <v>714</v>
      </c>
      <c r="FM64" s="312" t="str">
        <f t="shared" si="164"/>
        <v/>
      </c>
      <c r="FN64" s="272" t="str">
        <f t="shared" ca="1" si="180"/>
        <v/>
      </c>
      <c r="FO64" s="273" t="str">
        <f t="shared" ca="1" si="181"/>
        <v/>
      </c>
      <c r="FP64" s="274" t="str">
        <f t="shared" ca="1" si="182"/>
        <v/>
      </c>
      <c r="FQ64" s="274" t="str">
        <f t="shared" ca="1" si="183"/>
        <v/>
      </c>
      <c r="FR64" s="321">
        <f t="shared" ca="1" si="184"/>
        <v>0</v>
      </c>
      <c r="FS64" s="322">
        <f t="shared" ca="1" si="185"/>
        <v>0</v>
      </c>
      <c r="FT64" s="272" t="str">
        <f t="shared" ca="1" si="186"/>
        <v/>
      </c>
      <c r="FU64" s="275" t="str">
        <f t="shared" ca="1" si="187"/>
        <v/>
      </c>
      <c r="FV64" s="323" t="str">
        <f t="shared" ca="1" si="165"/>
        <v/>
      </c>
      <c r="FW64" s="276" t="str">
        <f t="shared" ca="1" si="188"/>
        <v/>
      </c>
      <c r="FX64" s="276" t="str">
        <f t="shared" ca="1" si="189"/>
        <v/>
      </c>
      <c r="FY64" s="276" t="str">
        <f t="shared" ca="1" si="190"/>
        <v/>
      </c>
      <c r="FZ64" s="276" t="str">
        <f t="shared" ca="1" si="191"/>
        <v/>
      </c>
      <c r="GA64" s="276" t="str">
        <f t="shared" ca="1" si="192"/>
        <v/>
      </c>
      <c r="GB64" s="277" t="str">
        <f ca="1">IF(FY64="","",2+SUM(FO64:OFFSET(FO64,(FU64-1)*-1,0)))</f>
        <v/>
      </c>
      <c r="GC64" s="316">
        <f t="shared" si="193"/>
        <v>-0.25</v>
      </c>
      <c r="GD64" s="324" t="str">
        <f t="shared" si="166"/>
        <v/>
      </c>
      <c r="GE64" s="325" t="str">
        <f t="shared" si="167"/>
        <v/>
      </c>
      <c r="GF64" s="278" t="str">
        <f t="shared" si="168"/>
        <v/>
      </c>
      <c r="GG64" s="279" t="str">
        <f t="shared" si="169"/>
        <v/>
      </c>
      <c r="GH64" s="279" t="str">
        <f t="shared" si="170"/>
        <v/>
      </c>
      <c r="GI64" s="280" t="str">
        <f t="shared" si="171"/>
        <v/>
      </c>
      <c r="GJ64" s="530">
        <f t="shared" ca="1" si="172"/>
        <v>0</v>
      </c>
      <c r="GK64" s="895" t="str">
        <f t="shared" ca="1" si="194"/>
        <v/>
      </c>
    </row>
    <row r="65" spans="78:193" ht="12.6" hidden="1" customHeight="1" x14ac:dyDescent="0.2">
      <c r="BZ65" s="293"/>
      <c r="CA65" s="293"/>
      <c r="CB65" s="365" t="str">
        <f t="shared" si="100"/>
        <v>G82</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1"/>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2"/>
        <v>0</v>
      </c>
      <c r="CU65" s="1317">
        <f t="shared" si="103"/>
        <v>0</v>
      </c>
      <c r="CV65" s="1311">
        <f t="shared" si="104"/>
        <v>671.5</v>
      </c>
      <c r="CW65" s="1311">
        <f t="shared" si="105"/>
        <v>7.5</v>
      </c>
      <c r="CX65" s="1311">
        <f t="shared" si="106"/>
        <v>7.5</v>
      </c>
      <c r="CY65" s="1313">
        <f t="shared" si="107"/>
        <v>0</v>
      </c>
      <c r="CZ65" s="1313">
        <f t="shared" si="108"/>
        <v>9</v>
      </c>
      <c r="DA65" s="1313">
        <f t="shared" si="109"/>
        <v>9</v>
      </c>
      <c r="DB65" s="1311">
        <f t="shared" si="173"/>
        <v>8.75</v>
      </c>
      <c r="DC65" s="1311">
        <f t="shared" si="110"/>
        <v>2.75</v>
      </c>
      <c r="DD65" s="875">
        <f t="shared" si="174"/>
        <v>2.75</v>
      </c>
      <c r="DE65" s="873">
        <f t="shared" si="111"/>
        <v>0</v>
      </c>
      <c r="DF65" s="874">
        <f t="shared" si="112"/>
        <v>9</v>
      </c>
      <c r="DG65" s="874">
        <f t="shared" si="113"/>
        <v>9</v>
      </c>
      <c r="DH65" s="1311">
        <f t="shared" si="175"/>
        <v>8.75</v>
      </c>
      <c r="DI65" s="1311">
        <f t="shared" si="114"/>
        <v>2.75</v>
      </c>
      <c r="DJ65" s="1312">
        <f t="shared" si="176"/>
        <v>2.75</v>
      </c>
      <c r="DK65" s="1311">
        <f t="shared" si="115"/>
        <v>666</v>
      </c>
      <c r="DL65" s="1311">
        <f t="shared" si="116"/>
        <v>-7.5</v>
      </c>
      <c r="DM65" s="1311">
        <f t="shared" si="117"/>
        <v>7.25</v>
      </c>
      <c r="DN65" s="1311">
        <f t="shared" si="118"/>
        <v>7.25</v>
      </c>
      <c r="DO65" s="889">
        <f t="shared" si="119"/>
        <v>7.25</v>
      </c>
      <c r="DP65" s="889">
        <f t="shared" si="120"/>
        <v>7.25</v>
      </c>
      <c r="DQ65" s="1311">
        <f t="shared" si="121"/>
        <v>7.25</v>
      </c>
      <c r="DR65" s="1311">
        <f t="shared" si="121"/>
        <v>7.25</v>
      </c>
      <c r="DS65" s="1311">
        <f t="shared" si="122"/>
        <v>-7.5</v>
      </c>
      <c r="DT65" s="1311">
        <f t="shared" si="123"/>
        <v>7.25</v>
      </c>
      <c r="DU65" s="1311">
        <f t="shared" si="124"/>
        <v>7.25</v>
      </c>
      <c r="DV65" s="889">
        <f t="shared" si="125"/>
        <v>7.25</v>
      </c>
      <c r="DW65" s="889">
        <f t="shared" si="126"/>
        <v>7.25</v>
      </c>
      <c r="DX65" s="873">
        <f t="shared" si="127"/>
        <v>7.25</v>
      </c>
      <c r="DY65" s="873">
        <f t="shared" si="127"/>
        <v>7.25</v>
      </c>
      <c r="DZ65" s="873">
        <f t="shared" si="128"/>
        <v>7.75</v>
      </c>
      <c r="EA65" s="873">
        <f t="shared" si="129"/>
        <v>7.75</v>
      </c>
      <c r="EB65" s="876">
        <f t="shared" si="130"/>
        <v>5</v>
      </c>
      <c r="EC65" s="877">
        <f t="shared" si="131"/>
        <v>5</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f t="shared" si="143"/>
        <v>0</v>
      </c>
      <c r="EP65" s="874">
        <f t="shared" si="144"/>
        <v>0</v>
      </c>
      <c r="EQ65" s="874">
        <f t="shared" si="145"/>
        <v>0</v>
      </c>
      <c r="ER65" s="874">
        <f t="shared" si="146"/>
        <v>0</v>
      </c>
      <c r="ES65" s="874" t="str">
        <f t="shared" si="147"/>
        <v/>
      </c>
      <c r="ET65" s="873">
        <f t="shared" si="148"/>
        <v>0</v>
      </c>
      <c r="EU65" s="873">
        <f t="shared" si="149"/>
        <v>0</v>
      </c>
      <c r="EV65" s="876">
        <f t="shared" si="150"/>
        <v>6</v>
      </c>
      <c r="EW65" s="876">
        <f t="shared" si="151"/>
        <v>6</v>
      </c>
      <c r="EX65" s="878" t="e">
        <f t="shared" si="152"/>
        <v>#VALUE!</v>
      </c>
      <c r="EY65" s="879" t="e">
        <f t="shared" si="153"/>
        <v>#VALUE!</v>
      </c>
      <c r="EZ65" s="959" t="e">
        <f t="shared" si="154"/>
        <v>#VALUE!</v>
      </c>
      <c r="FA65" s="960" t="e">
        <f t="shared" si="155"/>
        <v>#VALUE!</v>
      </c>
      <c r="FB65" s="880">
        <f t="shared" si="156"/>
        <v>0</v>
      </c>
      <c r="FC65" s="881">
        <f t="shared" si="157"/>
        <v>0</v>
      </c>
      <c r="FD65" s="890">
        <f t="shared" si="158"/>
        <v>2.75</v>
      </c>
      <c r="FE65" s="833">
        <f t="shared" si="159"/>
        <v>2.75</v>
      </c>
      <c r="FF65" s="754" t="b">
        <f t="shared" si="160"/>
        <v>0</v>
      </c>
      <c r="FG65" s="754" t="b">
        <f t="shared" si="161"/>
        <v>0</v>
      </c>
      <c r="FH65" s="754" t="b">
        <f t="shared" si="162"/>
        <v>0</v>
      </c>
      <c r="FI65" s="754" t="b">
        <f t="shared" si="163"/>
        <v>0</v>
      </c>
      <c r="FJ65" s="920" t="str">
        <f t="shared" si="177"/>
        <v/>
      </c>
      <c r="FK65" s="919" t="str">
        <f t="shared" si="178"/>
        <v>G82</v>
      </c>
      <c r="FL65" s="320">
        <f t="shared" si="179"/>
        <v>666</v>
      </c>
      <c r="FM65" s="312" t="str">
        <f t="shared" si="164"/>
        <v/>
      </c>
      <c r="FN65" s="272">
        <f t="shared" ca="1" si="180"/>
        <v>96</v>
      </c>
      <c r="FO65" s="273">
        <f t="shared" ca="1" si="181"/>
        <v>5</v>
      </c>
      <c r="FP65" s="274">
        <f t="shared" ca="1" si="182"/>
        <v>96</v>
      </c>
      <c r="FQ65" s="274">
        <f t="shared" ca="1" si="183"/>
        <v>96</v>
      </c>
      <c r="FR65" s="321">
        <f t="shared" ca="1" si="184"/>
        <v>0</v>
      </c>
      <c r="FS65" s="322">
        <f t="shared" ca="1" si="185"/>
        <v>672</v>
      </c>
      <c r="FT65" s="272">
        <f t="shared" ca="1" si="186"/>
        <v>666</v>
      </c>
      <c r="FU65" s="275">
        <f t="shared" ca="1" si="187"/>
        <v>1</v>
      </c>
      <c r="FV65" s="323">
        <f t="shared" ca="1" si="165"/>
        <v>93</v>
      </c>
      <c r="FW65" s="276">
        <f t="shared" ca="1" si="188"/>
        <v>93</v>
      </c>
      <c r="FX65" s="276">
        <f t="shared" ca="1" si="189"/>
        <v>96</v>
      </c>
      <c r="FY65" s="276">
        <f t="shared" ca="1" si="190"/>
        <v>93</v>
      </c>
      <c r="FZ65" s="276">
        <f t="shared" ca="1" si="191"/>
        <v>93</v>
      </c>
      <c r="GA65" s="276">
        <f t="shared" ca="1" si="192"/>
        <v>666</v>
      </c>
      <c r="GB65" s="277">
        <f ca="1">IF(FY65="","",2+SUM(FO65:OFFSET(FO65,(FU65-1)*-1,0)))</f>
        <v>7</v>
      </c>
      <c r="GC65" s="316">
        <f t="shared" si="193"/>
        <v>-0.25</v>
      </c>
      <c r="GD65" s="324">
        <f t="shared" si="166"/>
        <v>1.75</v>
      </c>
      <c r="GE65" s="325">
        <f t="shared" si="167"/>
        <v>1.75</v>
      </c>
      <c r="GF65" s="278">
        <f t="shared" si="168"/>
        <v>12</v>
      </c>
      <c r="GG65" s="279">
        <f t="shared" si="169"/>
        <v>660</v>
      </c>
      <c r="GH65" s="279" t="str">
        <f t="shared" si="170"/>
        <v/>
      </c>
      <c r="GI65" s="280" t="str">
        <f t="shared" si="171"/>
        <v/>
      </c>
      <c r="GJ65" s="530">
        <f t="shared" ca="1" si="172"/>
        <v>0</v>
      </c>
      <c r="GK65" s="895" t="str">
        <f t="shared" ca="1" si="194"/>
        <v/>
      </c>
    </row>
    <row r="66" spans="78:193" ht="12.6" hidden="1" customHeight="1" x14ac:dyDescent="0.2">
      <c r="BZ66" s="293"/>
      <c r="CA66" s="293"/>
      <c r="CB66" s="365" t="str">
        <f t="shared" si="100"/>
        <v>G83</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1"/>
        <v>0</v>
      </c>
      <c r="CL66" s="1305" t="str">
        <f>IF(CQ26="","",VLOOKUP(CQ26,SectInfo!$B:$N,12,FALSE))</f>
        <v>C</v>
      </c>
      <c r="CM66" s="1306">
        <f>IF(ISBLANK(CX26),IF(CQ26="","",VLOOKUP(CQ26,SectInfo!$B:$N,13,FALSE)),CX26)</f>
        <v>-6.5</v>
      </c>
      <c r="CN66" s="1306" t="str">
        <f>IF(CQ26="","",IF(VLOOKUP(CQ26,SectInfo!$B:$N,5,FALSE)="","R",UPPER(VLOOKUP(CQ26,SectInfo!$B:$N,5,FALSE))))</f>
        <v>R</v>
      </c>
      <c r="CO66" s="1306">
        <f>IF(ISBLANK(CZ26),IF(CQ26="","",VLOOKUP(CQ26,SectInfo!$B:$N,6,FALSE)),CZ26)</f>
        <v>7.5</v>
      </c>
      <c r="CP66" s="1306">
        <f>IF(CQ26="","",IF(VLOOKUP(CQ26,SectInfo!$B:$N,10,FALSE)="","",(VLOOKUP(CQ26,SectInfo!$B:$N,10,FALSE)*-1)))</f>
        <v>-8</v>
      </c>
      <c r="CQ66" s="1306">
        <f>IF(CQ26="","",IF(VLOOKUP(CQ26,SectInfo!$B:$N,7,FALSE)="","",(VLOOKUP(CQ26,SectInfo!$B:$N,7,FALSE)*-1)))</f>
        <v>-9.5</v>
      </c>
      <c r="CR66" s="1306">
        <f>IF(CQ26="","",IF(VLOOKUP(CQ26,SectInfo!$B:$N,8,FALSE)="",$FC$4,(VLOOKUP(CQ26,SectInfo!$B:$N,8,FALSE))))</f>
        <v>5</v>
      </c>
      <c r="CS66" s="1306">
        <f>IF(CQ26="","",VLOOKUP(CQ26,SectInfo!$B:$N,9,FALSE))</f>
        <v>12</v>
      </c>
      <c r="CT66" s="1307">
        <f t="shared" si="102"/>
        <v>0</v>
      </c>
      <c r="CU66" s="1317">
        <f t="shared" si="103"/>
        <v>0</v>
      </c>
      <c r="CV66" s="1311">
        <f t="shared" si="104"/>
        <v>665.25</v>
      </c>
      <c r="CW66" s="1311">
        <f t="shared" si="105"/>
        <v>7.5</v>
      </c>
      <c r="CX66" s="1311">
        <f t="shared" si="106"/>
        <v>7.5</v>
      </c>
      <c r="CY66" s="1313">
        <f t="shared" si="107"/>
        <v>0</v>
      </c>
      <c r="CZ66" s="1313">
        <f t="shared" si="108"/>
        <v>9</v>
      </c>
      <c r="DA66" s="1313">
        <f t="shared" si="109"/>
        <v>9</v>
      </c>
      <c r="DB66" s="1311">
        <f t="shared" si="173"/>
        <v>8.75</v>
      </c>
      <c r="DC66" s="1311">
        <f t="shared" si="110"/>
        <v>2.75</v>
      </c>
      <c r="DD66" s="875">
        <f t="shared" si="174"/>
        <v>2.75</v>
      </c>
      <c r="DE66" s="873">
        <f t="shared" si="111"/>
        <v>0</v>
      </c>
      <c r="DF66" s="874">
        <f t="shared" si="112"/>
        <v>12</v>
      </c>
      <c r="DG66" s="874">
        <f t="shared" si="113"/>
        <v>12</v>
      </c>
      <c r="DH66" s="1311">
        <f t="shared" si="175"/>
        <v>5.5</v>
      </c>
      <c r="DI66" s="1311">
        <f t="shared" si="114"/>
        <v>0</v>
      </c>
      <c r="DJ66" s="1312">
        <f t="shared" si="176"/>
        <v>0</v>
      </c>
      <c r="DK66" s="1311">
        <f t="shared" si="115"/>
        <v>662.5</v>
      </c>
      <c r="DL66" s="1311">
        <f t="shared" si="116"/>
        <v>-7.5</v>
      </c>
      <c r="DM66" s="1311">
        <f t="shared" si="117"/>
        <v>7.25</v>
      </c>
      <c r="DN66" s="1311">
        <f t="shared" si="118"/>
        <v>7.25</v>
      </c>
      <c r="DO66" s="889">
        <f t="shared" si="119"/>
        <v>7.25</v>
      </c>
      <c r="DP66" s="889">
        <f t="shared" si="120"/>
        <v>7.25</v>
      </c>
      <c r="DQ66" s="1311">
        <f t="shared" si="121"/>
        <v>7.25</v>
      </c>
      <c r="DR66" s="1311">
        <f t="shared" si="121"/>
        <v>7.25</v>
      </c>
      <c r="DS66" s="1311">
        <f t="shared" si="122"/>
        <v>-9.5</v>
      </c>
      <c r="DT66" s="1311">
        <f t="shared" si="123"/>
        <v>3</v>
      </c>
      <c r="DU66" s="1311">
        <f t="shared" si="124"/>
        <v>3</v>
      </c>
      <c r="DV66" s="889">
        <f t="shared" si="125"/>
        <v>3</v>
      </c>
      <c r="DW66" s="889">
        <f t="shared" si="126"/>
        <v>3</v>
      </c>
      <c r="DX66" s="873">
        <f t="shared" si="127"/>
        <v>3</v>
      </c>
      <c r="DY66" s="873">
        <f t="shared" si="127"/>
        <v>3</v>
      </c>
      <c r="DZ66" s="873">
        <f t="shared" si="128"/>
        <v>7.75</v>
      </c>
      <c r="EA66" s="873">
        <f t="shared" si="129"/>
        <v>1.5</v>
      </c>
      <c r="EB66" s="876">
        <f t="shared" si="130"/>
        <v>5</v>
      </c>
      <c r="EC66" s="877">
        <f t="shared" si="131"/>
        <v>5</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f t="shared" si="143"/>
        <v>0</v>
      </c>
      <c r="EP66" s="874">
        <f t="shared" si="144"/>
        <v>0</v>
      </c>
      <c r="EQ66" s="874">
        <f t="shared" si="145"/>
        <v>0</v>
      </c>
      <c r="ER66" s="874">
        <f t="shared" si="146"/>
        <v>0</v>
      </c>
      <c r="ES66" s="874" t="str">
        <f t="shared" si="147"/>
        <v/>
      </c>
      <c r="ET66" s="873">
        <f t="shared" si="148"/>
        <v>0</v>
      </c>
      <c r="EU66" s="873">
        <f t="shared" si="149"/>
        <v>0</v>
      </c>
      <c r="EV66" s="876">
        <f t="shared" si="150"/>
        <v>6</v>
      </c>
      <c r="EW66" s="876">
        <f t="shared" si="151"/>
        <v>5.5</v>
      </c>
      <c r="EX66" s="878" t="e">
        <f t="shared" si="152"/>
        <v>#VALUE!</v>
      </c>
      <c r="EY66" s="879" t="e">
        <f t="shared" si="153"/>
        <v>#VALUE!</v>
      </c>
      <c r="EZ66" s="959" t="e">
        <f t="shared" si="154"/>
        <v>#VALUE!</v>
      </c>
      <c r="FA66" s="960" t="e">
        <f t="shared" si="155"/>
        <v>#VALUE!</v>
      </c>
      <c r="FB66" s="880">
        <f t="shared" si="156"/>
        <v>0</v>
      </c>
      <c r="FC66" s="881">
        <f t="shared" si="157"/>
        <v>0</v>
      </c>
      <c r="FD66" s="890">
        <f t="shared" si="158"/>
        <v>2.75</v>
      </c>
      <c r="FE66" s="833">
        <f t="shared" si="159"/>
        <v>0</v>
      </c>
      <c r="FF66" s="754" t="b">
        <f t="shared" si="160"/>
        <v>0</v>
      </c>
      <c r="FG66" s="754" t="b">
        <f t="shared" si="161"/>
        <v>0</v>
      </c>
      <c r="FH66" s="754" t="b">
        <f t="shared" si="162"/>
        <v>0</v>
      </c>
      <c r="FI66" s="754" t="b">
        <f t="shared" si="163"/>
        <v>0</v>
      </c>
      <c r="FJ66" s="920" t="str">
        <f t="shared" si="177"/>
        <v/>
      </c>
      <c r="FK66" s="919" t="str">
        <f t="shared" si="178"/>
        <v>G83</v>
      </c>
      <c r="FL66" s="320">
        <f t="shared" si="179"/>
        <v>662.5</v>
      </c>
      <c r="FM66" s="312" t="str">
        <f t="shared" si="164"/>
        <v/>
      </c>
      <c r="FN66" s="272">
        <f t="shared" ca="1" si="180"/>
        <v>96</v>
      </c>
      <c r="FO66" s="273">
        <f t="shared" ca="1" si="181"/>
        <v>5</v>
      </c>
      <c r="FP66" s="274">
        <f t="shared" ca="1" si="182"/>
        <v>96</v>
      </c>
      <c r="FQ66" s="274">
        <f t="shared" ca="1" si="183"/>
        <v>96</v>
      </c>
      <c r="FR66" s="321">
        <f t="shared" ca="1" si="184"/>
        <v>0</v>
      </c>
      <c r="FS66" s="322">
        <f t="shared" ca="1" si="185"/>
        <v>672</v>
      </c>
      <c r="FT66" s="272">
        <f t="shared" ca="1" si="186"/>
        <v>662.5</v>
      </c>
      <c r="FU66" s="275">
        <f t="shared" ca="1" si="187"/>
        <v>1</v>
      </c>
      <c r="FV66" s="323">
        <f t="shared" ca="1" si="165"/>
        <v>93</v>
      </c>
      <c r="FW66" s="276">
        <f t="shared" ca="1" si="188"/>
        <v>93</v>
      </c>
      <c r="FX66" s="276">
        <f t="shared" ca="1" si="189"/>
        <v>96</v>
      </c>
      <c r="FY66" s="276">
        <f t="shared" ca="1" si="190"/>
        <v>89.5</v>
      </c>
      <c r="FZ66" s="276">
        <f t="shared" ca="1" si="191"/>
        <v>89.5</v>
      </c>
      <c r="GA66" s="276">
        <f t="shared" ca="1" si="192"/>
        <v>662.5</v>
      </c>
      <c r="GB66" s="277">
        <f ca="1">IF(FY66="","",2+SUM(FO66:OFFSET(FO66,(FU66-1)*-1,0)))</f>
        <v>7</v>
      </c>
      <c r="GC66" s="316">
        <f t="shared" si="193"/>
        <v>-0.25</v>
      </c>
      <c r="GD66" s="324">
        <f t="shared" si="166"/>
        <v>1.75</v>
      </c>
      <c r="GE66" s="325" t="str">
        <f t="shared" si="167"/>
        <v/>
      </c>
      <c r="GF66" s="278">
        <f t="shared" si="168"/>
        <v>12</v>
      </c>
      <c r="GG66" s="279" t="str">
        <f t="shared" si="169"/>
        <v/>
      </c>
      <c r="GH66" s="279" t="str">
        <f t="shared" si="170"/>
        <v/>
      </c>
      <c r="GI66" s="280" t="str">
        <f t="shared" si="171"/>
        <v/>
      </c>
      <c r="GJ66" s="530">
        <f t="shared" ca="1" si="172"/>
        <v>0</v>
      </c>
      <c r="GK66" s="895" t="str">
        <f t="shared" ca="1" si="194"/>
        <v/>
      </c>
    </row>
    <row r="67" spans="78:193" ht="12.6" hidden="1" customHeight="1" x14ac:dyDescent="0.2">
      <c r="BZ67" s="293"/>
      <c r="CA67" s="293"/>
      <c r="CB67" s="365" t="str">
        <f t="shared" si="100"/>
        <v>G84</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1"/>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-8</v>
      </c>
      <c r="CQ67" s="1306">
        <f>IF(CQ27="","",IF(VLOOKUP(CQ27,SectInfo!$B:$N,7,FALSE)="","",(VLOOKUP(CQ27,SectInfo!$B:$N,7,FALSE)*-1)))</f>
        <v>-7.5</v>
      </c>
      <c r="CR67" s="1306">
        <f>IF(CQ27="","",IF(VLOOKUP(CQ27,SectInfo!$B:$N,8,FALSE)="",$FC$4,(VLOOKUP(CQ27,SectInfo!$B:$N,8,FALSE))))</f>
        <v>5</v>
      </c>
      <c r="CS67" s="1306">
        <f>IF(CQ27="","",VLOOKUP(CQ27,SectInfo!$B:$N,9,FALSE))</f>
        <v>9</v>
      </c>
      <c r="CT67" s="1307">
        <f t="shared" si="102"/>
        <v>0</v>
      </c>
      <c r="CU67" s="1317">
        <f t="shared" si="103"/>
        <v>0</v>
      </c>
      <c r="CV67" s="1311">
        <f t="shared" si="104"/>
        <v>671.5</v>
      </c>
      <c r="CW67" s="1311">
        <f t="shared" si="105"/>
        <v>7.5</v>
      </c>
      <c r="CX67" s="1311">
        <f t="shared" si="106"/>
        <v>7.5</v>
      </c>
      <c r="CY67" s="1313">
        <f t="shared" si="107"/>
        <v>0</v>
      </c>
      <c r="CZ67" s="1313">
        <f t="shared" si="108"/>
        <v>9</v>
      </c>
      <c r="DA67" s="1313">
        <f t="shared" si="109"/>
        <v>9</v>
      </c>
      <c r="DB67" s="1311">
        <f t="shared" si="173"/>
        <v>8.75</v>
      </c>
      <c r="DC67" s="1311">
        <f t="shared" si="110"/>
        <v>2.75</v>
      </c>
      <c r="DD67" s="875">
        <f t="shared" si="174"/>
        <v>2.75</v>
      </c>
      <c r="DE67" s="873">
        <f t="shared" si="111"/>
        <v>0</v>
      </c>
      <c r="DF67" s="874">
        <f t="shared" si="112"/>
        <v>9</v>
      </c>
      <c r="DG67" s="874">
        <f t="shared" si="113"/>
        <v>9</v>
      </c>
      <c r="DH67" s="1311">
        <f t="shared" si="175"/>
        <v>8.75</v>
      </c>
      <c r="DI67" s="1311">
        <f t="shared" si="114"/>
        <v>2.75</v>
      </c>
      <c r="DJ67" s="1312">
        <f t="shared" si="176"/>
        <v>2.75</v>
      </c>
      <c r="DK67" s="1311">
        <f t="shared" si="115"/>
        <v>666</v>
      </c>
      <c r="DL67" s="1311">
        <f t="shared" si="116"/>
        <v>-7.5</v>
      </c>
      <c r="DM67" s="1311">
        <f t="shared" si="117"/>
        <v>7.25</v>
      </c>
      <c r="DN67" s="1311">
        <f t="shared" si="118"/>
        <v>7.25</v>
      </c>
      <c r="DO67" s="889">
        <f t="shared" si="119"/>
        <v>7.25</v>
      </c>
      <c r="DP67" s="889">
        <f t="shared" si="120"/>
        <v>7.25</v>
      </c>
      <c r="DQ67" s="1311">
        <f t="shared" si="121"/>
        <v>7.25</v>
      </c>
      <c r="DR67" s="1311">
        <f t="shared" si="121"/>
        <v>7.25</v>
      </c>
      <c r="DS67" s="1311">
        <f t="shared" si="122"/>
        <v>-7.5</v>
      </c>
      <c r="DT67" s="1311">
        <f t="shared" si="123"/>
        <v>7.25</v>
      </c>
      <c r="DU67" s="1311">
        <f t="shared" si="124"/>
        <v>7.25</v>
      </c>
      <c r="DV67" s="889">
        <f t="shared" si="125"/>
        <v>7.25</v>
      </c>
      <c r="DW67" s="889">
        <f t="shared" si="126"/>
        <v>7.25</v>
      </c>
      <c r="DX67" s="873">
        <f t="shared" si="127"/>
        <v>7.25</v>
      </c>
      <c r="DY67" s="873">
        <f t="shared" si="127"/>
        <v>7.25</v>
      </c>
      <c r="DZ67" s="873">
        <f t="shared" si="128"/>
        <v>7.75</v>
      </c>
      <c r="EA67" s="873">
        <f t="shared" si="129"/>
        <v>7.75</v>
      </c>
      <c r="EB67" s="876">
        <f t="shared" si="130"/>
        <v>5</v>
      </c>
      <c r="EC67" s="877">
        <f t="shared" si="131"/>
        <v>5</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f t="shared" si="143"/>
        <v>0</v>
      </c>
      <c r="EP67" s="874">
        <f t="shared" si="144"/>
        <v>0</v>
      </c>
      <c r="EQ67" s="874">
        <f t="shared" si="145"/>
        <v>0</v>
      </c>
      <c r="ER67" s="874">
        <f t="shared" si="146"/>
        <v>0</v>
      </c>
      <c r="ES67" s="874" t="str">
        <f t="shared" si="147"/>
        <v/>
      </c>
      <c r="ET67" s="873">
        <f t="shared" si="148"/>
        <v>0</v>
      </c>
      <c r="EU67" s="873">
        <f t="shared" si="149"/>
        <v>0</v>
      </c>
      <c r="EV67" s="876">
        <f t="shared" si="150"/>
        <v>6</v>
      </c>
      <c r="EW67" s="876">
        <f t="shared" si="151"/>
        <v>6</v>
      </c>
      <c r="EX67" s="878" t="e">
        <f t="shared" si="152"/>
        <v>#VALUE!</v>
      </c>
      <c r="EY67" s="879" t="e">
        <f t="shared" si="153"/>
        <v>#VALUE!</v>
      </c>
      <c r="EZ67" s="959" t="e">
        <f t="shared" si="154"/>
        <v>#VALUE!</v>
      </c>
      <c r="FA67" s="960" t="e">
        <f t="shared" si="155"/>
        <v>#VALUE!</v>
      </c>
      <c r="FB67" s="880">
        <f t="shared" si="156"/>
        <v>0</v>
      </c>
      <c r="FC67" s="881">
        <f t="shared" si="157"/>
        <v>0</v>
      </c>
      <c r="FD67" s="890">
        <f t="shared" si="158"/>
        <v>2.75</v>
      </c>
      <c r="FE67" s="833">
        <f t="shared" si="159"/>
        <v>2.75</v>
      </c>
      <c r="FF67" s="754" t="b">
        <f t="shared" si="160"/>
        <v>0</v>
      </c>
      <c r="FG67" s="754" t="b">
        <f t="shared" si="161"/>
        <v>0</v>
      </c>
      <c r="FH67" s="754" t="b">
        <f t="shared" si="162"/>
        <v>0</v>
      </c>
      <c r="FI67" s="754" t="b">
        <f t="shared" si="163"/>
        <v>0</v>
      </c>
      <c r="FJ67" s="920" t="str">
        <f t="shared" si="177"/>
        <v/>
      </c>
      <c r="FK67" s="919" t="str">
        <f t="shared" si="178"/>
        <v>G84</v>
      </c>
      <c r="FL67" s="320">
        <f t="shared" si="179"/>
        <v>666</v>
      </c>
      <c r="FM67" s="312" t="str">
        <f t="shared" si="164"/>
        <v/>
      </c>
      <c r="FN67" s="272">
        <f t="shared" ca="1" si="180"/>
        <v>96</v>
      </c>
      <c r="FO67" s="273">
        <f t="shared" ca="1" si="181"/>
        <v>5</v>
      </c>
      <c r="FP67" s="274">
        <f t="shared" ca="1" si="182"/>
        <v>96</v>
      </c>
      <c r="FQ67" s="274">
        <f t="shared" ca="1" si="183"/>
        <v>96</v>
      </c>
      <c r="FR67" s="321">
        <f t="shared" ca="1" si="184"/>
        <v>0</v>
      </c>
      <c r="FS67" s="322">
        <f t="shared" ca="1" si="185"/>
        <v>672</v>
      </c>
      <c r="FT67" s="272">
        <f t="shared" ca="1" si="186"/>
        <v>666</v>
      </c>
      <c r="FU67" s="275">
        <f t="shared" ca="1" si="187"/>
        <v>1</v>
      </c>
      <c r="FV67" s="323">
        <f t="shared" ca="1" si="165"/>
        <v>93</v>
      </c>
      <c r="FW67" s="276">
        <f t="shared" ca="1" si="188"/>
        <v>93</v>
      </c>
      <c r="FX67" s="276">
        <f t="shared" ca="1" si="189"/>
        <v>96</v>
      </c>
      <c r="FY67" s="276">
        <f t="shared" ca="1" si="190"/>
        <v>93</v>
      </c>
      <c r="FZ67" s="276">
        <f t="shared" ca="1" si="191"/>
        <v>93</v>
      </c>
      <c r="GA67" s="276">
        <f t="shared" ca="1" si="192"/>
        <v>666</v>
      </c>
      <c r="GB67" s="277">
        <f ca="1">IF(FY67="","",2+SUM(FO67:OFFSET(FO67,(FU67-1)*-1,0)))</f>
        <v>7</v>
      </c>
      <c r="GC67" s="316">
        <f t="shared" si="193"/>
        <v>-0.25</v>
      </c>
      <c r="GD67" s="324">
        <f t="shared" si="166"/>
        <v>1.75</v>
      </c>
      <c r="GE67" s="325">
        <f t="shared" si="167"/>
        <v>1.75</v>
      </c>
      <c r="GF67" s="278">
        <f t="shared" si="168"/>
        <v>12</v>
      </c>
      <c r="GG67" s="279">
        <f t="shared" si="169"/>
        <v>660</v>
      </c>
      <c r="GH67" s="279" t="str">
        <f t="shared" si="170"/>
        <v/>
      </c>
      <c r="GI67" s="280" t="str">
        <f t="shared" si="171"/>
        <v/>
      </c>
      <c r="GJ67" s="530">
        <f t="shared" ca="1" si="172"/>
        <v>0</v>
      </c>
      <c r="GK67" s="895" t="str">
        <f t="shared" ca="1" si="194"/>
        <v/>
      </c>
    </row>
    <row r="68" spans="78:193" ht="12.6" hidden="1" customHeight="1" x14ac:dyDescent="0.2">
      <c r="BZ68" s="293"/>
      <c r="CA68" s="293"/>
      <c r="CB68" s="365" t="str">
        <f t="shared" si="100"/>
        <v>G85</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1"/>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-7.5</v>
      </c>
      <c r="CR68" s="1306">
        <f>IF(CQ28="","",IF(VLOOKUP(CQ28,SectInfo!$B:$N,8,FALSE)="",$FC$4,(VLOOKUP(CQ28,SectInfo!$B:$N,8,FALSE))))</f>
        <v>5</v>
      </c>
      <c r="CS68" s="1306">
        <f>IF(CQ28="","",VLOOKUP(CQ28,SectInfo!$B:$N,9,FALSE))</f>
        <v>9</v>
      </c>
      <c r="CT68" s="1307">
        <f t="shared" si="102"/>
        <v>0</v>
      </c>
      <c r="CU68" s="1317">
        <f t="shared" si="103"/>
        <v>0</v>
      </c>
      <c r="CV68" s="1311">
        <f t="shared" si="104"/>
        <v>671.5</v>
      </c>
      <c r="CW68" s="1311">
        <f t="shared" si="105"/>
        <v>7.5</v>
      </c>
      <c r="CX68" s="1311">
        <f t="shared" si="106"/>
        <v>7.5</v>
      </c>
      <c r="CY68" s="1313">
        <f t="shared" si="107"/>
        <v>0</v>
      </c>
      <c r="CZ68" s="1313">
        <f t="shared" si="108"/>
        <v>9</v>
      </c>
      <c r="DA68" s="1313">
        <f t="shared" si="109"/>
        <v>9</v>
      </c>
      <c r="DB68" s="1311">
        <f t="shared" si="173"/>
        <v>8.75</v>
      </c>
      <c r="DC68" s="1311">
        <f t="shared" si="110"/>
        <v>2.75</v>
      </c>
      <c r="DD68" s="875">
        <f t="shared" si="174"/>
        <v>2.75</v>
      </c>
      <c r="DE68" s="873">
        <f t="shared" si="111"/>
        <v>0</v>
      </c>
      <c r="DF68" s="874">
        <f t="shared" si="112"/>
        <v>9</v>
      </c>
      <c r="DG68" s="874">
        <f t="shared" si="113"/>
        <v>9</v>
      </c>
      <c r="DH68" s="1311">
        <f t="shared" si="175"/>
        <v>8.75</v>
      </c>
      <c r="DI68" s="1311">
        <f t="shared" si="114"/>
        <v>2.75</v>
      </c>
      <c r="DJ68" s="1312">
        <f t="shared" si="176"/>
        <v>2.75</v>
      </c>
      <c r="DK68" s="1311">
        <f t="shared" si="115"/>
        <v>666</v>
      </c>
      <c r="DL68" s="1311">
        <f t="shared" si="116"/>
        <v>-7.5</v>
      </c>
      <c r="DM68" s="1311">
        <f t="shared" si="117"/>
        <v>7.25</v>
      </c>
      <c r="DN68" s="1311">
        <f t="shared" si="118"/>
        <v>7.25</v>
      </c>
      <c r="DO68" s="889">
        <f t="shared" si="119"/>
        <v>7.25</v>
      </c>
      <c r="DP68" s="889">
        <f t="shared" si="120"/>
        <v>7.25</v>
      </c>
      <c r="DQ68" s="1311">
        <f t="shared" si="121"/>
        <v>7.25</v>
      </c>
      <c r="DR68" s="1311">
        <f t="shared" si="121"/>
        <v>7.25</v>
      </c>
      <c r="DS68" s="1311">
        <f t="shared" si="122"/>
        <v>-7.5</v>
      </c>
      <c r="DT68" s="1311">
        <f t="shared" si="123"/>
        <v>7.25</v>
      </c>
      <c r="DU68" s="1311">
        <f t="shared" si="124"/>
        <v>7.25</v>
      </c>
      <c r="DV68" s="889">
        <f t="shared" si="125"/>
        <v>7.25</v>
      </c>
      <c r="DW68" s="889">
        <f t="shared" si="126"/>
        <v>7.25</v>
      </c>
      <c r="DX68" s="873">
        <f t="shared" si="127"/>
        <v>7.25</v>
      </c>
      <c r="DY68" s="873">
        <f t="shared" si="127"/>
        <v>7.25</v>
      </c>
      <c r="DZ68" s="873">
        <f t="shared" si="128"/>
        <v>7.75</v>
      </c>
      <c r="EA68" s="873">
        <f t="shared" si="129"/>
        <v>7.75</v>
      </c>
      <c r="EB68" s="876">
        <f t="shared" si="130"/>
        <v>5</v>
      </c>
      <c r="EC68" s="877">
        <f t="shared" si="131"/>
        <v>5</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f t="shared" si="143"/>
        <v>0</v>
      </c>
      <c r="EP68" s="874">
        <f t="shared" si="144"/>
        <v>0</v>
      </c>
      <c r="EQ68" s="874">
        <f t="shared" si="145"/>
        <v>0</v>
      </c>
      <c r="ER68" s="874">
        <f t="shared" si="146"/>
        <v>0</v>
      </c>
      <c r="ES68" s="874" t="str">
        <f t="shared" si="147"/>
        <v/>
      </c>
      <c r="ET68" s="873">
        <f t="shared" si="148"/>
        <v>0</v>
      </c>
      <c r="EU68" s="873">
        <f t="shared" si="149"/>
        <v>0</v>
      </c>
      <c r="EV68" s="876">
        <f t="shared" si="150"/>
        <v>6</v>
      </c>
      <c r="EW68" s="876">
        <f t="shared" si="151"/>
        <v>6</v>
      </c>
      <c r="EX68" s="878" t="e">
        <f t="shared" si="152"/>
        <v>#VALUE!</v>
      </c>
      <c r="EY68" s="879" t="e">
        <f t="shared" si="153"/>
        <v>#VALUE!</v>
      </c>
      <c r="EZ68" s="959" t="e">
        <f t="shared" si="154"/>
        <v>#VALUE!</v>
      </c>
      <c r="FA68" s="960" t="e">
        <f t="shared" si="155"/>
        <v>#VALUE!</v>
      </c>
      <c r="FB68" s="880">
        <f t="shared" si="156"/>
        <v>0</v>
      </c>
      <c r="FC68" s="881">
        <f t="shared" si="157"/>
        <v>0</v>
      </c>
      <c r="FD68" s="890">
        <f t="shared" si="158"/>
        <v>2.75</v>
      </c>
      <c r="FE68" s="833">
        <f t="shared" si="159"/>
        <v>2.75</v>
      </c>
      <c r="FF68" s="754" t="b">
        <f t="shared" si="160"/>
        <v>0</v>
      </c>
      <c r="FG68" s="754" t="b">
        <f t="shared" si="161"/>
        <v>0</v>
      </c>
      <c r="FH68" s="754" t="b">
        <f t="shared" si="162"/>
        <v>0</v>
      </c>
      <c r="FI68" s="754" t="b">
        <f t="shared" si="163"/>
        <v>0</v>
      </c>
      <c r="FJ68" s="920" t="str">
        <f t="shared" si="177"/>
        <v/>
      </c>
      <c r="FK68" s="919" t="str">
        <f t="shared" si="178"/>
        <v>G85</v>
      </c>
      <c r="FL68" s="320">
        <f t="shared" si="179"/>
        <v>666</v>
      </c>
      <c r="FM68" s="312" t="str">
        <f t="shared" si="164"/>
        <v/>
      </c>
      <c r="FN68" s="272">
        <f t="shared" ca="1" si="180"/>
        <v>96</v>
      </c>
      <c r="FO68" s="273">
        <f t="shared" ca="1" si="181"/>
        <v>5</v>
      </c>
      <c r="FP68" s="274">
        <f t="shared" ca="1" si="182"/>
        <v>96</v>
      </c>
      <c r="FQ68" s="274">
        <f t="shared" ca="1" si="183"/>
        <v>96</v>
      </c>
      <c r="FR68" s="321">
        <f t="shared" ca="1" si="184"/>
        <v>0</v>
      </c>
      <c r="FS68" s="322">
        <f t="shared" ca="1" si="185"/>
        <v>672</v>
      </c>
      <c r="FT68" s="272">
        <f t="shared" ca="1" si="186"/>
        <v>666</v>
      </c>
      <c r="FU68" s="275">
        <f t="shared" ca="1" si="187"/>
        <v>1</v>
      </c>
      <c r="FV68" s="323">
        <f t="shared" ca="1" si="165"/>
        <v>93</v>
      </c>
      <c r="FW68" s="276">
        <f t="shared" ca="1" si="188"/>
        <v>93</v>
      </c>
      <c r="FX68" s="276">
        <f t="shared" ca="1" si="189"/>
        <v>96</v>
      </c>
      <c r="FY68" s="276">
        <f t="shared" ca="1" si="190"/>
        <v>93</v>
      </c>
      <c r="FZ68" s="276">
        <f t="shared" ca="1" si="191"/>
        <v>93</v>
      </c>
      <c r="GA68" s="276">
        <f t="shared" ca="1" si="192"/>
        <v>666</v>
      </c>
      <c r="GB68" s="277">
        <f ca="1">IF(FY68="","",2+SUM(FO68:OFFSET(FO68,(FU68-1)*-1,0)))</f>
        <v>7</v>
      </c>
      <c r="GC68" s="316">
        <f t="shared" si="193"/>
        <v>-0.25</v>
      </c>
      <c r="GD68" s="324">
        <f t="shared" si="166"/>
        <v>1.75</v>
      </c>
      <c r="GE68" s="325">
        <f t="shared" si="167"/>
        <v>1.75</v>
      </c>
      <c r="GF68" s="278">
        <f t="shared" si="168"/>
        <v>12</v>
      </c>
      <c r="GG68" s="279">
        <f t="shared" si="169"/>
        <v>660</v>
      </c>
      <c r="GH68" s="279" t="str">
        <f t="shared" si="170"/>
        <v/>
      </c>
      <c r="GI68" s="280" t="str">
        <f t="shared" si="171"/>
        <v/>
      </c>
      <c r="GJ68" s="530">
        <f t="shared" ca="1" si="172"/>
        <v>0</v>
      </c>
      <c r="GK68" s="895" t="str">
        <f t="shared" ca="1" si="194"/>
        <v/>
      </c>
    </row>
    <row r="69" spans="78:193" ht="12.6" hidden="1" customHeight="1" x14ac:dyDescent="0.2">
      <c r="BZ69" s="293"/>
      <c r="CA69" s="293"/>
      <c r="CB69" s="365" t="str">
        <f t="shared" si="100"/>
        <v>G86</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1"/>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-7.5</v>
      </c>
      <c r="CR69" s="1306">
        <f>IF(CQ29="","",IF(VLOOKUP(CQ29,SectInfo!$B:$N,8,FALSE)="",$FC$4,(VLOOKUP(CQ29,SectInfo!$B:$N,8,FALSE))))</f>
        <v>5</v>
      </c>
      <c r="CS69" s="1306">
        <f>IF(CQ29="","",VLOOKUP(CQ29,SectInfo!$B:$N,9,FALSE))</f>
        <v>9</v>
      </c>
      <c r="CT69" s="1307">
        <f t="shared" si="102"/>
        <v>0</v>
      </c>
      <c r="CU69" s="1317">
        <f t="shared" si="103"/>
        <v>0</v>
      </c>
      <c r="CV69" s="1311">
        <f t="shared" si="104"/>
        <v>671.5</v>
      </c>
      <c r="CW69" s="1311">
        <f t="shared" si="105"/>
        <v>7.5</v>
      </c>
      <c r="CX69" s="1311">
        <f t="shared" si="106"/>
        <v>7.5</v>
      </c>
      <c r="CY69" s="1313">
        <f t="shared" si="107"/>
        <v>0</v>
      </c>
      <c r="CZ69" s="1313">
        <f t="shared" si="108"/>
        <v>9</v>
      </c>
      <c r="DA69" s="1313">
        <f t="shared" si="109"/>
        <v>9</v>
      </c>
      <c r="DB69" s="1311">
        <f t="shared" si="173"/>
        <v>8.75</v>
      </c>
      <c r="DC69" s="1311">
        <f t="shared" si="110"/>
        <v>2.75</v>
      </c>
      <c r="DD69" s="875">
        <f t="shared" si="174"/>
        <v>2.75</v>
      </c>
      <c r="DE69" s="873">
        <f t="shared" si="111"/>
        <v>0</v>
      </c>
      <c r="DF69" s="874">
        <f t="shared" si="112"/>
        <v>9</v>
      </c>
      <c r="DG69" s="874">
        <f t="shared" si="113"/>
        <v>9</v>
      </c>
      <c r="DH69" s="1311">
        <f t="shared" si="175"/>
        <v>8.75</v>
      </c>
      <c r="DI69" s="1311">
        <f t="shared" si="114"/>
        <v>2.75</v>
      </c>
      <c r="DJ69" s="1312">
        <f t="shared" si="176"/>
        <v>2.75</v>
      </c>
      <c r="DK69" s="1311">
        <f t="shared" si="115"/>
        <v>666</v>
      </c>
      <c r="DL69" s="1311">
        <f t="shared" si="116"/>
        <v>-7.5</v>
      </c>
      <c r="DM69" s="1311">
        <f t="shared" si="117"/>
        <v>7.25</v>
      </c>
      <c r="DN69" s="1311">
        <f t="shared" si="118"/>
        <v>7.25</v>
      </c>
      <c r="DO69" s="889">
        <f t="shared" si="119"/>
        <v>7.25</v>
      </c>
      <c r="DP69" s="889">
        <f t="shared" si="120"/>
        <v>7.25</v>
      </c>
      <c r="DQ69" s="1311">
        <f t="shared" si="121"/>
        <v>7.25</v>
      </c>
      <c r="DR69" s="1311">
        <f t="shared" si="121"/>
        <v>7.25</v>
      </c>
      <c r="DS69" s="1311">
        <f t="shared" si="122"/>
        <v>-7.5</v>
      </c>
      <c r="DT69" s="1311">
        <f t="shared" si="123"/>
        <v>7.25</v>
      </c>
      <c r="DU69" s="1311">
        <f t="shared" si="124"/>
        <v>7.25</v>
      </c>
      <c r="DV69" s="889">
        <f t="shared" si="125"/>
        <v>7.25</v>
      </c>
      <c r="DW69" s="889">
        <f t="shared" si="126"/>
        <v>7.25</v>
      </c>
      <c r="DX69" s="873">
        <f t="shared" si="127"/>
        <v>7.25</v>
      </c>
      <c r="DY69" s="873">
        <f t="shared" si="127"/>
        <v>7.25</v>
      </c>
      <c r="DZ69" s="873">
        <f t="shared" si="128"/>
        <v>7.75</v>
      </c>
      <c r="EA69" s="873">
        <f t="shared" si="129"/>
        <v>7.75</v>
      </c>
      <c r="EB69" s="876">
        <f t="shared" si="130"/>
        <v>5</v>
      </c>
      <c r="EC69" s="877">
        <f t="shared" si="131"/>
        <v>5</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f t="shared" si="143"/>
        <v>0</v>
      </c>
      <c r="EP69" s="874">
        <f t="shared" si="144"/>
        <v>0</v>
      </c>
      <c r="EQ69" s="874">
        <f t="shared" si="145"/>
        <v>0</v>
      </c>
      <c r="ER69" s="874">
        <f t="shared" si="146"/>
        <v>0</v>
      </c>
      <c r="ES69" s="874" t="str">
        <f t="shared" si="147"/>
        <v/>
      </c>
      <c r="ET69" s="873">
        <f t="shared" si="148"/>
        <v>0</v>
      </c>
      <c r="EU69" s="873">
        <f t="shared" si="149"/>
        <v>0</v>
      </c>
      <c r="EV69" s="876">
        <f t="shared" si="150"/>
        <v>6</v>
      </c>
      <c r="EW69" s="876">
        <f t="shared" si="151"/>
        <v>6</v>
      </c>
      <c r="EX69" s="878" t="e">
        <f t="shared" si="152"/>
        <v>#VALUE!</v>
      </c>
      <c r="EY69" s="879" t="e">
        <f t="shared" si="153"/>
        <v>#VALUE!</v>
      </c>
      <c r="EZ69" s="959" t="e">
        <f t="shared" si="154"/>
        <v>#VALUE!</v>
      </c>
      <c r="FA69" s="960" t="e">
        <f t="shared" si="155"/>
        <v>#VALUE!</v>
      </c>
      <c r="FB69" s="880">
        <f t="shared" si="156"/>
        <v>0</v>
      </c>
      <c r="FC69" s="881">
        <f t="shared" si="157"/>
        <v>0</v>
      </c>
      <c r="FD69" s="890">
        <f t="shared" si="158"/>
        <v>2.75</v>
      </c>
      <c r="FE69" s="833">
        <f t="shared" si="159"/>
        <v>2.75</v>
      </c>
      <c r="FF69" s="754" t="b">
        <f t="shared" si="160"/>
        <v>0</v>
      </c>
      <c r="FG69" s="754" t="b">
        <f t="shared" si="161"/>
        <v>0</v>
      </c>
      <c r="FH69" s="754" t="b">
        <f t="shared" si="162"/>
        <v>0</v>
      </c>
      <c r="FI69" s="754" t="b">
        <f t="shared" si="163"/>
        <v>0</v>
      </c>
      <c r="FJ69" s="920" t="str">
        <f t="shared" si="177"/>
        <v/>
      </c>
      <c r="FK69" s="919" t="str">
        <f t="shared" si="178"/>
        <v>G86</v>
      </c>
      <c r="FL69" s="320">
        <f t="shared" si="179"/>
        <v>666</v>
      </c>
      <c r="FM69" s="312" t="str">
        <f t="shared" si="164"/>
        <v/>
      </c>
      <c r="FN69" s="272">
        <f t="shared" ca="1" si="180"/>
        <v>96</v>
      </c>
      <c r="FO69" s="273">
        <f t="shared" ca="1" si="181"/>
        <v>5</v>
      </c>
      <c r="FP69" s="274">
        <f t="shared" ca="1" si="182"/>
        <v>96</v>
      </c>
      <c r="FQ69" s="274">
        <f t="shared" ca="1" si="183"/>
        <v>96</v>
      </c>
      <c r="FR69" s="321">
        <f t="shared" ca="1" si="184"/>
        <v>0</v>
      </c>
      <c r="FS69" s="322">
        <f t="shared" ca="1" si="185"/>
        <v>672</v>
      </c>
      <c r="FT69" s="272">
        <f t="shared" ca="1" si="186"/>
        <v>666</v>
      </c>
      <c r="FU69" s="275">
        <f t="shared" ca="1" si="187"/>
        <v>1</v>
      </c>
      <c r="FV69" s="323">
        <f t="shared" ca="1" si="165"/>
        <v>93</v>
      </c>
      <c r="FW69" s="276">
        <f t="shared" ca="1" si="188"/>
        <v>93</v>
      </c>
      <c r="FX69" s="276">
        <f t="shared" ca="1" si="189"/>
        <v>96</v>
      </c>
      <c r="FY69" s="276">
        <f t="shared" ca="1" si="190"/>
        <v>93</v>
      </c>
      <c r="FZ69" s="276">
        <f t="shared" ca="1" si="191"/>
        <v>93</v>
      </c>
      <c r="GA69" s="276">
        <f t="shared" ca="1" si="192"/>
        <v>666</v>
      </c>
      <c r="GB69" s="277">
        <f ca="1">IF(FY69="","",2+SUM(FO69:OFFSET(FO69,(FU69-1)*-1,0)))</f>
        <v>7</v>
      </c>
      <c r="GC69" s="316">
        <f t="shared" si="193"/>
        <v>-0.25</v>
      </c>
      <c r="GD69" s="324">
        <f t="shared" si="166"/>
        <v>1.75</v>
      </c>
      <c r="GE69" s="325">
        <f t="shared" si="167"/>
        <v>1.75</v>
      </c>
      <c r="GF69" s="278">
        <f t="shared" si="168"/>
        <v>12</v>
      </c>
      <c r="GG69" s="279">
        <f t="shared" si="169"/>
        <v>660</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G87</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1"/>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2"/>
        <v>0</v>
      </c>
      <c r="CU70" s="1317">
        <f t="shared" si="103"/>
        <v>0</v>
      </c>
      <c r="CV70" s="1311">
        <f t="shared" si="104"/>
        <v>671.5</v>
      </c>
      <c r="CW70" s="1311">
        <f t="shared" si="105"/>
        <v>7.5</v>
      </c>
      <c r="CX70" s="1311">
        <f t="shared" si="106"/>
        <v>7.5</v>
      </c>
      <c r="CY70" s="1313">
        <f t="shared" si="107"/>
        <v>0</v>
      </c>
      <c r="CZ70" s="1313">
        <f t="shared" si="108"/>
        <v>9</v>
      </c>
      <c r="DA70" s="1313">
        <f t="shared" si="109"/>
        <v>9</v>
      </c>
      <c r="DB70" s="1311">
        <f t="shared" si="173"/>
        <v>8.75</v>
      </c>
      <c r="DC70" s="1311">
        <f t="shared" si="110"/>
        <v>2.75</v>
      </c>
      <c r="DD70" s="875">
        <f t="shared" si="174"/>
        <v>2.75</v>
      </c>
      <c r="DE70" s="873">
        <f t="shared" si="111"/>
        <v>0</v>
      </c>
      <c r="DF70" s="874">
        <f t="shared" si="112"/>
        <v>9</v>
      </c>
      <c r="DG70" s="874">
        <f t="shared" si="113"/>
        <v>9</v>
      </c>
      <c r="DH70" s="1311">
        <f t="shared" si="175"/>
        <v>8.75</v>
      </c>
      <c r="DI70" s="1311">
        <f t="shared" si="114"/>
        <v>2.75</v>
      </c>
      <c r="DJ70" s="1312">
        <f t="shared" si="176"/>
        <v>2.75</v>
      </c>
      <c r="DK70" s="1311">
        <f t="shared" si="115"/>
        <v>666</v>
      </c>
      <c r="DL70" s="1311">
        <f t="shared" si="116"/>
        <v>-7.5</v>
      </c>
      <c r="DM70" s="1311">
        <f t="shared" si="117"/>
        <v>7.25</v>
      </c>
      <c r="DN70" s="1311">
        <f t="shared" si="118"/>
        <v>7.25</v>
      </c>
      <c r="DO70" s="889">
        <f t="shared" si="119"/>
        <v>7.25</v>
      </c>
      <c r="DP70" s="889">
        <f t="shared" si="120"/>
        <v>7.25</v>
      </c>
      <c r="DQ70" s="1311">
        <f t="shared" si="121"/>
        <v>7.25</v>
      </c>
      <c r="DR70" s="1311">
        <f t="shared" si="121"/>
        <v>7.25</v>
      </c>
      <c r="DS70" s="1311">
        <f t="shared" si="122"/>
        <v>-7.5</v>
      </c>
      <c r="DT70" s="1311">
        <f t="shared" si="123"/>
        <v>7.25</v>
      </c>
      <c r="DU70" s="1311">
        <f t="shared" si="124"/>
        <v>7.25</v>
      </c>
      <c r="DV70" s="889">
        <f t="shared" si="125"/>
        <v>7.25</v>
      </c>
      <c r="DW70" s="889">
        <f t="shared" si="126"/>
        <v>7.25</v>
      </c>
      <c r="DX70" s="873">
        <f t="shared" si="127"/>
        <v>7.25</v>
      </c>
      <c r="DY70" s="873">
        <f t="shared" si="127"/>
        <v>7.25</v>
      </c>
      <c r="DZ70" s="873">
        <f t="shared" si="128"/>
        <v>7.75</v>
      </c>
      <c r="EA70" s="873">
        <f t="shared" si="129"/>
        <v>7.75</v>
      </c>
      <c r="EB70" s="876">
        <f t="shared" si="130"/>
        <v>5</v>
      </c>
      <c r="EC70" s="877">
        <f t="shared" si="131"/>
        <v>5</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f t="shared" si="143"/>
        <v>0</v>
      </c>
      <c r="EP70" s="874">
        <f t="shared" si="144"/>
        <v>0</v>
      </c>
      <c r="EQ70" s="874">
        <f t="shared" si="145"/>
        <v>0</v>
      </c>
      <c r="ER70" s="874">
        <f t="shared" si="146"/>
        <v>0</v>
      </c>
      <c r="ES70" s="874" t="str">
        <f t="shared" si="147"/>
        <v/>
      </c>
      <c r="ET70" s="873">
        <f t="shared" si="148"/>
        <v>0</v>
      </c>
      <c r="EU70" s="873">
        <f t="shared" si="149"/>
        <v>0</v>
      </c>
      <c r="EV70" s="876">
        <f t="shared" si="150"/>
        <v>6</v>
      </c>
      <c r="EW70" s="876">
        <f t="shared" si="151"/>
        <v>6</v>
      </c>
      <c r="EX70" s="878" t="e">
        <f t="shared" si="152"/>
        <v>#VALUE!</v>
      </c>
      <c r="EY70" s="879" t="e">
        <f t="shared" si="153"/>
        <v>#VALUE!</v>
      </c>
      <c r="EZ70" s="959" t="e">
        <f t="shared" si="154"/>
        <v>#VALUE!</v>
      </c>
      <c r="FA70" s="960" t="e">
        <f t="shared" si="155"/>
        <v>#VALUE!</v>
      </c>
      <c r="FB70" s="880">
        <f t="shared" si="156"/>
        <v>0</v>
      </c>
      <c r="FC70" s="881">
        <f t="shared" si="157"/>
        <v>0</v>
      </c>
      <c r="FD70" s="890">
        <f t="shared" si="158"/>
        <v>2.75</v>
      </c>
      <c r="FE70" s="833">
        <f t="shared" si="159"/>
        <v>2.75</v>
      </c>
      <c r="FF70" s="755" t="b">
        <f t="shared" si="160"/>
        <v>0</v>
      </c>
      <c r="FG70" s="755" t="b">
        <f t="shared" si="161"/>
        <v>0</v>
      </c>
      <c r="FH70" s="755" t="b">
        <f t="shared" si="162"/>
        <v>0</v>
      </c>
      <c r="FI70" s="755" t="b">
        <f t="shared" si="163"/>
        <v>0</v>
      </c>
      <c r="FJ70" s="920" t="str">
        <f t="shared" si="177"/>
        <v/>
      </c>
      <c r="FK70" s="919" t="str">
        <f t="shared" si="178"/>
        <v>G87</v>
      </c>
      <c r="FL70" s="320">
        <f t="shared" si="179"/>
        <v>666</v>
      </c>
      <c r="FM70" s="312" t="str">
        <f t="shared" si="164"/>
        <v/>
      </c>
      <c r="FN70" s="272">
        <f t="shared" ca="1" si="180"/>
        <v>96</v>
      </c>
      <c r="FO70" s="273">
        <f t="shared" ca="1" si="181"/>
        <v>5</v>
      </c>
      <c r="FP70" s="274">
        <f t="shared" ca="1" si="182"/>
        <v>96</v>
      </c>
      <c r="FQ70" s="274">
        <f t="shared" ca="1" si="183"/>
        <v>96</v>
      </c>
      <c r="FR70" s="321">
        <f t="shared" ca="1" si="184"/>
        <v>0</v>
      </c>
      <c r="FS70" s="322">
        <f t="shared" ca="1" si="185"/>
        <v>672</v>
      </c>
      <c r="FT70" s="272">
        <f t="shared" ca="1" si="186"/>
        <v>666</v>
      </c>
      <c r="FU70" s="275">
        <f t="shared" ca="1" si="187"/>
        <v>1</v>
      </c>
      <c r="FV70" s="323">
        <f t="shared" ca="1" si="165"/>
        <v>93</v>
      </c>
      <c r="FW70" s="276">
        <f t="shared" ca="1" si="188"/>
        <v>93</v>
      </c>
      <c r="FX70" s="276">
        <f t="shared" ca="1" si="189"/>
        <v>96</v>
      </c>
      <c r="FY70" s="276">
        <f t="shared" ca="1" si="190"/>
        <v>93</v>
      </c>
      <c r="FZ70" s="276">
        <f t="shared" ca="1" si="191"/>
        <v>93</v>
      </c>
      <c r="GA70" s="276">
        <f t="shared" ca="1" si="192"/>
        <v>666</v>
      </c>
      <c r="GB70" s="277">
        <f ca="1">IF(FY70="","",2+SUM(FO70:OFFSET(FO70,(FU70-1)*-1,0)))</f>
        <v>7</v>
      </c>
      <c r="GC70" s="316">
        <f t="shared" si="193"/>
        <v>-0.25</v>
      </c>
      <c r="GD70" s="324">
        <f t="shared" si="166"/>
        <v>1.75</v>
      </c>
      <c r="GE70" s="325">
        <f t="shared" si="167"/>
        <v>1.75</v>
      </c>
      <c r="GF70" s="278">
        <f t="shared" si="168"/>
        <v>12</v>
      </c>
      <c r="GG70" s="279">
        <f t="shared" si="169"/>
        <v>660</v>
      </c>
      <c r="GH70" s="279" t="str">
        <f t="shared" si="170"/>
        <v/>
      </c>
      <c r="GI70" s="280" t="str">
        <f t="shared" si="171"/>
        <v/>
      </c>
      <c r="GJ70" s="530">
        <f t="shared" ca="1" si="172"/>
        <v>0</v>
      </c>
      <c r="GK70" s="895" t="str">
        <f t="shared" ca="1" si="194"/>
        <v/>
      </c>
    </row>
    <row r="71" spans="78:193" ht="12.6" hidden="1" customHeight="1" x14ac:dyDescent="0.2">
      <c r="BZ71" s="293"/>
      <c r="CA71" s="293"/>
      <c r="CB71" s="365" t="str">
        <f t="shared" si="100"/>
        <v>G88</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1"/>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2"/>
        <v>0</v>
      </c>
      <c r="CU71" s="1317">
        <f t="shared" si="103"/>
        <v>0</v>
      </c>
      <c r="CV71" s="1311">
        <f t="shared" si="104"/>
        <v>671.5</v>
      </c>
      <c r="CW71" s="1311">
        <f t="shared" si="105"/>
        <v>7.5</v>
      </c>
      <c r="CX71" s="1311">
        <f t="shared" si="106"/>
        <v>7.5</v>
      </c>
      <c r="CY71" s="1313">
        <f t="shared" si="107"/>
        <v>0</v>
      </c>
      <c r="CZ71" s="1313">
        <f t="shared" si="108"/>
        <v>9</v>
      </c>
      <c r="DA71" s="1313">
        <f t="shared" si="109"/>
        <v>9</v>
      </c>
      <c r="DB71" s="1311">
        <f t="shared" si="173"/>
        <v>8.75</v>
      </c>
      <c r="DC71" s="1311">
        <f t="shared" si="110"/>
        <v>2.75</v>
      </c>
      <c r="DD71" s="875">
        <f t="shared" si="174"/>
        <v>2.75</v>
      </c>
      <c r="DE71" s="873">
        <f t="shared" si="111"/>
        <v>0</v>
      </c>
      <c r="DF71" s="874">
        <f t="shared" si="112"/>
        <v>9</v>
      </c>
      <c r="DG71" s="874">
        <f t="shared" si="113"/>
        <v>9</v>
      </c>
      <c r="DH71" s="1311">
        <f t="shared" si="175"/>
        <v>8.75</v>
      </c>
      <c r="DI71" s="1311">
        <f t="shared" si="114"/>
        <v>2.75</v>
      </c>
      <c r="DJ71" s="1312">
        <f t="shared" si="176"/>
        <v>2.75</v>
      </c>
      <c r="DK71" s="1311">
        <f t="shared" si="115"/>
        <v>666</v>
      </c>
      <c r="DL71" s="1311">
        <f t="shared" si="116"/>
        <v>-7.5</v>
      </c>
      <c r="DM71" s="1311">
        <f t="shared" si="117"/>
        <v>7.25</v>
      </c>
      <c r="DN71" s="1311">
        <f t="shared" si="118"/>
        <v>7.25</v>
      </c>
      <c r="DO71" s="889">
        <f t="shared" si="119"/>
        <v>7.25</v>
      </c>
      <c r="DP71" s="889">
        <f t="shared" si="120"/>
        <v>7.25</v>
      </c>
      <c r="DQ71" s="1311">
        <f t="shared" si="121"/>
        <v>7.25</v>
      </c>
      <c r="DR71" s="1311">
        <f t="shared" si="121"/>
        <v>7.25</v>
      </c>
      <c r="DS71" s="1311">
        <f t="shared" si="122"/>
        <v>-7.5</v>
      </c>
      <c r="DT71" s="1311">
        <f t="shared" si="123"/>
        <v>7.25</v>
      </c>
      <c r="DU71" s="1311">
        <f t="shared" si="124"/>
        <v>7.25</v>
      </c>
      <c r="DV71" s="889">
        <f t="shared" si="125"/>
        <v>7.25</v>
      </c>
      <c r="DW71" s="889">
        <f t="shared" si="126"/>
        <v>7.25</v>
      </c>
      <c r="DX71" s="873">
        <f t="shared" si="127"/>
        <v>7.25</v>
      </c>
      <c r="DY71" s="873">
        <f t="shared" si="127"/>
        <v>7.25</v>
      </c>
      <c r="DZ71" s="873">
        <f t="shared" si="128"/>
        <v>7.75</v>
      </c>
      <c r="EA71" s="873">
        <f t="shared" si="129"/>
        <v>7.75</v>
      </c>
      <c r="EB71" s="876">
        <f t="shared" si="130"/>
        <v>5</v>
      </c>
      <c r="EC71" s="877">
        <f t="shared" si="131"/>
        <v>5</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f t="shared" si="143"/>
        <v>0</v>
      </c>
      <c r="EP71" s="874">
        <f t="shared" si="144"/>
        <v>0</v>
      </c>
      <c r="EQ71" s="874">
        <f t="shared" si="145"/>
        <v>0</v>
      </c>
      <c r="ER71" s="874">
        <f t="shared" si="146"/>
        <v>0</v>
      </c>
      <c r="ES71" s="874" t="str">
        <f t="shared" si="147"/>
        <v/>
      </c>
      <c r="ET71" s="873">
        <f t="shared" si="148"/>
        <v>0</v>
      </c>
      <c r="EU71" s="873">
        <f t="shared" si="149"/>
        <v>0</v>
      </c>
      <c r="EV71" s="876">
        <f t="shared" si="150"/>
        <v>6</v>
      </c>
      <c r="EW71" s="876">
        <f t="shared" si="151"/>
        <v>6</v>
      </c>
      <c r="EX71" s="878" t="e">
        <f t="shared" si="152"/>
        <v>#VALUE!</v>
      </c>
      <c r="EY71" s="879" t="e">
        <f t="shared" si="153"/>
        <v>#VALUE!</v>
      </c>
      <c r="EZ71" s="959" t="e">
        <f t="shared" si="154"/>
        <v>#VALUE!</v>
      </c>
      <c r="FA71" s="960" t="e">
        <f t="shared" si="155"/>
        <v>#VALUE!</v>
      </c>
      <c r="FB71" s="880">
        <f t="shared" si="156"/>
        <v>0</v>
      </c>
      <c r="FC71" s="881">
        <f t="shared" si="157"/>
        <v>0</v>
      </c>
      <c r="FD71" s="890">
        <f t="shared" si="158"/>
        <v>2.75</v>
      </c>
      <c r="FE71" s="833">
        <f t="shared" si="159"/>
        <v>2.75</v>
      </c>
      <c r="FF71" s="755" t="b">
        <f t="shared" si="160"/>
        <v>0</v>
      </c>
      <c r="FG71" s="755" t="b">
        <f t="shared" si="161"/>
        <v>0</v>
      </c>
      <c r="FH71" s="755" t="b">
        <f t="shared" si="162"/>
        <v>0</v>
      </c>
      <c r="FI71" s="755" t="b">
        <f t="shared" si="163"/>
        <v>0</v>
      </c>
      <c r="FJ71" s="920" t="str">
        <f t="shared" si="177"/>
        <v/>
      </c>
      <c r="FK71" s="919" t="str">
        <f t="shared" si="178"/>
        <v>G88</v>
      </c>
      <c r="FL71" s="320">
        <f t="shared" si="179"/>
        <v>666</v>
      </c>
      <c r="FM71" s="312" t="str">
        <f t="shared" si="164"/>
        <v/>
      </c>
      <c r="FN71" s="272">
        <f t="shared" ca="1" si="180"/>
        <v>96</v>
      </c>
      <c r="FO71" s="273">
        <f t="shared" ca="1" si="181"/>
        <v>5</v>
      </c>
      <c r="FP71" s="274">
        <f t="shared" ca="1" si="182"/>
        <v>96</v>
      </c>
      <c r="FQ71" s="274">
        <f t="shared" ca="1" si="183"/>
        <v>96</v>
      </c>
      <c r="FR71" s="321">
        <f t="shared" ca="1" si="184"/>
        <v>0</v>
      </c>
      <c r="FS71" s="322">
        <f t="shared" ca="1" si="185"/>
        <v>672</v>
      </c>
      <c r="FT71" s="272">
        <f t="shared" ca="1" si="186"/>
        <v>666</v>
      </c>
      <c r="FU71" s="275">
        <f t="shared" ca="1" si="187"/>
        <v>1</v>
      </c>
      <c r="FV71" s="323">
        <f t="shared" ca="1" si="165"/>
        <v>93</v>
      </c>
      <c r="FW71" s="276">
        <f t="shared" ca="1" si="188"/>
        <v>93</v>
      </c>
      <c r="FX71" s="276">
        <f t="shared" ca="1" si="189"/>
        <v>96</v>
      </c>
      <c r="FY71" s="276">
        <f t="shared" ca="1" si="190"/>
        <v>93</v>
      </c>
      <c r="FZ71" s="276">
        <f t="shared" ca="1" si="191"/>
        <v>93</v>
      </c>
      <c r="GA71" s="276">
        <f t="shared" ca="1" si="192"/>
        <v>666</v>
      </c>
      <c r="GB71" s="277">
        <f ca="1">IF(FY71="","",2+SUM(FO71:OFFSET(FO71,(FU71-1)*-1,0)))</f>
        <v>7</v>
      </c>
      <c r="GC71" s="316">
        <f t="shared" si="193"/>
        <v>-0.25</v>
      </c>
      <c r="GD71" s="324">
        <f t="shared" si="166"/>
        <v>1.75</v>
      </c>
      <c r="GE71" s="325">
        <f t="shared" si="167"/>
        <v>1.75</v>
      </c>
      <c r="GF71" s="278">
        <f t="shared" si="168"/>
        <v>12</v>
      </c>
      <c r="GG71" s="279">
        <f t="shared" si="169"/>
        <v>660</v>
      </c>
      <c r="GH71" s="279" t="str">
        <f t="shared" si="170"/>
        <v/>
      </c>
      <c r="GI71" s="280" t="str">
        <f t="shared" si="171"/>
        <v/>
      </c>
      <c r="GJ71" s="530">
        <f t="shared" ca="1" si="172"/>
        <v>0</v>
      </c>
      <c r="GK71" s="895" t="str">
        <f t="shared" ca="1" si="194"/>
        <v/>
      </c>
    </row>
    <row r="72" spans="78:193" ht="12.6" hidden="1" customHeight="1" x14ac:dyDescent="0.2">
      <c r="BZ72" s="293"/>
      <c r="CA72" s="293"/>
      <c r="CB72" s="365" t="str">
        <f t="shared" si="100"/>
        <v>G89</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1"/>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2"/>
        <v>0</v>
      </c>
      <c r="CU72" s="1317">
        <f t="shared" si="103"/>
        <v>0</v>
      </c>
      <c r="CV72" s="1311">
        <f t="shared" si="104"/>
        <v>719.5</v>
      </c>
      <c r="CW72" s="1311">
        <f t="shared" si="105"/>
        <v>7.5</v>
      </c>
      <c r="CX72" s="1311">
        <f t="shared" si="106"/>
        <v>7.5</v>
      </c>
      <c r="CY72" s="1313">
        <f t="shared" si="107"/>
        <v>0</v>
      </c>
      <c r="CZ72" s="1313">
        <f t="shared" si="108"/>
        <v>9</v>
      </c>
      <c r="DA72" s="1313">
        <f t="shared" si="109"/>
        <v>9</v>
      </c>
      <c r="DB72" s="1311">
        <f t="shared" si="173"/>
        <v>8.75</v>
      </c>
      <c r="DC72" s="1311">
        <f t="shared" si="110"/>
        <v>2.75</v>
      </c>
      <c r="DD72" s="875">
        <f t="shared" si="174"/>
        <v>2.75</v>
      </c>
      <c r="DE72" s="873">
        <f t="shared" si="111"/>
        <v>0</v>
      </c>
      <c r="DF72" s="874">
        <f t="shared" si="112"/>
        <v>9</v>
      </c>
      <c r="DG72" s="874">
        <f t="shared" si="113"/>
        <v>9</v>
      </c>
      <c r="DH72" s="1311">
        <f t="shared" si="175"/>
        <v>8.75</v>
      </c>
      <c r="DI72" s="1311">
        <f t="shared" si="114"/>
        <v>2.75</v>
      </c>
      <c r="DJ72" s="1312">
        <f t="shared" si="176"/>
        <v>2.75</v>
      </c>
      <c r="DK72" s="1311">
        <f t="shared" si="115"/>
        <v>714</v>
      </c>
      <c r="DL72" s="1311">
        <f t="shared" si="116"/>
        <v>-7.5</v>
      </c>
      <c r="DM72" s="1311">
        <f t="shared" si="117"/>
        <v>7.25</v>
      </c>
      <c r="DN72" s="1311">
        <f t="shared" si="118"/>
        <v>7.25</v>
      </c>
      <c r="DO72" s="889">
        <f t="shared" si="119"/>
        <v>7.25</v>
      </c>
      <c r="DP72" s="889">
        <f t="shared" si="120"/>
        <v>7.25</v>
      </c>
      <c r="DQ72" s="1311">
        <f t="shared" si="121"/>
        <v>7.25</v>
      </c>
      <c r="DR72" s="1311">
        <f t="shared" si="121"/>
        <v>7.25</v>
      </c>
      <c r="DS72" s="1311">
        <f t="shared" si="122"/>
        <v>-7.5</v>
      </c>
      <c r="DT72" s="1311">
        <f t="shared" si="123"/>
        <v>7.25</v>
      </c>
      <c r="DU72" s="1311">
        <f t="shared" si="124"/>
        <v>7.25</v>
      </c>
      <c r="DV72" s="889">
        <f t="shared" si="125"/>
        <v>7.25</v>
      </c>
      <c r="DW72" s="889">
        <f t="shared" si="126"/>
        <v>7.25</v>
      </c>
      <c r="DX72" s="873">
        <f t="shared" si="127"/>
        <v>7.25</v>
      </c>
      <c r="DY72" s="873">
        <f t="shared" si="127"/>
        <v>7.25</v>
      </c>
      <c r="DZ72" s="873">
        <f t="shared" si="128"/>
        <v>7.75</v>
      </c>
      <c r="EA72" s="873">
        <f t="shared" si="129"/>
        <v>7.75</v>
      </c>
      <c r="EB72" s="876">
        <f t="shared" si="130"/>
        <v>5</v>
      </c>
      <c r="EC72" s="877">
        <f t="shared" si="131"/>
        <v>5</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f t="shared" si="143"/>
        <v>0</v>
      </c>
      <c r="EP72" s="874">
        <f t="shared" si="144"/>
        <v>0</v>
      </c>
      <c r="EQ72" s="874">
        <f t="shared" si="145"/>
        <v>0</v>
      </c>
      <c r="ER72" s="874">
        <f t="shared" si="146"/>
        <v>0</v>
      </c>
      <c r="ES72" s="874" t="str">
        <f t="shared" si="147"/>
        <v/>
      </c>
      <c r="ET72" s="873">
        <f t="shared" si="148"/>
        <v>0</v>
      </c>
      <c r="EU72" s="873">
        <f t="shared" si="149"/>
        <v>0</v>
      </c>
      <c r="EV72" s="876">
        <f t="shared" si="150"/>
        <v>6</v>
      </c>
      <c r="EW72" s="876">
        <f t="shared" si="151"/>
        <v>6</v>
      </c>
      <c r="EX72" s="878" t="e">
        <f t="shared" si="152"/>
        <v>#VALUE!</v>
      </c>
      <c r="EY72" s="879" t="e">
        <f t="shared" si="153"/>
        <v>#VALUE!</v>
      </c>
      <c r="EZ72" s="959" t="e">
        <f t="shared" si="154"/>
        <v>#VALUE!</v>
      </c>
      <c r="FA72" s="960" t="e">
        <f t="shared" si="155"/>
        <v>#VALUE!</v>
      </c>
      <c r="FB72" s="880">
        <f t="shared" si="156"/>
        <v>0</v>
      </c>
      <c r="FC72" s="881">
        <f t="shared" si="157"/>
        <v>0</v>
      </c>
      <c r="FD72" s="890">
        <f t="shared" si="158"/>
        <v>2.75</v>
      </c>
      <c r="FE72" s="833">
        <f t="shared" si="159"/>
        <v>2.75</v>
      </c>
      <c r="FF72" s="754" t="b">
        <f t="shared" si="160"/>
        <v>0</v>
      </c>
      <c r="FG72" s="754" t="b">
        <f t="shared" si="161"/>
        <v>0</v>
      </c>
      <c r="FH72" s="754" t="b">
        <f t="shared" si="162"/>
        <v>0</v>
      </c>
      <c r="FI72" s="754" t="b">
        <f t="shared" si="163"/>
        <v>0</v>
      </c>
      <c r="FJ72" s="920" t="str">
        <f t="shared" si="177"/>
        <v/>
      </c>
      <c r="FK72" s="919" t="str">
        <f t="shared" si="178"/>
        <v>G89</v>
      </c>
      <c r="FL72" s="320">
        <f t="shared" si="179"/>
        <v>714</v>
      </c>
      <c r="FM72" s="312" t="str">
        <f t="shared" si="164"/>
        <v/>
      </c>
      <c r="FN72" s="272">
        <f t="shared" ca="1" si="180"/>
        <v>96</v>
      </c>
      <c r="FO72" s="273">
        <f t="shared" ca="1" si="181"/>
        <v>6</v>
      </c>
      <c r="FP72" s="274">
        <f t="shared" ca="1" si="182"/>
        <v>96</v>
      </c>
      <c r="FQ72" s="274">
        <f t="shared" ca="1" si="183"/>
        <v>48</v>
      </c>
      <c r="FR72" s="321">
        <f t="shared" ca="1" si="184"/>
        <v>0</v>
      </c>
      <c r="FS72" s="322">
        <f t="shared" ca="1" si="185"/>
        <v>720</v>
      </c>
      <c r="FT72" s="272">
        <f t="shared" ca="1" si="186"/>
        <v>714</v>
      </c>
      <c r="FU72" s="275">
        <f t="shared" ca="1" si="187"/>
        <v>1</v>
      </c>
      <c r="FV72" s="323">
        <f t="shared" ca="1" si="165"/>
        <v>93</v>
      </c>
      <c r="FW72" s="276">
        <f t="shared" ca="1" si="188"/>
        <v>93</v>
      </c>
      <c r="FX72" s="276">
        <f t="shared" ca="1" si="189"/>
        <v>96</v>
      </c>
      <c r="FY72" s="276">
        <f t="shared" ca="1" si="190"/>
        <v>45</v>
      </c>
      <c r="FZ72" s="276">
        <f t="shared" ca="1" si="191"/>
        <v>45</v>
      </c>
      <c r="GA72" s="276">
        <f t="shared" ca="1" si="192"/>
        <v>714</v>
      </c>
      <c r="GB72" s="277">
        <f ca="1">IF(FY72="","",2+SUM(FO72:OFFSET(FO72,(FU72-1)*-1,0)))</f>
        <v>8</v>
      </c>
      <c r="GC72" s="316">
        <f t="shared" si="193"/>
        <v>-0.25</v>
      </c>
      <c r="GD72" s="324">
        <f t="shared" si="166"/>
        <v>1.75</v>
      </c>
      <c r="GE72" s="325" t="str">
        <f t="shared" si="167"/>
        <v/>
      </c>
      <c r="GF72" s="278" t="str">
        <f t="shared" si="168"/>
        <v>#7</v>
      </c>
      <c r="GG72" s="279">
        <f t="shared" si="169"/>
        <v>12</v>
      </c>
      <c r="GH72" s="279" t="str">
        <f t="shared" si="170"/>
        <v/>
      </c>
      <c r="GI72" s="280" t="str">
        <f t="shared" si="171"/>
        <v/>
      </c>
      <c r="GJ72" s="530">
        <f t="shared" ca="1" si="172"/>
        <v>0</v>
      </c>
      <c r="GK72" s="895" t="str">
        <f t="shared" ca="1" si="194"/>
        <v>B</v>
      </c>
    </row>
    <row r="73" spans="78:193" ht="12.6" hidden="1" customHeight="1" x14ac:dyDescent="0.2">
      <c r="BZ73" s="293"/>
      <c r="CA73" s="293"/>
      <c r="CB73" s="365" t="str">
        <f t="shared" si="100"/>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1"/>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2"/>
        <v>0</v>
      </c>
      <c r="CU73" s="1317">
        <f t="shared" si="103"/>
        <v>0</v>
      </c>
      <c r="CV73" s="1311" t="str">
        <f t="shared" si="104"/>
        <v/>
      </c>
      <c r="CW73" s="1311" t="str">
        <f t="shared" si="105"/>
        <v/>
      </c>
      <c r="CX73" s="1311" t="str">
        <f t="shared" si="106"/>
        <v/>
      </c>
      <c r="CY73" s="1313">
        <f t="shared" si="107"/>
        <v>0</v>
      </c>
      <c r="CZ73" s="1313">
        <f t="shared" si="108"/>
        <v>0</v>
      </c>
      <c r="DA73" s="1313" t="str">
        <f t="shared" si="109"/>
        <v/>
      </c>
      <c r="DB73" s="1311" t="str">
        <f t="shared" si="173"/>
        <v/>
      </c>
      <c r="DC73" s="1311" t="str">
        <f t="shared" si="110"/>
        <v/>
      </c>
      <c r="DD73" s="875">
        <f t="shared" si="174"/>
        <v>0</v>
      </c>
      <c r="DE73" s="873">
        <f t="shared" si="111"/>
        <v>0</v>
      </c>
      <c r="DF73" s="874">
        <f t="shared" si="112"/>
        <v>0</v>
      </c>
      <c r="DG73" s="874" t="str">
        <f t="shared" si="113"/>
        <v/>
      </c>
      <c r="DH73" s="1311" t="str">
        <f t="shared" si="175"/>
        <v/>
      </c>
      <c r="DI73" s="1311" t="str">
        <f t="shared" si="114"/>
        <v/>
      </c>
      <c r="DJ73" s="1312">
        <f t="shared" si="176"/>
        <v>0</v>
      </c>
      <c r="DK73" s="1311" t="str">
        <f t="shared" si="115"/>
        <v/>
      </c>
      <c r="DL73" s="1311" t="str">
        <f t="shared" si="116"/>
        <v/>
      </c>
      <c r="DM73" s="1311" t="str">
        <f t="shared" si="117"/>
        <v/>
      </c>
      <c r="DN73" s="1311" t="str">
        <f t="shared" si="118"/>
        <v/>
      </c>
      <c r="DO73" s="889" t="str">
        <f t="shared" si="119"/>
        <v>ERR</v>
      </c>
      <c r="DP73" s="889" t="str">
        <f t="shared" si="120"/>
        <v>ERR</v>
      </c>
      <c r="DQ73" s="1311" t="str">
        <f t="shared" si="121"/>
        <v/>
      </c>
      <c r="DR73" s="1311" t="str">
        <f t="shared" si="121"/>
        <v/>
      </c>
      <c r="DS73" s="1311" t="str">
        <f t="shared" si="122"/>
        <v/>
      </c>
      <c r="DT73" s="1311" t="str">
        <f t="shared" si="123"/>
        <v/>
      </c>
      <c r="DU73" s="1311" t="str">
        <f t="shared" si="124"/>
        <v/>
      </c>
      <c r="DV73" s="889" t="str">
        <f t="shared" si="125"/>
        <v>ERR</v>
      </c>
      <c r="DW73" s="889" t="str">
        <f t="shared" si="126"/>
        <v>ERR</v>
      </c>
      <c r="DX73" s="873" t="str">
        <f t="shared" si="127"/>
        <v/>
      </c>
      <c r="DY73" s="873" t="str">
        <f t="shared" si="127"/>
        <v/>
      </c>
      <c r="DZ73" s="873" t="str">
        <f t="shared" si="128"/>
        <v/>
      </c>
      <c r="EA73" s="873" t="str">
        <f t="shared" si="129"/>
        <v/>
      </c>
      <c r="EB73" s="876" t="str">
        <f t="shared" si="130"/>
        <v/>
      </c>
      <c r="EC73" s="877" t="str">
        <f t="shared" si="131"/>
        <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t="str">
        <f t="shared" si="143"/>
        <v/>
      </c>
      <c r="EP73" s="874">
        <f t="shared" si="144"/>
        <v>0</v>
      </c>
      <c r="EQ73" s="874">
        <f t="shared" si="145"/>
        <v>0</v>
      </c>
      <c r="ER73" s="874">
        <f t="shared" si="146"/>
        <v>0</v>
      </c>
      <c r="ES73" s="874" t="str">
        <f t="shared" si="147"/>
        <v/>
      </c>
      <c r="ET73" s="873" t="str">
        <f t="shared" si="148"/>
        <v/>
      </c>
      <c r="EU73" s="873">
        <f t="shared" si="149"/>
        <v>0</v>
      </c>
      <c r="EV73" s="876" t="e">
        <f t="shared" si="150"/>
        <v>#VALUE!</v>
      </c>
      <c r="EW73" s="876" t="e">
        <f t="shared" si="151"/>
        <v>#VALUE!</v>
      </c>
      <c r="EX73" s="878" t="str">
        <f t="shared" si="152"/>
        <v/>
      </c>
      <c r="EY73" s="879" t="e">
        <f t="shared" si="153"/>
        <v>#DIV/0!</v>
      </c>
      <c r="EZ73" s="959" t="e">
        <f t="shared" si="154"/>
        <v>#DIV/0!</v>
      </c>
      <c r="FA73" s="960" t="e">
        <f t="shared" si="155"/>
        <v>#DIV/0!</v>
      </c>
      <c r="FB73" s="880" t="str">
        <f t="shared" si="156"/>
        <v/>
      </c>
      <c r="FC73" s="881" t="str">
        <f t="shared" si="157"/>
        <v/>
      </c>
      <c r="FD73" s="890">
        <f t="shared" si="158"/>
        <v>0</v>
      </c>
      <c r="FE73" s="833">
        <f t="shared" si="159"/>
        <v>0</v>
      </c>
      <c r="FF73" s="754" t="b">
        <f t="shared" si="160"/>
        <v>0</v>
      </c>
      <c r="FG73" s="754" t="b">
        <f t="shared" si="161"/>
        <v>0</v>
      </c>
      <c r="FH73" s="754" t="b">
        <f t="shared" si="162"/>
        <v>0</v>
      </c>
      <c r="FI73" s="754" t="b">
        <f t="shared" si="163"/>
        <v>0</v>
      </c>
      <c r="FJ73" s="920" t="str">
        <f t="shared" si="177"/>
        <v/>
      </c>
      <c r="FK73" s="919" t="str">
        <f t="shared" si="178"/>
        <v>G89</v>
      </c>
      <c r="FL73" s="320">
        <f t="shared" si="179"/>
        <v>714</v>
      </c>
      <c r="FM73" s="312" t="str">
        <f t="shared" si="164"/>
        <v/>
      </c>
      <c r="FN73" s="272" t="str">
        <f t="shared" ca="1" si="180"/>
        <v/>
      </c>
      <c r="FO73" s="273" t="str">
        <f t="shared" ca="1" si="181"/>
        <v/>
      </c>
      <c r="FP73" s="274" t="str">
        <f t="shared" ca="1" si="182"/>
        <v/>
      </c>
      <c r="FQ73" s="274" t="str">
        <f t="shared" ca="1" si="183"/>
        <v/>
      </c>
      <c r="FR73" s="321">
        <f t="shared" ca="1" si="184"/>
        <v>0</v>
      </c>
      <c r="FS73" s="322">
        <f t="shared" ca="1" si="185"/>
        <v>0</v>
      </c>
      <c r="FT73" s="272" t="str">
        <f t="shared" ca="1" si="186"/>
        <v/>
      </c>
      <c r="FU73" s="275" t="str">
        <f t="shared" ca="1" si="187"/>
        <v/>
      </c>
      <c r="FV73" s="323" t="str">
        <f t="shared" ca="1" si="165"/>
        <v/>
      </c>
      <c r="FW73" s="276" t="str">
        <f t="shared" ca="1" si="188"/>
        <v/>
      </c>
      <c r="FX73" s="276" t="str">
        <f t="shared" ca="1" si="189"/>
        <v/>
      </c>
      <c r="FY73" s="276" t="str">
        <f t="shared" ca="1" si="190"/>
        <v/>
      </c>
      <c r="FZ73" s="276" t="str">
        <f t="shared" ca="1" si="191"/>
        <v/>
      </c>
      <c r="GA73" s="276" t="str">
        <f t="shared" ca="1" si="192"/>
        <v/>
      </c>
      <c r="GB73" s="277" t="str">
        <f ca="1">IF(FY73="","",2+SUM(FO73:OFFSET(FO73,(FU73-1)*-1,0)))</f>
        <v/>
      </c>
      <c r="GC73" s="316">
        <f t="shared" si="193"/>
        <v>-0.25</v>
      </c>
      <c r="GD73" s="324" t="str">
        <f t="shared" si="166"/>
        <v/>
      </c>
      <c r="GE73" s="325" t="str">
        <f t="shared" si="167"/>
        <v/>
      </c>
      <c r="GF73" s="278" t="str">
        <f t="shared" si="168"/>
        <v/>
      </c>
      <c r="GG73" s="279" t="str">
        <f t="shared" si="169"/>
        <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1"/>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2"/>
        <v>0</v>
      </c>
      <c r="CU74" s="1317">
        <f t="shared" si="103"/>
        <v>0</v>
      </c>
      <c r="CV74" s="1311" t="str">
        <f t="shared" si="104"/>
        <v/>
      </c>
      <c r="CW74" s="1311" t="str">
        <f t="shared" si="105"/>
        <v/>
      </c>
      <c r="CX74" s="1311" t="str">
        <f t="shared" si="106"/>
        <v/>
      </c>
      <c r="CY74" s="1313">
        <f t="shared" si="107"/>
        <v>0</v>
      </c>
      <c r="CZ74" s="1313">
        <f t="shared" si="108"/>
        <v>0</v>
      </c>
      <c r="DA74" s="1313" t="str">
        <f t="shared" si="109"/>
        <v/>
      </c>
      <c r="DB74" s="1311" t="str">
        <f t="shared" si="173"/>
        <v/>
      </c>
      <c r="DC74" s="1311" t="str">
        <f t="shared" si="110"/>
        <v/>
      </c>
      <c r="DD74" s="875">
        <f t="shared" si="174"/>
        <v>0</v>
      </c>
      <c r="DE74" s="873">
        <f t="shared" si="111"/>
        <v>0</v>
      </c>
      <c r="DF74" s="874">
        <f t="shared" si="112"/>
        <v>0</v>
      </c>
      <c r="DG74" s="874" t="str">
        <f t="shared" si="113"/>
        <v/>
      </c>
      <c r="DH74" s="1311" t="str">
        <f t="shared" si="175"/>
        <v/>
      </c>
      <c r="DI74" s="1311" t="str">
        <f t="shared" si="114"/>
        <v/>
      </c>
      <c r="DJ74" s="1312">
        <f t="shared" si="176"/>
        <v>0</v>
      </c>
      <c r="DK74" s="1311" t="str">
        <f t="shared" si="115"/>
        <v/>
      </c>
      <c r="DL74" s="1311" t="str">
        <f t="shared" si="116"/>
        <v/>
      </c>
      <c r="DM74" s="1311" t="str">
        <f t="shared" si="117"/>
        <v/>
      </c>
      <c r="DN74" s="1311" t="str">
        <f t="shared" si="118"/>
        <v/>
      </c>
      <c r="DO74" s="889" t="str">
        <f t="shared" si="119"/>
        <v>ERR</v>
      </c>
      <c r="DP74" s="889" t="str">
        <f t="shared" si="120"/>
        <v>ERR</v>
      </c>
      <c r="DQ74" s="1311" t="str">
        <f t="shared" si="121"/>
        <v/>
      </c>
      <c r="DR74" s="1311" t="str">
        <f t="shared" si="121"/>
        <v/>
      </c>
      <c r="DS74" s="1311" t="str">
        <f t="shared" si="122"/>
        <v/>
      </c>
      <c r="DT74" s="1311" t="str">
        <f t="shared" si="123"/>
        <v/>
      </c>
      <c r="DU74" s="1311" t="str">
        <f t="shared" si="124"/>
        <v/>
      </c>
      <c r="DV74" s="889" t="str">
        <f t="shared" si="125"/>
        <v>ERR</v>
      </c>
      <c r="DW74" s="889" t="str">
        <f t="shared" si="126"/>
        <v>ERR</v>
      </c>
      <c r="DX74" s="873" t="str">
        <f t="shared" si="127"/>
        <v/>
      </c>
      <c r="DY74" s="873" t="str">
        <f t="shared" si="127"/>
        <v/>
      </c>
      <c r="DZ74" s="873" t="str">
        <f t="shared" si="128"/>
        <v/>
      </c>
      <c r="EA74" s="873" t="str">
        <f t="shared" si="129"/>
        <v/>
      </c>
      <c r="EB74" s="876" t="str">
        <f t="shared" si="130"/>
        <v/>
      </c>
      <c r="EC74" s="877" t="str">
        <f t="shared" si="131"/>
        <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t="str">
        <f t="shared" si="143"/>
        <v/>
      </c>
      <c r="EP74" s="874">
        <f t="shared" si="144"/>
        <v>0</v>
      </c>
      <c r="EQ74" s="874">
        <f t="shared" si="145"/>
        <v>0</v>
      </c>
      <c r="ER74" s="874">
        <f t="shared" si="146"/>
        <v>0</v>
      </c>
      <c r="ES74" s="874" t="str">
        <f t="shared" si="147"/>
        <v/>
      </c>
      <c r="ET74" s="873" t="str">
        <f t="shared" si="148"/>
        <v/>
      </c>
      <c r="EU74" s="873">
        <f t="shared" si="149"/>
        <v>0</v>
      </c>
      <c r="EV74" s="876" t="e">
        <f t="shared" si="150"/>
        <v>#VALUE!</v>
      </c>
      <c r="EW74" s="876" t="e">
        <f t="shared" si="151"/>
        <v>#VALUE!</v>
      </c>
      <c r="EX74" s="878" t="str">
        <f t="shared" si="152"/>
        <v/>
      </c>
      <c r="EY74" s="879" t="e">
        <f t="shared" si="153"/>
        <v>#DIV/0!</v>
      </c>
      <c r="EZ74" s="959" t="e">
        <f t="shared" si="154"/>
        <v>#DIV/0!</v>
      </c>
      <c r="FA74" s="960" t="e">
        <f t="shared" si="155"/>
        <v>#DIV/0!</v>
      </c>
      <c r="FB74" s="880" t="str">
        <f t="shared" si="156"/>
        <v/>
      </c>
      <c r="FC74" s="881" t="str">
        <f t="shared" si="157"/>
        <v/>
      </c>
      <c r="FD74" s="890">
        <f t="shared" si="158"/>
        <v>0</v>
      </c>
      <c r="FE74" s="833">
        <f t="shared" si="159"/>
        <v>0</v>
      </c>
      <c r="FF74" s="754" t="b">
        <f t="shared" si="160"/>
        <v>0</v>
      </c>
      <c r="FG74" s="754" t="b">
        <f t="shared" si="161"/>
        <v>0</v>
      </c>
      <c r="FH74" s="754" t="b">
        <f t="shared" si="162"/>
        <v>0</v>
      </c>
      <c r="FI74" s="754" t="b">
        <f t="shared" si="163"/>
        <v>0</v>
      </c>
      <c r="FJ74" s="920" t="str">
        <f t="shared" si="177"/>
        <v/>
      </c>
      <c r="FK74" s="919" t="str">
        <f t="shared" si="178"/>
        <v>G89</v>
      </c>
      <c r="FL74" s="320">
        <f t="shared" si="179"/>
        <v>714</v>
      </c>
      <c r="FM74" s="312" t="str">
        <f t="shared" si="164"/>
        <v/>
      </c>
      <c r="FN74" s="272" t="str">
        <f t="shared" ca="1" si="180"/>
        <v/>
      </c>
      <c r="FO74" s="273" t="str">
        <f t="shared" ca="1" si="181"/>
        <v/>
      </c>
      <c r="FP74" s="274" t="str">
        <f t="shared" ca="1" si="182"/>
        <v/>
      </c>
      <c r="FQ74" s="274" t="str">
        <f t="shared" ca="1" si="183"/>
        <v/>
      </c>
      <c r="FR74" s="321">
        <f t="shared" ca="1" si="184"/>
        <v>0</v>
      </c>
      <c r="FS74" s="322">
        <f t="shared" ca="1" si="185"/>
        <v>0</v>
      </c>
      <c r="FT74" s="272" t="str">
        <f t="shared" ca="1" si="186"/>
        <v/>
      </c>
      <c r="FU74" s="275" t="str">
        <f t="shared" ca="1" si="187"/>
        <v/>
      </c>
      <c r="FV74" s="323" t="str">
        <f t="shared" ca="1" si="165"/>
        <v/>
      </c>
      <c r="FW74" s="276" t="str">
        <f t="shared" ca="1" si="188"/>
        <v/>
      </c>
      <c r="FX74" s="276" t="str">
        <f t="shared" ca="1" si="189"/>
        <v/>
      </c>
      <c r="FY74" s="276" t="str">
        <f t="shared" ca="1" si="190"/>
        <v/>
      </c>
      <c r="FZ74" s="276" t="str">
        <f t="shared" ca="1" si="191"/>
        <v/>
      </c>
      <c r="GA74" s="276" t="str">
        <f t="shared" ca="1" si="192"/>
        <v/>
      </c>
      <c r="GB74" s="277" t="str">
        <f ca="1">IF(FY74="","",2+SUM(FO74:OFFSET(FO74,(FU74-1)*-1,0)))</f>
        <v/>
      </c>
      <c r="GC74" s="316">
        <f t="shared" si="193"/>
        <v>-0.25</v>
      </c>
      <c r="GD74" s="324" t="str">
        <f t="shared" si="166"/>
        <v/>
      </c>
      <c r="GE74" s="325" t="str">
        <f t="shared" si="167"/>
        <v/>
      </c>
      <c r="GF74" s="278" t="str">
        <f t="shared" si="168"/>
        <v/>
      </c>
      <c r="GG74" s="279" t="str">
        <f t="shared" si="169"/>
        <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1"/>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2"/>
        <v>0</v>
      </c>
      <c r="CU75" s="1317">
        <f t="shared" si="103"/>
        <v>0</v>
      </c>
      <c r="CV75" s="1311" t="str">
        <f t="shared" si="104"/>
        <v/>
      </c>
      <c r="CW75" s="1311" t="str">
        <f t="shared" si="105"/>
        <v/>
      </c>
      <c r="CX75" s="1311" t="str">
        <f t="shared" si="106"/>
        <v/>
      </c>
      <c r="CY75" s="1313">
        <f t="shared" si="107"/>
        <v>0</v>
      </c>
      <c r="CZ75" s="1313">
        <f t="shared" si="108"/>
        <v>0</v>
      </c>
      <c r="DA75" s="1313" t="str">
        <f t="shared" si="109"/>
        <v/>
      </c>
      <c r="DB75" s="1311" t="str">
        <f t="shared" si="173"/>
        <v/>
      </c>
      <c r="DC75" s="1311" t="str">
        <f t="shared" si="110"/>
        <v/>
      </c>
      <c r="DD75" s="875">
        <f t="shared" si="174"/>
        <v>0</v>
      </c>
      <c r="DE75" s="873">
        <f t="shared" si="111"/>
        <v>0</v>
      </c>
      <c r="DF75" s="874">
        <f t="shared" si="112"/>
        <v>0</v>
      </c>
      <c r="DG75" s="874" t="str">
        <f t="shared" si="113"/>
        <v/>
      </c>
      <c r="DH75" s="1311" t="str">
        <f t="shared" si="175"/>
        <v/>
      </c>
      <c r="DI75" s="1311" t="str">
        <f t="shared" si="114"/>
        <v/>
      </c>
      <c r="DJ75" s="1312">
        <f t="shared" si="176"/>
        <v>0</v>
      </c>
      <c r="DK75" s="1311" t="str">
        <f t="shared" si="115"/>
        <v/>
      </c>
      <c r="DL75" s="1311" t="str">
        <f t="shared" si="116"/>
        <v/>
      </c>
      <c r="DM75" s="1311" t="str">
        <f t="shared" si="117"/>
        <v/>
      </c>
      <c r="DN75" s="1311" t="str">
        <f t="shared" si="118"/>
        <v/>
      </c>
      <c r="DO75" s="889" t="str">
        <f t="shared" si="119"/>
        <v>ERR</v>
      </c>
      <c r="DP75" s="889" t="str">
        <f t="shared" si="120"/>
        <v>ERR</v>
      </c>
      <c r="DQ75" s="1311" t="str">
        <f t="shared" si="121"/>
        <v/>
      </c>
      <c r="DR75" s="1311" t="str">
        <f t="shared" si="121"/>
        <v/>
      </c>
      <c r="DS75" s="1311" t="str">
        <f t="shared" si="122"/>
        <v/>
      </c>
      <c r="DT75" s="1311" t="str">
        <f t="shared" si="123"/>
        <v/>
      </c>
      <c r="DU75" s="1311" t="str">
        <f t="shared" si="124"/>
        <v/>
      </c>
      <c r="DV75" s="889" t="str">
        <f t="shared" si="125"/>
        <v>ERR</v>
      </c>
      <c r="DW75" s="889" t="str">
        <f t="shared" si="126"/>
        <v>ERR</v>
      </c>
      <c r="DX75" s="873" t="str">
        <f t="shared" ref="DX75:DY85" si="195">IF(ISERROR(DT75),"ERR",IF(DT75="","",IF(DV75="ERR","ERR",CEILING(DV75-0.0625,0.125))))</f>
        <v/>
      </c>
      <c r="DY75" s="873" t="str">
        <f t="shared" si="195"/>
        <v/>
      </c>
      <c r="DZ75" s="873" t="str">
        <f t="shared" si="128"/>
        <v/>
      </c>
      <c r="EA75" s="873" t="str">
        <f t="shared" si="129"/>
        <v/>
      </c>
      <c r="EB75" s="876" t="str">
        <f t="shared" si="130"/>
        <v/>
      </c>
      <c r="EC75" s="877" t="str">
        <f t="shared" si="131"/>
        <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t="str">
        <f t="shared" si="143"/>
        <v/>
      </c>
      <c r="EP75" s="874">
        <f t="shared" si="144"/>
        <v>0</v>
      </c>
      <c r="EQ75" s="874">
        <f t="shared" si="145"/>
        <v>0</v>
      </c>
      <c r="ER75" s="874">
        <f t="shared" si="146"/>
        <v>0</v>
      </c>
      <c r="ES75" s="874" t="str">
        <f t="shared" si="147"/>
        <v/>
      </c>
      <c r="ET75" s="873" t="str">
        <f t="shared" si="148"/>
        <v/>
      </c>
      <c r="EU75" s="873">
        <f t="shared" si="149"/>
        <v>0</v>
      </c>
      <c r="EV75" s="876" t="e">
        <f t="shared" si="150"/>
        <v>#VALUE!</v>
      </c>
      <c r="EW75" s="876" t="e">
        <f t="shared" si="151"/>
        <v>#VALUE!</v>
      </c>
      <c r="EX75" s="878" t="str">
        <f t="shared" si="152"/>
        <v/>
      </c>
      <c r="EY75" s="879" t="e">
        <f t="shared" si="153"/>
        <v>#DIV/0!</v>
      </c>
      <c r="EZ75" s="959" t="e">
        <f t="shared" si="154"/>
        <v>#DIV/0!</v>
      </c>
      <c r="FA75" s="960" t="e">
        <f t="shared" si="155"/>
        <v>#DIV/0!</v>
      </c>
      <c r="FB75" s="880" t="str">
        <f t="shared" si="156"/>
        <v/>
      </c>
      <c r="FC75" s="881" t="str">
        <f t="shared" si="157"/>
        <v/>
      </c>
      <c r="FD75" s="890">
        <f t="shared" si="158"/>
        <v>0</v>
      </c>
      <c r="FE75" s="833">
        <f t="shared" si="159"/>
        <v>0</v>
      </c>
      <c r="FF75" s="754" t="b">
        <f t="shared" si="160"/>
        <v>0</v>
      </c>
      <c r="FG75" s="754" t="b">
        <f t="shared" si="161"/>
        <v>0</v>
      </c>
      <c r="FH75" s="754" t="b">
        <f t="shared" si="162"/>
        <v>0</v>
      </c>
      <c r="FI75" s="754" t="b">
        <f t="shared" si="163"/>
        <v>0</v>
      </c>
      <c r="FJ75" s="920" t="str">
        <f t="shared" si="177"/>
        <v/>
      </c>
      <c r="FK75" s="919" t="str">
        <f t="shared" si="178"/>
        <v>G89</v>
      </c>
      <c r="FL75" s="320">
        <f t="shared" si="179"/>
        <v>714</v>
      </c>
      <c r="FM75" s="312" t="str">
        <f t="shared" si="164"/>
        <v/>
      </c>
      <c r="FN75" s="272" t="str">
        <f t="shared" ca="1" si="180"/>
        <v/>
      </c>
      <c r="FO75" s="273" t="str">
        <f t="shared" ca="1" si="181"/>
        <v/>
      </c>
      <c r="FP75" s="274" t="str">
        <f t="shared" ca="1" si="182"/>
        <v/>
      </c>
      <c r="FQ75" s="274" t="str">
        <f t="shared" ca="1" si="183"/>
        <v/>
      </c>
      <c r="FR75" s="321">
        <f t="shared" ca="1" si="184"/>
        <v>0</v>
      </c>
      <c r="FS75" s="322">
        <f t="shared" ca="1" si="185"/>
        <v>0</v>
      </c>
      <c r="FT75" s="272" t="str">
        <f t="shared" ca="1" si="186"/>
        <v/>
      </c>
      <c r="FU75" s="275" t="str">
        <f t="shared" ca="1" si="187"/>
        <v/>
      </c>
      <c r="FV75" s="323" t="str">
        <f t="shared" ca="1" si="165"/>
        <v/>
      </c>
      <c r="FW75" s="276" t="str">
        <f t="shared" ca="1" si="188"/>
        <v/>
      </c>
      <c r="FX75" s="276" t="str">
        <f t="shared" ca="1" si="189"/>
        <v/>
      </c>
      <c r="FY75" s="276" t="str">
        <f t="shared" ca="1" si="190"/>
        <v/>
      </c>
      <c r="FZ75" s="276" t="str">
        <f t="shared" ca="1" si="191"/>
        <v/>
      </c>
      <c r="GA75" s="276" t="str">
        <f t="shared" ca="1" si="192"/>
        <v/>
      </c>
      <c r="GB75" s="277" t="str">
        <f ca="1">IF(FY75="","",2+SUM(FO75:OFFSET(FO75,(FU75-1)*-1,0)))</f>
        <v/>
      </c>
      <c r="GC75" s="316">
        <f t="shared" si="193"/>
        <v>-0.25</v>
      </c>
      <c r="GD75" s="324" t="str">
        <f t="shared" si="166"/>
        <v/>
      </c>
      <c r="GE75" s="325" t="str">
        <f t="shared" si="167"/>
        <v/>
      </c>
      <c r="GF75" s="278" t="str">
        <f t="shared" si="168"/>
        <v/>
      </c>
      <c r="GG75" s="279" t="str">
        <f t="shared" si="169"/>
        <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1"/>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2"/>
        <v>0</v>
      </c>
      <c r="CU76" s="1317">
        <f t="shared" si="103"/>
        <v>0</v>
      </c>
      <c r="CV76" s="1311" t="str">
        <f t="shared" si="104"/>
        <v/>
      </c>
      <c r="CW76" s="1311" t="str">
        <f t="shared" si="105"/>
        <v/>
      </c>
      <c r="CX76" s="1311" t="str">
        <f t="shared" si="106"/>
        <v/>
      </c>
      <c r="CY76" s="1313">
        <f t="shared" si="107"/>
        <v>0</v>
      </c>
      <c r="CZ76" s="1313">
        <f t="shared" si="108"/>
        <v>0</v>
      </c>
      <c r="DA76" s="1313" t="str">
        <f t="shared" si="109"/>
        <v/>
      </c>
      <c r="DB76" s="1311" t="str">
        <f t="shared" si="173"/>
        <v/>
      </c>
      <c r="DC76" s="1311" t="str">
        <f t="shared" si="110"/>
        <v/>
      </c>
      <c r="DD76" s="875">
        <f t="shared" si="174"/>
        <v>0</v>
      </c>
      <c r="DE76" s="873">
        <f t="shared" si="111"/>
        <v>0</v>
      </c>
      <c r="DF76" s="874">
        <f t="shared" si="112"/>
        <v>0</v>
      </c>
      <c r="DG76" s="874" t="str">
        <f t="shared" si="113"/>
        <v/>
      </c>
      <c r="DH76" s="1311" t="str">
        <f t="shared" si="175"/>
        <v/>
      </c>
      <c r="DI76" s="1311" t="str">
        <f t="shared" si="114"/>
        <v/>
      </c>
      <c r="DJ76" s="1312">
        <f t="shared" si="176"/>
        <v>0</v>
      </c>
      <c r="DK76" s="1311" t="str">
        <f t="shared" si="115"/>
        <v/>
      </c>
      <c r="DL76" s="1311" t="str">
        <f t="shared" si="116"/>
        <v/>
      </c>
      <c r="DM76" s="1311" t="str">
        <f t="shared" si="117"/>
        <v/>
      </c>
      <c r="DN76" s="1311" t="str">
        <f t="shared" si="118"/>
        <v/>
      </c>
      <c r="DO76" s="889" t="str">
        <f t="shared" si="119"/>
        <v>ERR</v>
      </c>
      <c r="DP76" s="889" t="str">
        <f t="shared" si="120"/>
        <v>ERR</v>
      </c>
      <c r="DQ76" s="1311" t="str">
        <f t="shared" si="121"/>
        <v/>
      </c>
      <c r="DR76" s="1311" t="str">
        <f t="shared" si="121"/>
        <v/>
      </c>
      <c r="DS76" s="1311" t="str">
        <f t="shared" si="122"/>
        <v/>
      </c>
      <c r="DT76" s="1311" t="str">
        <f t="shared" si="123"/>
        <v/>
      </c>
      <c r="DU76" s="1311" t="str">
        <f t="shared" si="124"/>
        <v/>
      </c>
      <c r="DV76" s="889" t="str">
        <f t="shared" si="125"/>
        <v>ERR</v>
      </c>
      <c r="DW76" s="889" t="str">
        <f t="shared" si="126"/>
        <v>ERR</v>
      </c>
      <c r="DX76" s="873" t="str">
        <f t="shared" si="195"/>
        <v/>
      </c>
      <c r="DY76" s="873" t="str">
        <f t="shared" si="195"/>
        <v/>
      </c>
      <c r="DZ76" s="873" t="str">
        <f t="shared" si="128"/>
        <v/>
      </c>
      <c r="EA76" s="873" t="str">
        <f t="shared" si="129"/>
        <v/>
      </c>
      <c r="EB76" s="876" t="str">
        <f t="shared" si="130"/>
        <v/>
      </c>
      <c r="EC76" s="877" t="str">
        <f t="shared" si="131"/>
        <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t="str">
        <f t="shared" si="143"/>
        <v/>
      </c>
      <c r="EP76" s="874">
        <f t="shared" si="144"/>
        <v>0</v>
      </c>
      <c r="EQ76" s="874">
        <f t="shared" si="145"/>
        <v>0</v>
      </c>
      <c r="ER76" s="874">
        <f t="shared" si="146"/>
        <v>0</v>
      </c>
      <c r="ES76" s="874" t="str">
        <f t="shared" si="147"/>
        <v/>
      </c>
      <c r="ET76" s="873" t="str">
        <f t="shared" si="148"/>
        <v/>
      </c>
      <c r="EU76" s="873">
        <f t="shared" si="149"/>
        <v>0</v>
      </c>
      <c r="EV76" s="876" t="e">
        <f t="shared" si="150"/>
        <v>#VALUE!</v>
      </c>
      <c r="EW76" s="876" t="e">
        <f t="shared" si="151"/>
        <v>#VALUE!</v>
      </c>
      <c r="EX76" s="878" t="str">
        <f t="shared" si="152"/>
        <v/>
      </c>
      <c r="EY76" s="879" t="e">
        <f t="shared" si="153"/>
        <v>#DIV/0!</v>
      </c>
      <c r="EZ76" s="959" t="e">
        <f t="shared" si="154"/>
        <v>#DIV/0!</v>
      </c>
      <c r="FA76" s="960" t="e">
        <f t="shared" si="155"/>
        <v>#DIV/0!</v>
      </c>
      <c r="FB76" s="880" t="str">
        <f t="shared" si="156"/>
        <v/>
      </c>
      <c r="FC76" s="881" t="str">
        <f t="shared" si="157"/>
        <v/>
      </c>
      <c r="FD76" s="890">
        <f t="shared" si="158"/>
        <v>0</v>
      </c>
      <c r="FE76" s="833">
        <f t="shared" si="159"/>
        <v>0</v>
      </c>
      <c r="FF76" s="754" t="b">
        <f t="shared" si="160"/>
        <v>0</v>
      </c>
      <c r="FG76" s="754" t="b">
        <f t="shared" si="161"/>
        <v>0</v>
      </c>
      <c r="FH76" s="754" t="b">
        <f t="shared" si="162"/>
        <v>0</v>
      </c>
      <c r="FI76" s="754" t="b">
        <f t="shared" si="163"/>
        <v>0</v>
      </c>
      <c r="FJ76" s="920" t="str">
        <f t="shared" si="177"/>
        <v/>
      </c>
      <c r="FK76" s="919" t="str">
        <f t="shared" si="178"/>
        <v>G89</v>
      </c>
      <c r="FL76" s="320">
        <f t="shared" si="179"/>
        <v>714</v>
      </c>
      <c r="FM76" s="312" t="str">
        <f t="shared" si="164"/>
        <v/>
      </c>
      <c r="FN76" s="272" t="str">
        <f t="shared" ca="1" si="180"/>
        <v/>
      </c>
      <c r="FO76" s="273" t="str">
        <f t="shared" ca="1" si="181"/>
        <v/>
      </c>
      <c r="FP76" s="274" t="str">
        <f t="shared" ca="1" si="182"/>
        <v/>
      </c>
      <c r="FQ76" s="274" t="str">
        <f t="shared" ca="1" si="183"/>
        <v/>
      </c>
      <c r="FR76" s="321">
        <f t="shared" ca="1" si="184"/>
        <v>0</v>
      </c>
      <c r="FS76" s="322">
        <f t="shared" ca="1" si="185"/>
        <v>0</v>
      </c>
      <c r="FT76" s="272" t="str">
        <f t="shared" ca="1" si="186"/>
        <v/>
      </c>
      <c r="FU76" s="275" t="str">
        <f t="shared" ca="1" si="187"/>
        <v/>
      </c>
      <c r="FV76" s="323" t="str">
        <f t="shared" ca="1" si="165"/>
        <v/>
      </c>
      <c r="FW76" s="276" t="str">
        <f t="shared" ca="1" si="188"/>
        <v/>
      </c>
      <c r="FX76" s="276" t="str">
        <f t="shared" ca="1" si="189"/>
        <v/>
      </c>
      <c r="FY76" s="276" t="str">
        <f t="shared" ca="1" si="190"/>
        <v/>
      </c>
      <c r="FZ76" s="276" t="str">
        <f t="shared" ca="1" si="191"/>
        <v/>
      </c>
      <c r="GA76" s="276" t="str">
        <f t="shared" ca="1" si="192"/>
        <v/>
      </c>
      <c r="GB76" s="277" t="str">
        <f ca="1">IF(FY76="","",2+SUM(FO76:OFFSET(FO76,(FU76-1)*-1,0)))</f>
        <v/>
      </c>
      <c r="GC76" s="316">
        <f t="shared" si="193"/>
        <v>-0.25</v>
      </c>
      <c r="GD76" s="324" t="str">
        <f t="shared" si="166"/>
        <v/>
      </c>
      <c r="GE76" s="325" t="str">
        <f t="shared" si="167"/>
        <v/>
      </c>
      <c r="GF76" s="278" t="str">
        <f t="shared" si="168"/>
        <v/>
      </c>
      <c r="GG76" s="279" t="str">
        <f t="shared" si="169"/>
        <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1"/>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2"/>
        <v>0</v>
      </c>
      <c r="CU77" s="1317">
        <f t="shared" si="103"/>
        <v>0</v>
      </c>
      <c r="CV77" s="1311" t="str">
        <f t="shared" si="104"/>
        <v/>
      </c>
      <c r="CW77" s="1311" t="str">
        <f t="shared" si="105"/>
        <v/>
      </c>
      <c r="CX77" s="1311" t="str">
        <f t="shared" si="106"/>
        <v/>
      </c>
      <c r="CY77" s="1313">
        <f t="shared" si="107"/>
        <v>0</v>
      </c>
      <c r="CZ77" s="1313">
        <f t="shared" si="108"/>
        <v>0</v>
      </c>
      <c r="DA77" s="1313" t="str">
        <f t="shared" si="109"/>
        <v/>
      </c>
      <c r="DB77" s="1311" t="str">
        <f t="shared" si="173"/>
        <v/>
      </c>
      <c r="DC77" s="1311" t="str">
        <f t="shared" si="110"/>
        <v/>
      </c>
      <c r="DD77" s="875">
        <f t="shared" si="174"/>
        <v>0</v>
      </c>
      <c r="DE77" s="873">
        <f t="shared" si="111"/>
        <v>0</v>
      </c>
      <c r="DF77" s="874">
        <f t="shared" si="112"/>
        <v>0</v>
      </c>
      <c r="DG77" s="874" t="str">
        <f t="shared" si="113"/>
        <v/>
      </c>
      <c r="DH77" s="1311" t="str">
        <f t="shared" si="175"/>
        <v/>
      </c>
      <c r="DI77" s="1311" t="str">
        <f t="shared" si="114"/>
        <v/>
      </c>
      <c r="DJ77" s="1312">
        <f t="shared" si="176"/>
        <v>0</v>
      </c>
      <c r="DK77" s="1311" t="str">
        <f t="shared" si="115"/>
        <v/>
      </c>
      <c r="DL77" s="1311" t="str">
        <f t="shared" si="116"/>
        <v/>
      </c>
      <c r="DM77" s="1311" t="str">
        <f t="shared" si="117"/>
        <v/>
      </c>
      <c r="DN77" s="1311" t="str">
        <f t="shared" si="118"/>
        <v/>
      </c>
      <c r="DO77" s="889" t="str">
        <f t="shared" si="119"/>
        <v>ERR</v>
      </c>
      <c r="DP77" s="889" t="str">
        <f t="shared" si="120"/>
        <v>ERR</v>
      </c>
      <c r="DQ77" s="1311" t="str">
        <f t="shared" si="121"/>
        <v/>
      </c>
      <c r="DR77" s="1311" t="str">
        <f t="shared" si="121"/>
        <v/>
      </c>
      <c r="DS77" s="1311" t="str">
        <f t="shared" si="122"/>
        <v/>
      </c>
      <c r="DT77" s="1311" t="str">
        <f t="shared" si="123"/>
        <v/>
      </c>
      <c r="DU77" s="1311" t="str">
        <f t="shared" si="124"/>
        <v/>
      </c>
      <c r="DV77" s="889" t="str">
        <f t="shared" si="125"/>
        <v>ERR</v>
      </c>
      <c r="DW77" s="889" t="str">
        <f t="shared" si="126"/>
        <v>ERR</v>
      </c>
      <c r="DX77" s="873" t="str">
        <f t="shared" si="195"/>
        <v/>
      </c>
      <c r="DY77" s="873" t="str">
        <f t="shared" si="195"/>
        <v/>
      </c>
      <c r="DZ77" s="873" t="str">
        <f t="shared" si="128"/>
        <v/>
      </c>
      <c r="EA77" s="873" t="str">
        <f t="shared" si="129"/>
        <v/>
      </c>
      <c r="EB77" s="876" t="str">
        <f t="shared" si="130"/>
        <v/>
      </c>
      <c r="EC77" s="877" t="str">
        <f t="shared" si="131"/>
        <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t="str">
        <f t="shared" si="143"/>
        <v/>
      </c>
      <c r="EP77" s="874">
        <f t="shared" si="144"/>
        <v>0</v>
      </c>
      <c r="EQ77" s="874">
        <f t="shared" si="145"/>
        <v>0</v>
      </c>
      <c r="ER77" s="874">
        <f t="shared" si="146"/>
        <v>0</v>
      </c>
      <c r="ES77" s="874" t="str">
        <f t="shared" si="147"/>
        <v/>
      </c>
      <c r="ET77" s="873" t="str">
        <f t="shared" si="148"/>
        <v/>
      </c>
      <c r="EU77" s="873">
        <f t="shared" si="149"/>
        <v>0</v>
      </c>
      <c r="EV77" s="876" t="e">
        <f t="shared" si="150"/>
        <v>#VALUE!</v>
      </c>
      <c r="EW77" s="876" t="e">
        <f t="shared" si="151"/>
        <v>#VALUE!</v>
      </c>
      <c r="EX77" s="878" t="str">
        <f t="shared" si="152"/>
        <v/>
      </c>
      <c r="EY77" s="879" t="e">
        <f t="shared" si="153"/>
        <v>#DIV/0!</v>
      </c>
      <c r="EZ77" s="959" t="e">
        <f t="shared" si="154"/>
        <v>#DIV/0!</v>
      </c>
      <c r="FA77" s="960" t="e">
        <f t="shared" si="155"/>
        <v>#DIV/0!</v>
      </c>
      <c r="FB77" s="880" t="str">
        <f t="shared" si="156"/>
        <v/>
      </c>
      <c r="FC77" s="881" t="str">
        <f t="shared" si="157"/>
        <v/>
      </c>
      <c r="FD77" s="890">
        <f t="shared" si="158"/>
        <v>0</v>
      </c>
      <c r="FE77" s="833">
        <f t="shared" si="159"/>
        <v>0</v>
      </c>
      <c r="FF77" s="754" t="b">
        <f t="shared" si="160"/>
        <v>0</v>
      </c>
      <c r="FG77" s="754" t="b">
        <f t="shared" si="161"/>
        <v>0</v>
      </c>
      <c r="FH77" s="754" t="b">
        <f t="shared" si="162"/>
        <v>0</v>
      </c>
      <c r="FI77" s="754" t="b">
        <f t="shared" si="163"/>
        <v>0</v>
      </c>
      <c r="FJ77" s="920" t="str">
        <f t="shared" si="177"/>
        <v/>
      </c>
      <c r="FK77" s="919" t="str">
        <f t="shared" si="178"/>
        <v>G89</v>
      </c>
      <c r="FL77" s="320">
        <f t="shared" si="179"/>
        <v>714</v>
      </c>
      <c r="FM77" s="312" t="str">
        <f t="shared" si="164"/>
        <v/>
      </c>
      <c r="FN77" s="272" t="str">
        <f t="shared" ca="1" si="180"/>
        <v/>
      </c>
      <c r="FO77" s="273" t="str">
        <f t="shared" ca="1" si="181"/>
        <v/>
      </c>
      <c r="FP77" s="274" t="str">
        <f t="shared" ca="1" si="182"/>
        <v/>
      </c>
      <c r="FQ77" s="274" t="str">
        <f t="shared" ca="1" si="183"/>
        <v/>
      </c>
      <c r="FR77" s="321">
        <f t="shared" ca="1" si="184"/>
        <v>0</v>
      </c>
      <c r="FS77" s="322">
        <f t="shared" ca="1" si="185"/>
        <v>0</v>
      </c>
      <c r="FT77" s="272" t="str">
        <f t="shared" ca="1" si="186"/>
        <v/>
      </c>
      <c r="FU77" s="275" t="str">
        <f t="shared" ca="1" si="187"/>
        <v/>
      </c>
      <c r="FV77" s="323" t="str">
        <f t="shared" ca="1" si="165"/>
        <v/>
      </c>
      <c r="FW77" s="276" t="str">
        <f t="shared" ca="1" si="188"/>
        <v/>
      </c>
      <c r="FX77" s="276" t="str">
        <f t="shared" ca="1" si="189"/>
        <v/>
      </c>
      <c r="FY77" s="276" t="str">
        <f t="shared" ca="1" si="190"/>
        <v/>
      </c>
      <c r="FZ77" s="276" t="str">
        <f t="shared" ca="1" si="191"/>
        <v/>
      </c>
      <c r="GA77" s="276" t="str">
        <f t="shared" ca="1" si="192"/>
        <v/>
      </c>
      <c r="GB77" s="277" t="str">
        <f ca="1">IF(FY77="","",2+SUM(FO77:OFFSET(FO77,(FU77-1)*-1,0)))</f>
        <v/>
      </c>
      <c r="GC77" s="316">
        <f t="shared" si="193"/>
        <v>-0.25</v>
      </c>
      <c r="GD77" s="324" t="str">
        <f t="shared" si="166"/>
        <v/>
      </c>
      <c r="GE77" s="325" t="str">
        <f t="shared" si="167"/>
        <v/>
      </c>
      <c r="GF77" s="278" t="str">
        <f t="shared" si="168"/>
        <v/>
      </c>
      <c r="GG77" s="279" t="str">
        <f t="shared" si="169"/>
        <v/>
      </c>
      <c r="GH77" s="279" t="str">
        <f t="shared" si="170"/>
        <v/>
      </c>
      <c r="GI77" s="280" t="str">
        <f t="shared" si="171"/>
        <v/>
      </c>
      <c r="GJ77" s="530">
        <f t="shared" ca="1" si="172"/>
        <v>0</v>
      </c>
      <c r="GK77" s="895" t="str">
        <f t="shared" ca="1" si="194"/>
        <v/>
      </c>
    </row>
    <row r="78" spans="78:193" ht="12.6" hidden="1" customHeight="1" x14ac:dyDescent="0.2">
      <c r="BZ78" s="293"/>
      <c r="CA78" s="293"/>
      <c r="CB78" s="365" t="str">
        <f t="shared" si="100"/>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1"/>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2"/>
        <v>0</v>
      </c>
      <c r="CU78" s="1317">
        <f t="shared" si="103"/>
        <v>0</v>
      </c>
      <c r="CV78" s="1311" t="str">
        <f t="shared" si="104"/>
        <v/>
      </c>
      <c r="CW78" s="1311" t="str">
        <f t="shared" si="105"/>
        <v/>
      </c>
      <c r="CX78" s="1311" t="str">
        <f t="shared" si="106"/>
        <v/>
      </c>
      <c r="CY78" s="1313">
        <f t="shared" si="107"/>
        <v>0</v>
      </c>
      <c r="CZ78" s="1313">
        <f t="shared" si="108"/>
        <v>0</v>
      </c>
      <c r="DA78" s="1313" t="str">
        <f t="shared" si="109"/>
        <v/>
      </c>
      <c r="DB78" s="1311" t="str">
        <f t="shared" si="173"/>
        <v/>
      </c>
      <c r="DC78" s="1311" t="str">
        <f t="shared" si="110"/>
        <v/>
      </c>
      <c r="DD78" s="875">
        <f t="shared" si="174"/>
        <v>0</v>
      </c>
      <c r="DE78" s="873">
        <f t="shared" si="111"/>
        <v>0</v>
      </c>
      <c r="DF78" s="874">
        <f t="shared" si="112"/>
        <v>0</v>
      </c>
      <c r="DG78" s="874" t="str">
        <f t="shared" si="113"/>
        <v/>
      </c>
      <c r="DH78" s="1311" t="str">
        <f t="shared" si="175"/>
        <v/>
      </c>
      <c r="DI78" s="1311" t="str">
        <f t="shared" si="114"/>
        <v/>
      </c>
      <c r="DJ78" s="1312">
        <f t="shared" si="176"/>
        <v>0</v>
      </c>
      <c r="DK78" s="1311" t="str">
        <f t="shared" si="115"/>
        <v/>
      </c>
      <c r="DL78" s="1311" t="str">
        <f t="shared" si="116"/>
        <v/>
      </c>
      <c r="DM78" s="1311" t="str">
        <f t="shared" si="117"/>
        <v/>
      </c>
      <c r="DN78" s="1311" t="str">
        <f t="shared" si="118"/>
        <v/>
      </c>
      <c r="DO78" s="889" t="str">
        <f t="shared" si="119"/>
        <v>ERR</v>
      </c>
      <c r="DP78" s="889" t="str">
        <f t="shared" si="120"/>
        <v>ERR</v>
      </c>
      <c r="DQ78" s="1311" t="str">
        <f t="shared" si="121"/>
        <v/>
      </c>
      <c r="DR78" s="1311" t="str">
        <f t="shared" si="121"/>
        <v/>
      </c>
      <c r="DS78" s="1311" t="str">
        <f t="shared" si="122"/>
        <v/>
      </c>
      <c r="DT78" s="1311" t="str">
        <f t="shared" si="123"/>
        <v/>
      </c>
      <c r="DU78" s="1311" t="str">
        <f t="shared" si="124"/>
        <v/>
      </c>
      <c r="DV78" s="889" t="str">
        <f t="shared" si="125"/>
        <v>ERR</v>
      </c>
      <c r="DW78" s="889" t="str">
        <f t="shared" si="126"/>
        <v>ERR</v>
      </c>
      <c r="DX78" s="873" t="str">
        <f t="shared" si="195"/>
        <v/>
      </c>
      <c r="DY78" s="873" t="str">
        <f t="shared" si="195"/>
        <v/>
      </c>
      <c r="DZ78" s="873" t="str">
        <f t="shared" si="128"/>
        <v/>
      </c>
      <c r="EA78" s="873" t="str">
        <f t="shared" si="129"/>
        <v/>
      </c>
      <c r="EB78" s="876" t="str">
        <f t="shared" si="130"/>
        <v/>
      </c>
      <c r="EC78" s="877" t="str">
        <f t="shared" si="131"/>
        <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t="str">
        <f t="shared" si="143"/>
        <v/>
      </c>
      <c r="EP78" s="874">
        <f t="shared" si="144"/>
        <v>0</v>
      </c>
      <c r="EQ78" s="874">
        <f t="shared" si="145"/>
        <v>0</v>
      </c>
      <c r="ER78" s="874">
        <f t="shared" si="146"/>
        <v>0</v>
      </c>
      <c r="ES78" s="874" t="str">
        <f t="shared" si="147"/>
        <v/>
      </c>
      <c r="ET78" s="873" t="str">
        <f t="shared" si="148"/>
        <v/>
      </c>
      <c r="EU78" s="873">
        <f t="shared" si="149"/>
        <v>0</v>
      </c>
      <c r="EV78" s="876" t="e">
        <f t="shared" si="150"/>
        <v>#VALUE!</v>
      </c>
      <c r="EW78" s="876" t="e">
        <f t="shared" si="151"/>
        <v>#VALUE!</v>
      </c>
      <c r="EX78" s="878" t="str">
        <f t="shared" si="152"/>
        <v/>
      </c>
      <c r="EY78" s="879" t="e">
        <f t="shared" si="153"/>
        <v>#DIV/0!</v>
      </c>
      <c r="EZ78" s="959" t="e">
        <f t="shared" si="154"/>
        <v>#DIV/0!</v>
      </c>
      <c r="FA78" s="960" t="e">
        <f t="shared" si="155"/>
        <v>#DIV/0!</v>
      </c>
      <c r="FB78" s="880" t="str">
        <f t="shared" si="156"/>
        <v/>
      </c>
      <c r="FC78" s="881" t="str">
        <f t="shared" si="157"/>
        <v/>
      </c>
      <c r="FD78" s="890">
        <f t="shared" si="158"/>
        <v>0</v>
      </c>
      <c r="FE78" s="833">
        <f t="shared" si="159"/>
        <v>0</v>
      </c>
      <c r="FF78" s="754" t="b">
        <f t="shared" si="160"/>
        <v>0</v>
      </c>
      <c r="FG78" s="754" t="b">
        <f t="shared" si="161"/>
        <v>0</v>
      </c>
      <c r="FH78" s="754" t="b">
        <f t="shared" si="162"/>
        <v>0</v>
      </c>
      <c r="FI78" s="754" t="b">
        <f t="shared" si="163"/>
        <v>0</v>
      </c>
      <c r="FJ78" s="920" t="str">
        <f t="shared" si="177"/>
        <v/>
      </c>
      <c r="FK78" s="919" t="str">
        <f t="shared" si="178"/>
        <v>G89</v>
      </c>
      <c r="FL78" s="320">
        <f t="shared" si="179"/>
        <v>714</v>
      </c>
      <c r="FM78" s="312" t="str">
        <f t="shared" si="164"/>
        <v/>
      </c>
      <c r="FN78" s="272" t="str">
        <f t="shared" ca="1" si="180"/>
        <v/>
      </c>
      <c r="FO78" s="273" t="str">
        <f t="shared" ca="1" si="181"/>
        <v/>
      </c>
      <c r="FP78" s="274" t="str">
        <f t="shared" ca="1" si="182"/>
        <v/>
      </c>
      <c r="FQ78" s="274" t="str">
        <f t="shared" ca="1" si="183"/>
        <v/>
      </c>
      <c r="FR78" s="321">
        <f t="shared" ca="1" si="184"/>
        <v>0</v>
      </c>
      <c r="FS78" s="322">
        <f t="shared" ca="1" si="185"/>
        <v>0</v>
      </c>
      <c r="FT78" s="272" t="str">
        <f t="shared" ca="1" si="186"/>
        <v/>
      </c>
      <c r="FU78" s="275" t="str">
        <f t="shared" ca="1" si="187"/>
        <v/>
      </c>
      <c r="FV78" s="323" t="str">
        <f t="shared" ca="1" si="165"/>
        <v/>
      </c>
      <c r="FW78" s="276" t="str">
        <f t="shared" ca="1" si="188"/>
        <v/>
      </c>
      <c r="FX78" s="276" t="str">
        <f t="shared" ca="1" si="189"/>
        <v/>
      </c>
      <c r="FY78" s="276" t="str">
        <f t="shared" ca="1" si="190"/>
        <v/>
      </c>
      <c r="FZ78" s="276" t="str">
        <f t="shared" ca="1" si="191"/>
        <v/>
      </c>
      <c r="GA78" s="276" t="str">
        <f t="shared" ca="1" si="192"/>
        <v/>
      </c>
      <c r="GB78" s="277" t="str">
        <f ca="1">IF(FY78="","",2+SUM(FO78:OFFSET(FO78,(FU78-1)*-1,0)))</f>
        <v/>
      </c>
      <c r="GC78" s="316">
        <f t="shared" si="193"/>
        <v>-0.25</v>
      </c>
      <c r="GD78" s="324" t="str">
        <f t="shared" si="166"/>
        <v/>
      </c>
      <c r="GE78" s="325" t="str">
        <f t="shared" si="167"/>
        <v/>
      </c>
      <c r="GF78" s="278" t="str">
        <f t="shared" si="168"/>
        <v/>
      </c>
      <c r="GG78" s="279" t="str">
        <f t="shared" si="169"/>
        <v/>
      </c>
      <c r="GH78" s="279" t="str">
        <f t="shared" si="170"/>
        <v/>
      </c>
      <c r="GI78" s="280" t="str">
        <f t="shared" si="171"/>
        <v/>
      </c>
      <c r="GJ78" s="530">
        <f t="shared" ca="1" si="172"/>
        <v>0</v>
      </c>
      <c r="GK78" s="895" t="str">
        <f t="shared" ca="1" si="194"/>
        <v/>
      </c>
    </row>
    <row r="79" spans="78:193" ht="12.6" hidden="1" customHeight="1" x14ac:dyDescent="0.2">
      <c r="BZ79" s="293"/>
      <c r="CA79" s="293"/>
      <c r="CB79" s="365" t="str">
        <f t="shared" si="100"/>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1"/>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2"/>
        <v>0</v>
      </c>
      <c r="CU79" s="1317">
        <f t="shared" si="103"/>
        <v>0</v>
      </c>
      <c r="CV79" s="1311" t="str">
        <f t="shared" si="104"/>
        <v/>
      </c>
      <c r="CW79" s="1311" t="str">
        <f t="shared" si="105"/>
        <v/>
      </c>
      <c r="CX79" s="1311" t="str">
        <f t="shared" si="106"/>
        <v/>
      </c>
      <c r="CY79" s="1313">
        <f t="shared" si="107"/>
        <v>0</v>
      </c>
      <c r="CZ79" s="1313">
        <f t="shared" si="108"/>
        <v>0</v>
      </c>
      <c r="DA79" s="1313" t="str">
        <f t="shared" si="109"/>
        <v/>
      </c>
      <c r="DB79" s="1311" t="str">
        <f t="shared" si="173"/>
        <v/>
      </c>
      <c r="DC79" s="1311" t="str">
        <f t="shared" si="110"/>
        <v/>
      </c>
      <c r="DD79" s="875">
        <f t="shared" si="174"/>
        <v>0</v>
      </c>
      <c r="DE79" s="873">
        <f t="shared" si="111"/>
        <v>0</v>
      </c>
      <c r="DF79" s="874">
        <f t="shared" si="112"/>
        <v>0</v>
      </c>
      <c r="DG79" s="874" t="str">
        <f t="shared" si="113"/>
        <v/>
      </c>
      <c r="DH79" s="1311" t="str">
        <f t="shared" si="175"/>
        <v/>
      </c>
      <c r="DI79" s="1311" t="str">
        <f t="shared" si="114"/>
        <v/>
      </c>
      <c r="DJ79" s="1312">
        <f t="shared" si="176"/>
        <v>0</v>
      </c>
      <c r="DK79" s="1311" t="str">
        <f t="shared" si="115"/>
        <v/>
      </c>
      <c r="DL79" s="1311" t="str">
        <f t="shared" si="116"/>
        <v/>
      </c>
      <c r="DM79" s="1311" t="str">
        <f t="shared" si="117"/>
        <v/>
      </c>
      <c r="DN79" s="1311" t="str">
        <f t="shared" si="118"/>
        <v/>
      </c>
      <c r="DO79" s="889" t="str">
        <f t="shared" si="119"/>
        <v>ERR</v>
      </c>
      <c r="DP79" s="889" t="str">
        <f t="shared" si="120"/>
        <v>ERR</v>
      </c>
      <c r="DQ79" s="1311" t="str">
        <f t="shared" si="121"/>
        <v/>
      </c>
      <c r="DR79" s="1311" t="str">
        <f t="shared" si="121"/>
        <v/>
      </c>
      <c r="DS79" s="1311" t="str">
        <f t="shared" si="122"/>
        <v/>
      </c>
      <c r="DT79" s="1311" t="str">
        <f t="shared" si="123"/>
        <v/>
      </c>
      <c r="DU79" s="1311" t="str">
        <f t="shared" si="124"/>
        <v/>
      </c>
      <c r="DV79" s="889" t="str">
        <f t="shared" si="125"/>
        <v>ERR</v>
      </c>
      <c r="DW79" s="889" t="str">
        <f t="shared" si="126"/>
        <v>ERR</v>
      </c>
      <c r="DX79" s="873" t="str">
        <f t="shared" si="195"/>
        <v/>
      </c>
      <c r="DY79" s="873" t="str">
        <f t="shared" si="195"/>
        <v/>
      </c>
      <c r="DZ79" s="873" t="str">
        <f t="shared" si="128"/>
        <v/>
      </c>
      <c r="EA79" s="873" t="str">
        <f t="shared" si="129"/>
        <v/>
      </c>
      <c r="EB79" s="876" t="str">
        <f t="shared" si="130"/>
        <v/>
      </c>
      <c r="EC79" s="877" t="str">
        <f t="shared" si="131"/>
        <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t="str">
        <f t="shared" si="143"/>
        <v/>
      </c>
      <c r="EP79" s="874">
        <f t="shared" si="144"/>
        <v>0</v>
      </c>
      <c r="EQ79" s="874">
        <f t="shared" si="145"/>
        <v>0</v>
      </c>
      <c r="ER79" s="874">
        <f t="shared" si="146"/>
        <v>0</v>
      </c>
      <c r="ES79" s="874" t="str">
        <f t="shared" si="147"/>
        <v/>
      </c>
      <c r="ET79" s="873" t="str">
        <f t="shared" si="148"/>
        <v/>
      </c>
      <c r="EU79" s="873">
        <f t="shared" si="149"/>
        <v>0</v>
      </c>
      <c r="EV79" s="876" t="e">
        <f t="shared" si="150"/>
        <v>#VALUE!</v>
      </c>
      <c r="EW79" s="876" t="e">
        <f t="shared" si="151"/>
        <v>#VALUE!</v>
      </c>
      <c r="EX79" s="878" t="str">
        <f t="shared" si="152"/>
        <v/>
      </c>
      <c r="EY79" s="879" t="e">
        <f t="shared" si="153"/>
        <v>#DIV/0!</v>
      </c>
      <c r="EZ79" s="959" t="e">
        <f t="shared" si="154"/>
        <v>#DIV/0!</v>
      </c>
      <c r="FA79" s="960" t="e">
        <f t="shared" si="155"/>
        <v>#DIV/0!</v>
      </c>
      <c r="FB79" s="880" t="str">
        <f t="shared" si="156"/>
        <v/>
      </c>
      <c r="FC79" s="881" t="str">
        <f t="shared" si="157"/>
        <v/>
      </c>
      <c r="FD79" s="890">
        <f t="shared" si="158"/>
        <v>0</v>
      </c>
      <c r="FE79" s="833">
        <f t="shared" si="159"/>
        <v>0</v>
      </c>
      <c r="FF79" s="754" t="b">
        <f t="shared" si="160"/>
        <v>0</v>
      </c>
      <c r="FG79" s="754" t="b">
        <f t="shared" si="161"/>
        <v>0</v>
      </c>
      <c r="FH79" s="754" t="b">
        <f t="shared" si="162"/>
        <v>0</v>
      </c>
      <c r="FI79" s="754" t="b">
        <f t="shared" si="163"/>
        <v>0</v>
      </c>
      <c r="FJ79" s="920" t="str">
        <f t="shared" si="177"/>
        <v/>
      </c>
      <c r="FK79" s="919" t="str">
        <f t="shared" si="178"/>
        <v>G89</v>
      </c>
      <c r="FL79" s="320">
        <f t="shared" si="179"/>
        <v>714</v>
      </c>
      <c r="FM79" s="312" t="str">
        <f t="shared" si="164"/>
        <v/>
      </c>
      <c r="FN79" s="272" t="str">
        <f t="shared" ca="1" si="180"/>
        <v/>
      </c>
      <c r="FO79" s="273" t="str">
        <f t="shared" ca="1" si="181"/>
        <v/>
      </c>
      <c r="FP79" s="274" t="str">
        <f t="shared" ca="1" si="182"/>
        <v/>
      </c>
      <c r="FQ79" s="274" t="str">
        <f t="shared" ca="1" si="183"/>
        <v/>
      </c>
      <c r="FR79" s="321">
        <f t="shared" ca="1" si="184"/>
        <v>0</v>
      </c>
      <c r="FS79" s="322">
        <f t="shared" ca="1" si="185"/>
        <v>0</v>
      </c>
      <c r="FT79" s="272" t="str">
        <f t="shared" ca="1" si="186"/>
        <v/>
      </c>
      <c r="FU79" s="275" t="str">
        <f t="shared" ca="1" si="187"/>
        <v/>
      </c>
      <c r="FV79" s="323" t="str">
        <f t="shared" ca="1" si="165"/>
        <v/>
      </c>
      <c r="FW79" s="276" t="str">
        <f t="shared" ca="1" si="188"/>
        <v/>
      </c>
      <c r="FX79" s="276" t="str">
        <f t="shared" ca="1" si="189"/>
        <v/>
      </c>
      <c r="FY79" s="276" t="str">
        <f t="shared" ca="1" si="190"/>
        <v/>
      </c>
      <c r="FZ79" s="276" t="str">
        <f t="shared" ca="1" si="191"/>
        <v/>
      </c>
      <c r="GA79" s="276" t="str">
        <f t="shared" ca="1" si="192"/>
        <v/>
      </c>
      <c r="GB79" s="277" t="str">
        <f ca="1">IF(FY79="","",2+SUM(FO79:OFFSET(FO79,(FU79-1)*-1,0)))</f>
        <v/>
      </c>
      <c r="GC79" s="316">
        <f t="shared" si="193"/>
        <v>-0.25</v>
      </c>
      <c r="GD79" s="324" t="str">
        <f t="shared" si="166"/>
        <v/>
      </c>
      <c r="GE79" s="325" t="str">
        <f t="shared" si="167"/>
        <v/>
      </c>
      <c r="GF79" s="278" t="str">
        <f t="shared" si="168"/>
        <v/>
      </c>
      <c r="GG79" s="279" t="str">
        <f t="shared" si="169"/>
        <v/>
      </c>
      <c r="GH79" s="279" t="str">
        <f t="shared" si="170"/>
        <v/>
      </c>
      <c r="GI79" s="280" t="str">
        <f t="shared" si="171"/>
        <v/>
      </c>
      <c r="GJ79" s="530">
        <f t="shared" ca="1" si="172"/>
        <v>0</v>
      </c>
      <c r="GK79" s="895" t="str">
        <f t="shared" ca="1" si="194"/>
        <v/>
      </c>
    </row>
    <row r="80" spans="78:193" ht="12.6" hidden="1" customHeight="1" x14ac:dyDescent="0.2">
      <c r="BZ80" s="293"/>
      <c r="CA80" s="293"/>
      <c r="CB80" s="365" t="str">
        <f t="shared" si="100"/>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1"/>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2"/>
        <v>0</v>
      </c>
      <c r="CU80" s="1317">
        <f t="shared" si="103"/>
        <v>0</v>
      </c>
      <c r="CV80" s="1311" t="str">
        <f t="shared" si="104"/>
        <v/>
      </c>
      <c r="CW80" s="1311" t="str">
        <f t="shared" si="105"/>
        <v/>
      </c>
      <c r="CX80" s="1311" t="str">
        <f t="shared" si="106"/>
        <v/>
      </c>
      <c r="CY80" s="1313">
        <f t="shared" si="107"/>
        <v>0</v>
      </c>
      <c r="CZ80" s="1313">
        <f t="shared" si="108"/>
        <v>0</v>
      </c>
      <c r="DA80" s="1313" t="str">
        <f t="shared" si="109"/>
        <v/>
      </c>
      <c r="DB80" s="1311" t="str">
        <f t="shared" si="173"/>
        <v/>
      </c>
      <c r="DC80" s="1311" t="str">
        <f t="shared" si="110"/>
        <v/>
      </c>
      <c r="DD80" s="875">
        <f t="shared" si="174"/>
        <v>0</v>
      </c>
      <c r="DE80" s="873">
        <f t="shared" si="111"/>
        <v>0</v>
      </c>
      <c r="DF80" s="874">
        <f t="shared" si="112"/>
        <v>0</v>
      </c>
      <c r="DG80" s="874" t="str">
        <f t="shared" si="113"/>
        <v/>
      </c>
      <c r="DH80" s="1311" t="str">
        <f t="shared" si="175"/>
        <v/>
      </c>
      <c r="DI80" s="1311" t="str">
        <f t="shared" si="114"/>
        <v/>
      </c>
      <c r="DJ80" s="1312">
        <f t="shared" si="176"/>
        <v>0</v>
      </c>
      <c r="DK80" s="1311" t="str">
        <f t="shared" si="115"/>
        <v/>
      </c>
      <c r="DL80" s="1311" t="str">
        <f t="shared" si="116"/>
        <v/>
      </c>
      <c r="DM80" s="1311" t="str">
        <f t="shared" si="117"/>
        <v/>
      </c>
      <c r="DN80" s="1311" t="str">
        <f t="shared" si="118"/>
        <v/>
      </c>
      <c r="DO80" s="889" t="str">
        <f t="shared" si="119"/>
        <v>ERR</v>
      </c>
      <c r="DP80" s="889" t="str">
        <f t="shared" si="120"/>
        <v>ERR</v>
      </c>
      <c r="DQ80" s="1311" t="str">
        <f t="shared" si="121"/>
        <v/>
      </c>
      <c r="DR80" s="1311" t="str">
        <f t="shared" si="121"/>
        <v/>
      </c>
      <c r="DS80" s="1311" t="str">
        <f t="shared" si="122"/>
        <v/>
      </c>
      <c r="DT80" s="1311" t="str">
        <f t="shared" si="123"/>
        <v/>
      </c>
      <c r="DU80" s="1311" t="str">
        <f t="shared" si="124"/>
        <v/>
      </c>
      <c r="DV80" s="889" t="str">
        <f t="shared" si="125"/>
        <v>ERR</v>
      </c>
      <c r="DW80" s="889" t="str">
        <f t="shared" si="126"/>
        <v>ERR</v>
      </c>
      <c r="DX80" s="873" t="str">
        <f t="shared" si="195"/>
        <v/>
      </c>
      <c r="DY80" s="873" t="str">
        <f t="shared" si="195"/>
        <v/>
      </c>
      <c r="DZ80" s="873" t="str">
        <f t="shared" si="128"/>
        <v/>
      </c>
      <c r="EA80" s="873" t="str">
        <f t="shared" si="129"/>
        <v/>
      </c>
      <c r="EB80" s="876" t="str">
        <f t="shared" si="130"/>
        <v/>
      </c>
      <c r="EC80" s="877" t="str">
        <f t="shared" si="131"/>
        <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t="str">
        <f t="shared" si="143"/>
        <v/>
      </c>
      <c r="EP80" s="874">
        <f t="shared" si="144"/>
        <v>0</v>
      </c>
      <c r="EQ80" s="874">
        <f t="shared" si="145"/>
        <v>0</v>
      </c>
      <c r="ER80" s="874">
        <f t="shared" si="146"/>
        <v>0</v>
      </c>
      <c r="ES80" s="874" t="str">
        <f t="shared" si="147"/>
        <v/>
      </c>
      <c r="ET80" s="873" t="str">
        <f t="shared" si="148"/>
        <v/>
      </c>
      <c r="EU80" s="873">
        <f t="shared" si="149"/>
        <v>0</v>
      </c>
      <c r="EV80" s="876" t="e">
        <f t="shared" si="150"/>
        <v>#VALUE!</v>
      </c>
      <c r="EW80" s="876" t="e">
        <f t="shared" si="151"/>
        <v>#VALUE!</v>
      </c>
      <c r="EX80" s="878" t="str">
        <f t="shared" si="152"/>
        <v/>
      </c>
      <c r="EY80" s="879" t="e">
        <f t="shared" si="153"/>
        <v>#DIV/0!</v>
      </c>
      <c r="EZ80" s="959" t="e">
        <f t="shared" si="154"/>
        <v>#DIV/0!</v>
      </c>
      <c r="FA80" s="960" t="e">
        <f t="shared" si="155"/>
        <v>#DIV/0!</v>
      </c>
      <c r="FB80" s="880" t="str">
        <f t="shared" si="156"/>
        <v/>
      </c>
      <c r="FC80" s="881" t="str">
        <f t="shared" si="157"/>
        <v/>
      </c>
      <c r="FD80" s="890">
        <f t="shared" si="158"/>
        <v>0</v>
      </c>
      <c r="FE80" s="833">
        <f t="shared" si="159"/>
        <v>0</v>
      </c>
      <c r="FF80" s="754" t="b">
        <f t="shared" si="160"/>
        <v>0</v>
      </c>
      <c r="FG80" s="754" t="b">
        <f t="shared" si="161"/>
        <v>0</v>
      </c>
      <c r="FH80" s="754" t="b">
        <f t="shared" si="162"/>
        <v>0</v>
      </c>
      <c r="FI80" s="754" t="b">
        <f t="shared" si="163"/>
        <v>0</v>
      </c>
      <c r="FJ80" s="920" t="str">
        <f t="shared" si="177"/>
        <v/>
      </c>
      <c r="FK80" s="919" t="str">
        <f t="shared" si="178"/>
        <v>G89</v>
      </c>
      <c r="FL80" s="320">
        <f t="shared" si="179"/>
        <v>714</v>
      </c>
      <c r="FM80" s="312" t="str">
        <f t="shared" si="164"/>
        <v/>
      </c>
      <c r="FN80" s="272" t="str">
        <f t="shared" ca="1" si="180"/>
        <v/>
      </c>
      <c r="FO80" s="273" t="str">
        <f t="shared" ca="1" si="181"/>
        <v/>
      </c>
      <c r="FP80" s="274" t="str">
        <f t="shared" ca="1" si="182"/>
        <v/>
      </c>
      <c r="FQ80" s="274" t="str">
        <f t="shared" ca="1" si="183"/>
        <v/>
      </c>
      <c r="FR80" s="321">
        <f t="shared" ca="1" si="184"/>
        <v>0</v>
      </c>
      <c r="FS80" s="322">
        <f t="shared" ca="1" si="185"/>
        <v>0</v>
      </c>
      <c r="FT80" s="272" t="str">
        <f t="shared" ca="1" si="186"/>
        <v/>
      </c>
      <c r="FU80" s="275" t="str">
        <f t="shared" ca="1" si="187"/>
        <v/>
      </c>
      <c r="FV80" s="323" t="str">
        <f t="shared" ca="1" si="165"/>
        <v/>
      </c>
      <c r="FW80" s="276" t="str">
        <f t="shared" ca="1" si="188"/>
        <v/>
      </c>
      <c r="FX80" s="276" t="str">
        <f t="shared" ca="1" si="189"/>
        <v/>
      </c>
      <c r="FY80" s="276" t="str">
        <f t="shared" ca="1" si="190"/>
        <v/>
      </c>
      <c r="FZ80" s="276" t="str">
        <f t="shared" ca="1" si="191"/>
        <v/>
      </c>
      <c r="GA80" s="276" t="str">
        <f t="shared" ca="1" si="192"/>
        <v/>
      </c>
      <c r="GB80" s="277" t="str">
        <f ca="1">IF(FY80="","",2+SUM(FO80:OFFSET(FO80,(FU80-1)*-1,0)))</f>
        <v/>
      </c>
      <c r="GC80" s="316">
        <f t="shared" si="193"/>
        <v>-0.25</v>
      </c>
      <c r="GD80" s="324" t="str">
        <f t="shared" si="166"/>
        <v/>
      </c>
      <c r="GE80" s="325" t="str">
        <f t="shared" si="167"/>
        <v/>
      </c>
      <c r="GF80" s="278" t="str">
        <f t="shared" si="168"/>
        <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1"/>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2"/>
        <v>0</v>
      </c>
      <c r="CU81" s="1317">
        <f t="shared" si="103"/>
        <v>0</v>
      </c>
      <c r="CV81" s="1311" t="str">
        <f t="shared" si="104"/>
        <v/>
      </c>
      <c r="CW81" s="1311" t="str">
        <f t="shared" si="105"/>
        <v/>
      </c>
      <c r="CX81" s="1311" t="str">
        <f t="shared" si="106"/>
        <v/>
      </c>
      <c r="CY81" s="1313">
        <f t="shared" si="107"/>
        <v>0</v>
      </c>
      <c r="CZ81" s="1313">
        <f t="shared" si="108"/>
        <v>0</v>
      </c>
      <c r="DA81" s="1313" t="str">
        <f t="shared" si="109"/>
        <v/>
      </c>
      <c r="DB81" s="1311" t="str">
        <f t="shared" si="173"/>
        <v/>
      </c>
      <c r="DC81" s="1311" t="str">
        <f t="shared" si="110"/>
        <v/>
      </c>
      <c r="DD81" s="875">
        <f t="shared" si="174"/>
        <v>0</v>
      </c>
      <c r="DE81" s="873">
        <f t="shared" si="111"/>
        <v>0</v>
      </c>
      <c r="DF81" s="874">
        <f t="shared" si="112"/>
        <v>0</v>
      </c>
      <c r="DG81" s="874" t="str">
        <f t="shared" si="113"/>
        <v/>
      </c>
      <c r="DH81" s="1311" t="str">
        <f t="shared" si="175"/>
        <v/>
      </c>
      <c r="DI81" s="1311" t="str">
        <f t="shared" si="114"/>
        <v/>
      </c>
      <c r="DJ81" s="1312">
        <f t="shared" si="176"/>
        <v>0</v>
      </c>
      <c r="DK81" s="1311" t="str">
        <f t="shared" si="115"/>
        <v/>
      </c>
      <c r="DL81" s="1311" t="str">
        <f t="shared" si="116"/>
        <v/>
      </c>
      <c r="DM81" s="1311" t="str">
        <f t="shared" si="117"/>
        <v/>
      </c>
      <c r="DN81" s="1311" t="str">
        <f t="shared" si="118"/>
        <v/>
      </c>
      <c r="DO81" s="889" t="str">
        <f t="shared" si="119"/>
        <v>ERR</v>
      </c>
      <c r="DP81" s="889" t="str">
        <f t="shared" si="120"/>
        <v>ERR</v>
      </c>
      <c r="DQ81" s="1311" t="str">
        <f t="shared" si="121"/>
        <v/>
      </c>
      <c r="DR81" s="1311" t="str">
        <f t="shared" si="121"/>
        <v/>
      </c>
      <c r="DS81" s="1311" t="str">
        <f t="shared" si="122"/>
        <v/>
      </c>
      <c r="DT81" s="1311" t="str">
        <f t="shared" si="123"/>
        <v/>
      </c>
      <c r="DU81" s="1311"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G89</v>
      </c>
      <c r="FL81" s="320">
        <f t="shared" si="179"/>
        <v>714</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f t="shared" si="193"/>
        <v>-0.25</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1"/>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2"/>
        <v>0</v>
      </c>
      <c r="CU82" s="1317">
        <f t="shared" si="103"/>
        <v>0</v>
      </c>
      <c r="CV82" s="1311" t="str">
        <f t="shared" si="104"/>
        <v/>
      </c>
      <c r="CW82" s="1311" t="str">
        <f t="shared" si="105"/>
        <v/>
      </c>
      <c r="CX82" s="1311" t="str">
        <f t="shared" si="106"/>
        <v/>
      </c>
      <c r="CY82" s="1313">
        <f t="shared" si="107"/>
        <v>0</v>
      </c>
      <c r="CZ82" s="1313">
        <f t="shared" si="108"/>
        <v>0</v>
      </c>
      <c r="DA82" s="1313" t="str">
        <f t="shared" si="109"/>
        <v/>
      </c>
      <c r="DB82" s="1311" t="str">
        <f t="shared" si="173"/>
        <v/>
      </c>
      <c r="DC82" s="1311" t="str">
        <f t="shared" si="110"/>
        <v/>
      </c>
      <c r="DD82" s="875">
        <f t="shared" si="174"/>
        <v>0</v>
      </c>
      <c r="DE82" s="873">
        <f t="shared" si="111"/>
        <v>0</v>
      </c>
      <c r="DF82" s="874">
        <f t="shared" si="112"/>
        <v>0</v>
      </c>
      <c r="DG82" s="874" t="str">
        <f t="shared" si="113"/>
        <v/>
      </c>
      <c r="DH82" s="1311" t="str">
        <f t="shared" si="175"/>
        <v/>
      </c>
      <c r="DI82" s="1311" t="str">
        <f t="shared" si="114"/>
        <v/>
      </c>
      <c r="DJ82" s="1312">
        <f t="shared" si="176"/>
        <v>0</v>
      </c>
      <c r="DK82" s="1311" t="str">
        <f t="shared" si="115"/>
        <v/>
      </c>
      <c r="DL82" s="1311" t="str">
        <f t="shared" si="116"/>
        <v/>
      </c>
      <c r="DM82" s="1311" t="str">
        <f t="shared" si="117"/>
        <v/>
      </c>
      <c r="DN82" s="1311" t="str">
        <f t="shared" si="118"/>
        <v/>
      </c>
      <c r="DO82" s="889" t="str">
        <f t="shared" si="119"/>
        <v>ERR</v>
      </c>
      <c r="DP82" s="889" t="str">
        <f t="shared" si="120"/>
        <v>ERR</v>
      </c>
      <c r="DQ82" s="1311" t="str">
        <f t="shared" si="121"/>
        <v/>
      </c>
      <c r="DR82" s="1311" t="str">
        <f t="shared" si="121"/>
        <v/>
      </c>
      <c r="DS82" s="1311" t="str">
        <f t="shared" si="122"/>
        <v/>
      </c>
      <c r="DT82" s="1311" t="str">
        <f t="shared" si="123"/>
        <v/>
      </c>
      <c r="DU82" s="1311"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G89</v>
      </c>
      <c r="FL82" s="320">
        <f t="shared" si="179"/>
        <v>714</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f t="shared" si="193"/>
        <v>-0.25</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1"/>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2"/>
        <v>0</v>
      </c>
      <c r="CU83" s="1317">
        <f t="shared" si="103"/>
        <v>0</v>
      </c>
      <c r="CV83" s="1311" t="str">
        <f t="shared" si="104"/>
        <v/>
      </c>
      <c r="CW83" s="1311" t="str">
        <f t="shared" si="105"/>
        <v/>
      </c>
      <c r="CX83" s="1311" t="str">
        <f t="shared" si="106"/>
        <v/>
      </c>
      <c r="CY83" s="1313">
        <f t="shared" si="107"/>
        <v>0</v>
      </c>
      <c r="CZ83" s="1313">
        <f t="shared" si="108"/>
        <v>0</v>
      </c>
      <c r="DA83" s="1313" t="str">
        <f t="shared" si="109"/>
        <v/>
      </c>
      <c r="DB83" s="1311" t="str">
        <f t="shared" si="173"/>
        <v/>
      </c>
      <c r="DC83" s="1311" t="str">
        <f t="shared" si="110"/>
        <v/>
      </c>
      <c r="DD83" s="875">
        <f t="shared" si="174"/>
        <v>0</v>
      </c>
      <c r="DE83" s="873">
        <f t="shared" si="111"/>
        <v>0</v>
      </c>
      <c r="DF83" s="874">
        <f t="shared" si="112"/>
        <v>0</v>
      </c>
      <c r="DG83" s="874" t="str">
        <f t="shared" si="113"/>
        <v/>
      </c>
      <c r="DH83" s="1311" t="str">
        <f t="shared" si="175"/>
        <v/>
      </c>
      <c r="DI83" s="1311" t="str">
        <f t="shared" si="114"/>
        <v/>
      </c>
      <c r="DJ83" s="1312">
        <f t="shared" si="176"/>
        <v>0</v>
      </c>
      <c r="DK83" s="1311" t="str">
        <f t="shared" si="115"/>
        <v/>
      </c>
      <c r="DL83" s="1311" t="str">
        <f t="shared" si="116"/>
        <v/>
      </c>
      <c r="DM83" s="1311" t="str">
        <f t="shared" si="117"/>
        <v/>
      </c>
      <c r="DN83" s="1311" t="str">
        <f t="shared" si="118"/>
        <v/>
      </c>
      <c r="DO83" s="889" t="str">
        <f t="shared" si="119"/>
        <v>ERR</v>
      </c>
      <c r="DP83" s="889" t="str">
        <f t="shared" si="120"/>
        <v>ERR</v>
      </c>
      <c r="DQ83" s="1311" t="str">
        <f t="shared" si="121"/>
        <v/>
      </c>
      <c r="DR83" s="1311" t="str">
        <f t="shared" si="121"/>
        <v/>
      </c>
      <c r="DS83" s="1311" t="str">
        <f t="shared" si="122"/>
        <v/>
      </c>
      <c r="DT83" s="1311" t="str">
        <f t="shared" si="123"/>
        <v/>
      </c>
      <c r="DU83" s="1311"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G89</v>
      </c>
      <c r="FL83" s="320">
        <f t="shared" si="179"/>
        <v>714</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f t="shared" si="193"/>
        <v>-0.25</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1"/>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2"/>
        <v>0</v>
      </c>
      <c r="CU84" s="1317">
        <f t="shared" si="103"/>
        <v>0</v>
      </c>
      <c r="CV84" s="1311" t="str">
        <f t="shared" si="104"/>
        <v/>
      </c>
      <c r="CW84" s="1311" t="str">
        <f t="shared" si="105"/>
        <v/>
      </c>
      <c r="CX84" s="1311" t="str">
        <f t="shared" si="106"/>
        <v/>
      </c>
      <c r="CY84" s="1313">
        <f t="shared" si="107"/>
        <v>0</v>
      </c>
      <c r="CZ84" s="1313">
        <f t="shared" si="108"/>
        <v>0</v>
      </c>
      <c r="DA84" s="1313" t="str">
        <f t="shared" si="109"/>
        <v/>
      </c>
      <c r="DB84" s="1311" t="str">
        <f t="shared" si="173"/>
        <v/>
      </c>
      <c r="DC84" s="1311" t="str">
        <f t="shared" si="110"/>
        <v/>
      </c>
      <c r="DD84" s="875">
        <f t="shared" si="174"/>
        <v>0</v>
      </c>
      <c r="DE84" s="873">
        <f t="shared" si="111"/>
        <v>0</v>
      </c>
      <c r="DF84" s="874">
        <f t="shared" si="112"/>
        <v>0</v>
      </c>
      <c r="DG84" s="874" t="str">
        <f t="shared" si="113"/>
        <v/>
      </c>
      <c r="DH84" s="1311" t="str">
        <f t="shared" si="175"/>
        <v/>
      </c>
      <c r="DI84" s="1311" t="str">
        <f t="shared" si="114"/>
        <v/>
      </c>
      <c r="DJ84" s="1312">
        <f t="shared" si="176"/>
        <v>0</v>
      </c>
      <c r="DK84" s="1311" t="str">
        <f t="shared" si="115"/>
        <v/>
      </c>
      <c r="DL84" s="1311" t="str">
        <f t="shared" si="116"/>
        <v/>
      </c>
      <c r="DM84" s="1311" t="str">
        <f t="shared" si="117"/>
        <v/>
      </c>
      <c r="DN84" s="1311" t="str">
        <f t="shared" si="118"/>
        <v/>
      </c>
      <c r="DO84" s="889" t="str">
        <f t="shared" si="119"/>
        <v>ERR</v>
      </c>
      <c r="DP84" s="889" t="str">
        <f t="shared" si="120"/>
        <v>ERR</v>
      </c>
      <c r="DQ84" s="1311" t="str">
        <f t="shared" si="121"/>
        <v/>
      </c>
      <c r="DR84" s="1311" t="str">
        <f t="shared" si="121"/>
        <v/>
      </c>
      <c r="DS84" s="1311" t="str">
        <f t="shared" si="122"/>
        <v/>
      </c>
      <c r="DT84" s="1311" t="str">
        <f t="shared" si="123"/>
        <v/>
      </c>
      <c r="DU84" s="1311"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G89</v>
      </c>
      <c r="FL84" s="320">
        <f t="shared" si="179"/>
        <v>714</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f t="shared" si="193"/>
        <v>-0.25</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1"/>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2"/>
        <v>0</v>
      </c>
      <c r="CU85" s="1317">
        <f t="shared" si="103"/>
        <v>0</v>
      </c>
      <c r="CV85" s="1311" t="str">
        <f t="shared" si="104"/>
        <v/>
      </c>
      <c r="CW85" s="1311" t="str">
        <f t="shared" si="105"/>
        <v/>
      </c>
      <c r="CX85" s="1311" t="str">
        <f t="shared" si="106"/>
        <v/>
      </c>
      <c r="CY85" s="1313">
        <f t="shared" si="107"/>
        <v>0</v>
      </c>
      <c r="CZ85" s="1313">
        <f t="shared" si="108"/>
        <v>0</v>
      </c>
      <c r="DA85" s="1313" t="str">
        <f t="shared" si="109"/>
        <v/>
      </c>
      <c r="DB85" s="1311" t="str">
        <f t="shared" si="173"/>
        <v/>
      </c>
      <c r="DC85" s="1311" t="str">
        <f t="shared" si="110"/>
        <v/>
      </c>
      <c r="DD85" s="875">
        <f t="shared" si="174"/>
        <v>0</v>
      </c>
      <c r="DE85" s="873">
        <f t="shared" si="111"/>
        <v>0</v>
      </c>
      <c r="DF85" s="874">
        <f t="shared" si="112"/>
        <v>0</v>
      </c>
      <c r="DG85" s="874" t="str">
        <f t="shared" si="113"/>
        <v/>
      </c>
      <c r="DH85" s="1311" t="str">
        <f t="shared" si="175"/>
        <v/>
      </c>
      <c r="DI85" s="1311" t="str">
        <f t="shared" si="114"/>
        <v/>
      </c>
      <c r="DJ85" s="1312">
        <f t="shared" si="176"/>
        <v>0</v>
      </c>
      <c r="DK85" s="1311" t="str">
        <f t="shared" si="115"/>
        <v/>
      </c>
      <c r="DL85" s="1311" t="str">
        <f t="shared" si="116"/>
        <v/>
      </c>
      <c r="DM85" s="1311" t="str">
        <f t="shared" si="117"/>
        <v/>
      </c>
      <c r="DN85" s="1311" t="str">
        <f t="shared" si="118"/>
        <v/>
      </c>
      <c r="DO85" s="889" t="str">
        <f t="shared" si="119"/>
        <v>ERR</v>
      </c>
      <c r="DP85" s="889" t="str">
        <f t="shared" si="120"/>
        <v>ERR</v>
      </c>
      <c r="DQ85" s="1311" t="str">
        <f t="shared" si="121"/>
        <v/>
      </c>
      <c r="DR85" s="1311" t="str">
        <f t="shared" si="121"/>
        <v/>
      </c>
      <c r="DS85" s="1311" t="str">
        <f t="shared" si="122"/>
        <v/>
      </c>
      <c r="DT85" s="1311" t="str">
        <f t="shared" si="123"/>
        <v/>
      </c>
      <c r="DU85" s="1311"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G89</v>
      </c>
      <c r="FL85" s="327">
        <f t="shared" si="179"/>
        <v>714</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f t="shared" si="193"/>
        <v>-0.25</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1"/>
      <c r="AA86" s="947"/>
      <c r="AB86" s="948"/>
    </row>
    <row r="87" spans="1:193" ht="15" hidden="1" customHeight="1" x14ac:dyDescent="0.25">
      <c r="A87" s="1215" t="str">
        <f>IF(ISBLANK(CB87),"",CB87)</f>
        <v/>
      </c>
      <c r="B87" s="1679" t="str">
        <f t="shared" ref="B87" si="196">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D5CVfpgyCzFGLdLo4kNVl7EeP7PHby12++Q0swc35ZIFQKGRk5L0JqRhinzxdsnNH7tURIxmfgu4u7lMvzyrZQ==" saltValue="Wr6iXNn1ywUecovS5sLSpQ==" spinCount="100000" sheet="1" objects="1" scenarios="1" selectLockedCells="1"/>
  <mergeCells count="314">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IT12:IT13"/>
    <mergeCell ref="IU12:IU13"/>
    <mergeCell ref="IV12:IV13"/>
    <mergeCell ref="IW12:IW13"/>
    <mergeCell ref="IL12:IL13"/>
    <mergeCell ref="IM12:IM13"/>
    <mergeCell ref="IN12:IN13"/>
    <mergeCell ref="IO12:IO13"/>
    <mergeCell ref="IP12:IP13"/>
    <mergeCell ref="IQ12:IQ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GF12:GF13"/>
    <mergeCell ref="GG12:GH12"/>
    <mergeCell ref="GI12:GJ12"/>
    <mergeCell ref="GK12:GK13"/>
    <mergeCell ref="GL12:GL13"/>
    <mergeCell ref="GM12:GM13"/>
    <mergeCell ref="EN12:EP12"/>
    <mergeCell ref="EQ12:EQ13"/>
    <mergeCell ref="ER12:ES12"/>
    <mergeCell ref="GA12:GB12"/>
    <mergeCell ref="GC12:GD12"/>
    <mergeCell ref="GE12:GE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DL12:DL13"/>
    <mergeCell ref="DM12:DN13"/>
    <mergeCell ref="DQ12:DQ13"/>
    <mergeCell ref="DS12:DS13"/>
    <mergeCell ref="DT12:DU12"/>
    <mergeCell ref="DV12:DW12"/>
    <mergeCell ref="CX12:CZ12"/>
    <mergeCell ref="DA12:DA13"/>
    <mergeCell ref="DD12:DD13"/>
    <mergeCell ref="DE12:DE13"/>
    <mergeCell ref="DI12:DI13"/>
    <mergeCell ref="DJ12:D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S12:W12"/>
    <mergeCell ref="X12:Y12"/>
    <mergeCell ref="AA12:AA13"/>
    <mergeCell ref="B12:B13"/>
    <mergeCell ref="C12:C13"/>
    <mergeCell ref="D12:E13"/>
    <mergeCell ref="F12:F13"/>
    <mergeCell ref="G12:I12"/>
    <mergeCell ref="J12:L12"/>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s>
  <conditionalFormatting sqref="FQ54:FR85">
    <cfRule type="cellIs" dxfId="443" priority="58" stopIfTrue="1" operator="lessThan">
      <formula>0</formula>
    </cfRule>
  </conditionalFormatting>
  <conditionalFormatting sqref="DI14">
    <cfRule type="expression" dxfId="442" priority="48">
      <formula>UPPER(#REF!)="X"</formula>
    </cfRule>
  </conditionalFormatting>
  <conditionalFormatting sqref="DJ14">
    <cfRule type="expression" dxfId="441" priority="59">
      <formula>OR(UPPER(#REF!)="X",UPPER(#REF!="X"))</formula>
    </cfRule>
  </conditionalFormatting>
  <conditionalFormatting sqref="DK14">
    <cfRule type="expression" dxfId="440" priority="60">
      <formula>OR(UPPER(#REF!)="X",UPPER(#REF!="X"))</formula>
    </cfRule>
  </conditionalFormatting>
  <conditionalFormatting sqref="Q2:T4 AU2:AX4">
    <cfRule type="cellIs" dxfId="439" priority="62" stopIfTrue="1" operator="equal">
      <formula>""</formula>
    </cfRule>
  </conditionalFormatting>
  <conditionalFormatting sqref="DM54:DM85">
    <cfRule type="cellIs" dxfId="438" priority="57" stopIfTrue="1" operator="notEqual">
      <formula>DN54</formula>
    </cfRule>
  </conditionalFormatting>
  <conditionalFormatting sqref="DT54:DT85">
    <cfRule type="cellIs" dxfId="437" priority="56" stopIfTrue="1" operator="notEqual">
      <formula>DU54</formula>
    </cfRule>
  </conditionalFormatting>
  <conditionalFormatting sqref="DA4">
    <cfRule type="expression" dxfId="436" priority="55" stopIfTrue="1">
      <formula>NOT(ISBLANK($DA$4))</formula>
    </cfRule>
  </conditionalFormatting>
  <conditionalFormatting sqref="M7">
    <cfRule type="expression" dxfId="435" priority="53" stopIfTrue="1">
      <formula>OR(ISBLANK($M$7),$M$7="")</formula>
    </cfRule>
    <cfRule type="expression" dxfId="434" priority="54" stopIfTrue="1">
      <formula>NOT(OR(COUNTIF(masterFinishList, $M$7) &gt; 0, COUNTIF($M$7, "Other:*") &gt; 0))</formula>
    </cfRule>
  </conditionalFormatting>
  <conditionalFormatting sqref="A14:B45 A87:B87">
    <cfRule type="expression" dxfId="433" priority="40" stopIfTrue="1">
      <formula>AND(NOT($BK$1),$B14=0,OR($BJ$1="",$BJ$1="M"))</formula>
    </cfRule>
  </conditionalFormatting>
  <conditionalFormatting sqref="C14:C45">
    <cfRule type="expression" dxfId="432" priority="46">
      <formula>AND(NOT($BK14),NOT(BR14))</formula>
    </cfRule>
  </conditionalFormatting>
  <conditionalFormatting sqref="U14:U45">
    <cfRule type="expression" dxfId="431" priority="51">
      <formula>AND(NOT($BK14),BV14="No")</formula>
    </cfRule>
  </conditionalFormatting>
  <conditionalFormatting sqref="V14:V45">
    <cfRule type="expression" dxfId="430" priority="52">
      <formula>AND(NOT($BK14),BV14="No")</formula>
    </cfRule>
  </conditionalFormatting>
  <conditionalFormatting sqref="S14:S45">
    <cfRule type="expression" dxfId="429" priority="49">
      <formula>AND(NOT($BK14),BT14="No")</formula>
    </cfRule>
  </conditionalFormatting>
  <conditionalFormatting sqref="T14:T45">
    <cfRule type="expression" dxfId="428" priority="50">
      <formula>AND(NOT($BK14),BT14="No")</formula>
    </cfRule>
  </conditionalFormatting>
  <conditionalFormatting sqref="W14:W45">
    <cfRule type="expression" dxfId="427" priority="36">
      <formula>$W14=0</formula>
    </cfRule>
  </conditionalFormatting>
  <conditionalFormatting sqref="DI15:DI45">
    <cfRule type="expression" dxfId="426" priority="61">
      <formula>FM54="X"</formula>
    </cfRule>
  </conditionalFormatting>
  <conditionalFormatting sqref="DJ15:DJ45">
    <cfRule type="expression" dxfId="425" priority="63">
      <formula>FM54="X"</formula>
    </cfRule>
  </conditionalFormatting>
  <conditionalFormatting sqref="DK15:DK45">
    <cfRule type="expression" dxfId="424" priority="64">
      <formula>FM54="X"</formula>
    </cfRule>
  </conditionalFormatting>
  <conditionalFormatting sqref="DT14:DU45">
    <cfRule type="expression" dxfId="423" priority="65">
      <formula>GD54=0</formula>
    </cfRule>
  </conditionalFormatting>
  <conditionalFormatting sqref="DH14:DH45">
    <cfRule type="expression" dxfId="422" priority="15">
      <formula>NOT($FQ14)</formula>
    </cfRule>
    <cfRule type="expression" dxfId="421" priority="66">
      <formula>FJ54="G"</formula>
    </cfRule>
  </conditionalFormatting>
  <conditionalFormatting sqref="DM14:DN45">
    <cfRule type="expression" dxfId="420" priority="67">
      <formula>FIND("B",$GK54)</formula>
    </cfRule>
  </conditionalFormatting>
  <conditionalFormatting sqref="DJ14:DK45">
    <cfRule type="expression" dxfId="419" priority="68">
      <formula>FIND("A",$GK54)</formula>
    </cfRule>
  </conditionalFormatting>
  <conditionalFormatting sqref="DL14:DL45">
    <cfRule type="expression" dxfId="418" priority="3">
      <formula>AND(NOT(ISBLANK($DH14)),ISBLANK($DL14))</formula>
    </cfRule>
    <cfRule type="expression" dxfId="417" priority="47">
      <formula>FIND("B",$GK54)</formula>
    </cfRule>
  </conditionalFormatting>
  <conditionalFormatting sqref="DI14:DI45">
    <cfRule type="expression" dxfId="416" priority="69">
      <formula>NOT($EY14)</formula>
    </cfRule>
  </conditionalFormatting>
  <conditionalFormatting sqref="DQ14:DQ45">
    <cfRule type="expression" dxfId="415" priority="39">
      <formula>DQ14&lt;&gt;EZ14</formula>
    </cfRule>
  </conditionalFormatting>
  <conditionalFormatting sqref="AD87:AE87 AD14:AE45">
    <cfRule type="expression" dxfId="414" priority="43">
      <formula>AND(NOT($BZ14),FIND("A",$GK54))</formula>
    </cfRule>
  </conditionalFormatting>
  <conditionalFormatting sqref="AI87:AJ87 AI14:AJ45">
    <cfRule type="expression" dxfId="413" priority="44">
      <formula>AND(NOT($BZ14),FIND("B",$GK54))</formula>
    </cfRule>
  </conditionalFormatting>
  <conditionalFormatting sqref="AC14:AC45">
    <cfRule type="expression" dxfId="412" priority="45">
      <formula>AND(NOT($BZ14),NOT($EY14))</formula>
    </cfRule>
  </conditionalFormatting>
  <conditionalFormatting sqref="AM14:AM45">
    <cfRule type="expression" dxfId="411" priority="41">
      <formula>AND(NOT($BZ14),AM14&lt;&gt;EZ14)</formula>
    </cfRule>
  </conditionalFormatting>
  <conditionalFormatting sqref="FF14:FF45">
    <cfRule type="expression" dxfId="410" priority="42">
      <formula>$FC14=0</formula>
    </cfRule>
  </conditionalFormatting>
  <conditionalFormatting sqref="AD14:AJ45">
    <cfRule type="expression" dxfId="409" priority="38">
      <formula>AND(NOT($BZ14),NOT($FA14))</formula>
    </cfRule>
  </conditionalFormatting>
  <conditionalFormatting sqref="DB14:DC45">
    <cfRule type="expression" dxfId="408" priority="37">
      <formula>AND(NOT($BK14),LEN($Z14)&gt;27)</formula>
    </cfRule>
  </conditionalFormatting>
  <conditionalFormatting sqref="C87">
    <cfRule type="expression" dxfId="407" priority="30" stopIfTrue="1">
      <formula>AND(NOT($BK87),NOT(BR87))</formula>
    </cfRule>
  </conditionalFormatting>
  <conditionalFormatting sqref="U87">
    <cfRule type="expression" dxfId="406" priority="34" stopIfTrue="1">
      <formula>AND(NOT($BK87),BV87="No")</formula>
    </cfRule>
  </conditionalFormatting>
  <conditionalFormatting sqref="V87">
    <cfRule type="expression" dxfId="405" priority="35" stopIfTrue="1">
      <formula>AND(NOT($BK87),BV87="No")</formula>
    </cfRule>
  </conditionalFormatting>
  <conditionalFormatting sqref="S87">
    <cfRule type="expression" dxfId="404" priority="32" stopIfTrue="1">
      <formula>AND(NOT($BK87),BT87="No")</formula>
    </cfRule>
  </conditionalFormatting>
  <conditionalFormatting sqref="T87">
    <cfRule type="expression" dxfId="403" priority="33" stopIfTrue="1">
      <formula>AND(NOT($BK87),BT87="No")</formula>
    </cfRule>
  </conditionalFormatting>
  <conditionalFormatting sqref="W87">
    <cfRule type="expression" dxfId="402" priority="22">
      <formula>$W87=0</formula>
    </cfRule>
  </conditionalFormatting>
  <conditionalFormatting sqref="AR87:AS87 AR14:AS45">
    <cfRule type="expression" dxfId="401" priority="25">
      <formula>AND(NOT($BZ14),$FF54)</formula>
    </cfRule>
  </conditionalFormatting>
  <conditionalFormatting sqref="AV87:AW87 AV14:AW45">
    <cfRule type="expression" dxfId="400" priority="26">
      <formula>AND(NOT($BZ14),$FG54)</formula>
    </cfRule>
  </conditionalFormatting>
  <conditionalFormatting sqref="AZ87:BA87 AZ14:BA45">
    <cfRule type="expression" dxfId="399" priority="27">
      <formula>AND(NOT($BZ14),$FH54)</formula>
    </cfRule>
  </conditionalFormatting>
  <conditionalFormatting sqref="BD87:BE87 BD14:BE45">
    <cfRule type="expression" dxfId="398" priority="28">
      <formula>AND(NOT($BZ14),$FI54)</formula>
    </cfRule>
  </conditionalFormatting>
  <conditionalFormatting sqref="AC87">
    <cfRule type="expression" dxfId="397" priority="29">
      <formula>AND(NOT($BZ87),NOT($EY87))</formula>
    </cfRule>
  </conditionalFormatting>
  <conditionalFormatting sqref="AM87">
    <cfRule type="expression" dxfId="396" priority="24">
      <formula>AND(NOT($BZ87),AM87&lt;&gt;EZ87)</formula>
    </cfRule>
  </conditionalFormatting>
  <conditionalFormatting sqref="AD87:AJ87">
    <cfRule type="expression" dxfId="395" priority="23">
      <formula>AND(NOT($BZ87),NOT($FA87))</formula>
    </cfRule>
  </conditionalFormatting>
  <conditionalFormatting sqref="AA87 A87:Y87">
    <cfRule type="expression" dxfId="394" priority="31">
      <formula>$BI87</formula>
    </cfRule>
  </conditionalFormatting>
  <conditionalFormatting sqref="AB87:BG87">
    <cfRule type="expression" dxfId="393" priority="21">
      <formula>$CA87</formula>
    </cfRule>
  </conditionalFormatting>
  <conditionalFormatting sqref="CD14:CD45">
    <cfRule type="expression" dxfId="392" priority="16">
      <formula>AND(NOT($BK14),NOT($BR14))</formula>
    </cfRule>
  </conditionalFormatting>
  <conditionalFormatting sqref="DD14:DD45">
    <cfRule type="cellIs" dxfId="391" priority="17" operator="greaterThan">
      <formula>EY54</formula>
    </cfRule>
    <cfRule type="expression" dxfId="390" priority="18">
      <formula>AND(ISBLANK(DD14),EY54&gt;0)</formula>
    </cfRule>
  </conditionalFormatting>
  <conditionalFormatting sqref="DE14:DE45">
    <cfRule type="cellIs" dxfId="389" priority="19" operator="lessThan">
      <formula>EX54</formula>
    </cfRule>
    <cfRule type="expression" dxfId="388" priority="20">
      <formula>AND(ISBLANK(DE14),EX54&lt;&gt;"")</formula>
    </cfRule>
  </conditionalFormatting>
  <conditionalFormatting sqref="AB14:AO45 DH14:EK45 BF14:BG45">
    <cfRule type="expression" dxfId="387" priority="70">
      <formula>$FP14</formula>
    </cfRule>
  </conditionalFormatting>
  <conditionalFormatting sqref="A14:Y45 AA14:AA45 DA14:DE45 CB14:CY45">
    <cfRule type="expression" dxfId="386" priority="71">
      <formula>$FN14</formula>
    </cfRule>
  </conditionalFormatting>
  <conditionalFormatting sqref="AB14:AB45">
    <cfRule type="expression" dxfId="385" priority="14">
      <formula>NOT($FQ14)</formula>
    </cfRule>
  </conditionalFormatting>
  <conditionalFormatting sqref="CB14:CB45">
    <cfRule type="expression" dxfId="384" priority="4">
      <formula>NOT($FO14)</formula>
    </cfRule>
  </conditionalFormatting>
  <conditionalFormatting sqref="A14:A45">
    <cfRule type="expression" dxfId="383" priority="12">
      <formula>NOT($FO14)</formula>
    </cfRule>
  </conditionalFormatting>
  <conditionalFormatting sqref="CZ14:CZ45">
    <cfRule type="expression" dxfId="382" priority="11">
      <formula>$FN14</formula>
    </cfRule>
  </conditionalFormatting>
  <conditionalFormatting sqref="Z87">
    <cfRule type="expression" dxfId="381" priority="9">
      <formula>$FN87</formula>
    </cfRule>
  </conditionalFormatting>
  <conditionalFormatting sqref="Z87">
    <cfRule type="expression" dxfId="380" priority="10">
      <formula>AND(NOT($BK87),LEN($Z87)&gt;27)</formula>
    </cfRule>
  </conditionalFormatting>
  <conditionalFormatting sqref="Z14:Z45">
    <cfRule type="expression" dxfId="379" priority="7">
      <formula>$FN14</formula>
    </cfRule>
  </conditionalFormatting>
  <conditionalFormatting sqref="Z14:Z45">
    <cfRule type="expression" dxfId="378" priority="8">
      <formula>AND(NOT($BK14),LEN($Z14)&gt;27)</formula>
    </cfRule>
  </conditionalFormatting>
  <conditionalFormatting sqref="AP14:AQ45">
    <cfRule type="expression" dxfId="377" priority="6">
      <formula>$FP14</formula>
    </cfRule>
  </conditionalFormatting>
  <conditionalFormatting sqref="AR14:BE45">
    <cfRule type="expression" dxfId="376" priority="5">
      <formula>$FP14</formula>
    </cfRule>
  </conditionalFormatting>
  <conditionalFormatting sqref="CB14:CC45">
    <cfRule type="expression" dxfId="375" priority="13">
      <formula>AND(NOT($BK$1),$B14=0,OR($BJ$1="",$BJ$1="M"))</formula>
    </cfRule>
  </conditionalFormatting>
  <conditionalFormatting sqref="CJ14:CJ45">
    <cfRule type="expression" dxfId="374" priority="72">
      <formula>AND(NOT($BK14),OR($CC54="M",$CC54="C",$CC54="G"))</formula>
    </cfRule>
    <cfRule type="expression" dxfId="373" priority="73">
      <formula>AND(NOT($BK14),AND(OR($CC54="B",$CC54="G"),CJ14="",CK14=""))</formula>
    </cfRule>
    <cfRule type="expression" dxfId="372" priority="74">
      <formula>AND(NOT($BK14),EG54="ERR")</formula>
    </cfRule>
  </conditionalFormatting>
  <conditionalFormatting sqref="CK14:CK45">
    <cfRule type="expression" dxfId="371" priority="75">
      <formula>AND(NOT($BK14),OR($CC54="M",$CC54="C",$CC54="G"))</formula>
    </cfRule>
    <cfRule type="expression" dxfId="370" priority="76">
      <formula>AND(NOT($BK14),AND(OR($CC54="B",$CC54="G"),CJ14="",CK14=""))</formula>
    </cfRule>
    <cfRule type="expression" dxfId="369" priority="77">
      <formula>AND(NOT($BK14),EG54="ERR")</formula>
    </cfRule>
  </conditionalFormatting>
  <conditionalFormatting sqref="CH14:CH45">
    <cfRule type="expression" dxfId="368" priority="78">
      <formula>AND(NOT($BK14),OR($CC54="M",$CC54="C"))</formula>
    </cfRule>
    <cfRule type="expression" dxfId="367" priority="79">
      <formula>AND(NOT($BK14),AND(CH14="",CI14="",OR($CC54="B",$CC54="G")))</formula>
    </cfRule>
    <cfRule type="expression" dxfId="366" priority="80">
      <formula>AND(NOT($BK14),(CH14/2)/COS(RADIANS(CL14))+CD54-DC54&lt;$FB$4)</formula>
    </cfRule>
  </conditionalFormatting>
  <conditionalFormatting sqref="CI14:CI45">
    <cfRule type="expression" dxfId="365" priority="81">
      <formula>AND(NOT($BK14),OR($CC54="M",$CC54="C"))</formula>
    </cfRule>
    <cfRule type="expression" dxfId="364" priority="82">
      <formula>AND(NOT($BK14),AND(CH14="",CI14="",OR($CC54="B",$CC54="G")))</formula>
    </cfRule>
    <cfRule type="expression" dxfId="363" priority="83">
      <formula>AND(NOT($BK14),(CI14/2)/COS(RADIANS(CL14))+CD54-DC54&lt;$FB$4)</formula>
    </cfRule>
  </conditionalFormatting>
  <conditionalFormatting sqref="CT14:CT45">
    <cfRule type="expression" dxfId="362" priority="84">
      <formula>AND(NOT($BK14),OR($CL54="M",$CL54="C",$CL54="G"))</formula>
    </cfRule>
    <cfRule type="expression" dxfId="361" priority="85">
      <formula>AND(NOT($BK14),AND(OR($CL54="B",$CL54="G"),CT14="",CU14=""))</formula>
    </cfRule>
    <cfRule type="expression" dxfId="360" priority="86">
      <formula>AND(NOT($BK14),EJ54="ERR")</formula>
    </cfRule>
  </conditionalFormatting>
  <conditionalFormatting sqref="CU14:CU45">
    <cfRule type="expression" dxfId="359" priority="87">
      <formula>AND(NOT($BK14),OR($CL54="M",$CL54="C",$CL54="G"))</formula>
    </cfRule>
    <cfRule type="expression" dxfId="358" priority="88">
      <formula>AND(NOT($BK14),AND(OR($CL54="B",$CL54="G"),CT14="",CU14=""))</formula>
    </cfRule>
    <cfRule type="expression" dxfId="357" priority="89">
      <formula>AND(NOT($BK14),EJ54="ERR")</formula>
    </cfRule>
  </conditionalFormatting>
  <conditionalFormatting sqref="CR14:CR45">
    <cfRule type="expression" dxfId="356" priority="90">
      <formula>AND(NOT($BK14),OR($CL54="M",$CL54="C"))</formula>
    </cfRule>
    <cfRule type="expression" dxfId="355" priority="91">
      <formula>AND(NOT($BK14),AND(CR14="",CS14="",OR($CL54="B",$CL54="G")))</formula>
    </cfRule>
    <cfRule type="expression" dxfId="354" priority="92">
      <formula>AND(NOT($BK14),(CR14/2)/COS(RADIANS(CV14))+CM54-DI54&lt;$FB$4)</formula>
    </cfRule>
  </conditionalFormatting>
  <conditionalFormatting sqref="CS14:CS45">
    <cfRule type="expression" dxfId="353" priority="93">
      <formula>AND(NOT($BK14),OR($CL54="M",$CL54="C"))</formula>
    </cfRule>
    <cfRule type="expression" dxfId="352" priority="94">
      <formula>AND(NOT($BK14),AND(CR14="",CS14="",OR($CL54="B",$CL54="G")))</formula>
    </cfRule>
    <cfRule type="expression" dxfId="351" priority="95">
      <formula>AND(NOT($BK14),(CS14/2)/COS(RADIANS(CV14))+CM54-DI54&lt;$FB$4)</formula>
    </cfRule>
  </conditionalFormatting>
  <conditionalFormatting sqref="CW14:CW45 CM14:CM45">
    <cfRule type="expression" dxfId="350" priority="96">
      <formula>AND(NOT($BK14),AND(ISBLANK(CM14),AND(NOT(ISBLANK(CL14)),$DA14&lt;&gt;0)))</formula>
    </cfRule>
  </conditionalFormatting>
  <conditionalFormatting sqref="GA48:GB48">
    <cfRule type="expression" dxfId="349" priority="2" stopIfTrue="1">
      <formula>$GM50&gt;=0.125</formula>
    </cfRule>
  </conditionalFormatting>
  <conditionalFormatting sqref="CO14:CO45">
    <cfRule type="expression" dxfId="348" priority="97">
      <formula>ET14&lt;&gt;""</formula>
    </cfRule>
  </conditionalFormatting>
  <conditionalFormatting sqref="CY14:CY45">
    <cfRule type="expression" dxfId="347" priority="98">
      <formula>EU14&lt;&gt;""</formula>
    </cfRule>
  </conditionalFormatting>
  <conditionalFormatting sqref="CG14:CG45">
    <cfRule type="expression" dxfId="346" priority="99">
      <formula>AND(NOT($BK14),ISERROR(CC54))</formula>
    </cfRule>
    <cfRule type="expression" dxfId="345" priority="100">
      <formula>AND(NOT($BK14),OR(ISERROR(CC54),CC54="", ET14&lt;&gt;""))</formula>
    </cfRule>
  </conditionalFormatting>
  <conditionalFormatting sqref="CQ14:CQ45">
    <cfRule type="expression" dxfId="344" priority="101">
      <formula>AND(NOT($BK14),ISERROR(CL54))</formula>
    </cfRule>
    <cfRule type="expression" dxfId="343" priority="102">
      <formula>AND(NOT($BK14),OR(CL54="", EU14&lt;&gt;""))</formula>
    </cfRule>
  </conditionalFormatting>
  <conditionalFormatting sqref="DC14:DC45">
    <cfRule type="expression" dxfId="342" priority="103">
      <formula>OR(EN14&lt;&gt;"",EO14&lt;&gt;"",EP14&lt;&gt;"",EQ14&lt;&gt;"",ER14&lt;&gt;"",ES14&lt;&gt;"",ET14&lt;&gt;"",EU14&lt;&gt;"")</formula>
    </cfRule>
  </conditionalFormatting>
  <conditionalFormatting sqref="B87">
    <cfRule type="expression" dxfId="341" priority="1">
      <formula>$FN87</formula>
    </cfRule>
  </conditionalFormatting>
  <conditionalFormatting sqref="GA14:GB45">
    <cfRule type="expression" dxfId="340" priority="104" stopIfTrue="1">
      <formula xml:space="preserve"> $GM14 &gt;= 0.125</formula>
    </cfRule>
  </conditionalFormatting>
  <dataValidations count="21">
    <dataValidation type="decimal" allowBlank="1" showInputMessage="1" showErrorMessage="1" error="Load must be blank or a number." sqref="DO14:DO45" xr:uid="{E6760D50-1736-4821-9B06-DA0C7310B67B}">
      <formula1>0</formula1>
      <formula2>99</formula2>
    </dataValidation>
    <dataValidation type="whole" operator="greaterThan" allowBlank="1" showInputMessage="1" showErrorMessage="1" errorTitle="Quantity Error" error="Value must be an integer greater than -1000." sqref="B14:B45 CC14:CC45" xr:uid="{444B745A-EA18-4420-A4CE-4D477AC02C14}">
      <formula1>-1001</formula1>
    </dataValidation>
    <dataValidation type="whole" operator="notBetween" allowBlank="1" showInputMessage="1" showErrorMessage="1" sqref="B87" xr:uid="{E7CCC99C-7FE2-4D21-9FC4-8558244C4174}">
      <formula1>-10001</formula1>
      <formula2>-10000</formula2>
    </dataValidation>
    <dataValidation type="decimal" operator="greaterThan" allowBlank="1" showInputMessage="1" showErrorMessage="1" errorTitle="Input Error" error="Positive Numeric Values Only!" sqref="CP14:CP45 CZ14:CZ45" xr:uid="{FAED1BC9-1912-453D-A7C6-783F0040ED38}">
      <formula1>0</formula1>
    </dataValidation>
    <dataValidation type="decimal" allowBlank="1" showInputMessage="1" showErrorMessage="1" errorTitle="Input Error" error="Numbers from 0&quot; to 11 7/8&quot; only!" sqref="GB15" xr:uid="{60C5CDE8-CB8C-4B25-BB1D-0DE2F280E77B}">
      <formula1>0</formula1>
      <formula2>11.875</formula2>
    </dataValidation>
    <dataValidation type="decimal" allowBlank="1" showInputMessage="1" showErrorMessage="1" errorTitle="Input Error" error="Positive numbers from 0&quot; to 11 7/8&quot; only!" sqref="GB14 GB16:GB45 GB48" xr:uid="{5677375B-55FF-4057-B3DE-2496DD5CF336}">
      <formula1>0</formula1>
      <formula2>11.875</formula2>
    </dataValidation>
    <dataValidation type="whole" operator="greaterThanOrEqual" allowBlank="1" showInputMessage="1" showErrorMessage="1" errorTitle="Input Error" error="Positive Integers Only!" sqref="GA14:GA45 GA48" xr:uid="{BEE832FE-B133-4376-8C53-048596B6C79F}">
      <formula1>0</formula1>
    </dataValidation>
    <dataValidation type="decimal" allowBlank="1" showInputMessage="1" showErrorMessage="1" errorTitle="Input Error" error="Numeric Values Only!" sqref="GC14:GD45 GC48:GD48 CN14:CN45 CX14:CX45" xr:uid="{58807841-632F-443D-8706-2D7B49F1CA68}">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9EF0E420-4C7C-46C9-BAAB-E44E8CD0DAE3}">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DC54B724-EA3E-4C6F-A55D-D2FC149F78B5}">
      <formula1>9</formula1>
      <formula2>17</formula2>
    </dataValidation>
    <dataValidation type="decimal" operator="greaterThanOrEqual" allowBlank="1" showInputMessage="1" showErrorMessage="1" errorTitle="Input Error" error="Enter a numeric value greater than 1/2&quot;." sqref="AP14:AQ45" xr:uid="{C1132694-DA34-43C6-ABFA-22A263F730B4}">
      <formula1>0.75</formula1>
    </dataValidation>
    <dataValidation type="decimal" operator="lessThanOrEqual" allowBlank="1" showInputMessage="1" showErrorMessage="1" errorTitle="BL Over-Ride Error!" error="Base Length can't be past Girder Overall Length!  See section for Maximum Over-Ride Dimension." sqref="CO14:CO45" xr:uid="{05CDE350-69D2-4064-B641-57026C1FA46E}">
      <formula1>$CD54</formula1>
    </dataValidation>
    <dataValidation type="decimal" operator="lessThanOrEqual" allowBlank="1" showInputMessage="1" showErrorMessage="1" errorTitle="BL Over-Ride Error!" error="Base Length can't be past Girder Overall Length!  See section for Maximum Over-Ride Dimension." sqref="CY14:CY45" xr:uid="{A950F76F-2618-4B07-89C6-8DC90EA75BE5}">
      <formula1>$CM54</formula1>
    </dataValidation>
    <dataValidation type="decimal" operator="greaterThan" allowBlank="1" showInputMessage="1" showErrorMessage="1" errorTitle="Dimensional Error" error="Only positive numeric values permitted here." sqref="M14:N45 M87:N87" xr:uid="{8C531A03-DCCC-4322-BFB3-E518AD202388}">
      <formula1>0</formula1>
    </dataValidation>
    <dataValidation type="decimal" operator="notEqual" allowBlank="1" showInputMessage="1" showErrorMessage="1" errorTitle="Input Error" error="Enter + or - Numbers Only._x000a_Do NOT use &quot;&lt;&quot; or &quot;&gt;&quot;." sqref="X14:Y45 X87:Y87" xr:uid="{B82152FA-A612-4D0C-9069-B5BC025E8457}">
      <formula1>0</formula1>
    </dataValidation>
    <dataValidation type="decimal" operator="greaterThanOrEqual" allowBlank="1" showInputMessage="1" showErrorMessage="1" errorTitle="Dimensional Error" error="&quot;Inches&quot; must be a number." sqref="CH14:CK45 CR14:CU45" xr:uid="{D31DA2F0-6753-45D6-B06C-D8DB2DF7EE0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1AC40AC8-D5E8-410C-BFB5-6E0CD3AE2213}">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3333E8C-0F31-4188-9CCC-A94B2D47B626}">
      <formula1>IF(ISERROR(INT(AR14)),AR14="P",INT(AR14)=AR14)</formula1>
    </dataValidation>
    <dataValidation type="whole" operator="greaterThanOrEqual" allowBlank="1" showErrorMessage="1" errorTitle="Error" error="&quot;Number of Panels&quot; can only be whole numbers." sqref="DL14:DL45 AF87 AF14:AF45" xr:uid="{8D16CD5E-8E17-4B6A-AC90-360F7E4AF6D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5337709-7DD0-4677-ADD3-B224A4E751CE}">
      <formula1>0</formula1>
    </dataValidation>
    <dataValidation type="list" allowBlank="1" showInputMessage="1" sqref="M7:S7 DA4:DB4" xr:uid="{6C3547B2-6552-45F1-A888-6DF622C2266B}">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205</vt:i4>
      </vt:variant>
    </vt:vector>
  </HeadingPairs>
  <TitlesOfParts>
    <vt:vector size="278"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C (2)</vt:lpstr>
      <vt:lpstr>P (1)</vt:lpstr>
      <vt:lpstr>N (1)</vt:lpstr>
      <vt:lpstr>L (1)</vt:lpstr>
      <vt:lpstr>L (2)</vt:lpstr>
      <vt:lpstr>L (3)</vt:lpstr>
      <vt:lpstr>L (4)</vt:lpstr>
      <vt:lpstr>L (5)</vt:lpstr>
      <vt:lpstr>L (6)</vt:lpstr>
      <vt:lpstr>L (7)</vt:lpstr>
      <vt:lpstr>L (8)</vt:lpstr>
      <vt:lpstr>L (9)</vt:lpstr>
      <vt:lpstr>L (10)</vt:lpstr>
      <vt:lpstr>L (11)</vt:lpstr>
      <vt:lpstr>L (12)</vt:lpstr>
      <vt:lpstr>L (13)</vt:lpstr>
      <vt:lpstr>L (14)</vt:lpstr>
      <vt:lpstr>L (15)</vt:lpstr>
      <vt:lpstr>L (16)</vt:lpstr>
      <vt:lpstr>L (17)</vt:lpstr>
      <vt:lpstr>L (18)</vt:lpstr>
      <vt:lpstr>L (19)</vt:lpstr>
      <vt:lpstr>L (20)</vt:lpstr>
      <vt:lpstr>L (21)</vt:lpstr>
      <vt:lpstr>L (22)</vt:lpstr>
      <vt:lpstr>L (23)</vt:lpstr>
      <vt:lpstr>L (24)</vt:lpstr>
      <vt:lpstr>L (25)</vt:lpstr>
      <vt:lpstr>L (26)</vt:lpstr>
      <vt:lpstr>L (27)</vt:lpstr>
      <vt:lpstr>L (28)</vt:lpstr>
      <vt:lpstr>L (29)</vt:lpstr>
      <vt:lpstr>L (30)</vt:lpstr>
      <vt:lpstr>L (31)</vt:lpstr>
      <vt:lpstr>L (32)</vt:lpstr>
      <vt:lpstr>L (33)</vt:lpstr>
      <vt:lpstr>L (34)</vt:lpstr>
      <vt:lpstr>L (35)</vt:lpstr>
      <vt:lpstr>L (36)</vt:lpstr>
      <vt:lpstr>L (37)</vt:lpstr>
      <vt:lpstr>L (38)</vt:lpstr>
      <vt:lpstr>K (1)</vt:lpstr>
      <vt:lpstr>S (1)</vt:lpstr>
      <vt:lpstr>S (2)</vt:lpstr>
      <vt:lpstr>S (3)</vt:lpstr>
      <vt:lpstr>S (4)</vt:lpstr>
      <vt:lpstr>S (5)</vt:lpstr>
      <vt:lpstr>S (6)</vt:lpstr>
      <vt:lpstr>S (7)</vt:lpstr>
      <vt:lpstr>G (1)</vt:lpstr>
      <vt:lpstr>G (2)</vt:lpstr>
      <vt:lpstr>G (3)</vt:lpstr>
      <vt:lpstr>G (4)</vt:lpstr>
      <vt:lpstr>'C (1)'!masterFinishList</vt:lpstr>
      <vt:lpstr>'C (2)'!masterFinishList</vt:lpstr>
      <vt:lpstr>'G (1)'!masterFinishList</vt:lpstr>
      <vt:lpstr>'G (2)'!masterFinishList</vt:lpstr>
      <vt:lpstr>'G (3)'!masterFinishList</vt:lpstr>
      <vt:lpstr>'G (4)'!masterFinishList</vt:lpstr>
      <vt:lpstr>'K (1)'!masterFinishList</vt:lpstr>
      <vt:lpstr>'L (1)'!masterFinishList</vt:lpstr>
      <vt:lpstr>'L (10)'!masterFinishList</vt:lpstr>
      <vt:lpstr>'L (11)'!masterFinishList</vt:lpstr>
      <vt:lpstr>'L (12)'!masterFinishList</vt:lpstr>
      <vt:lpstr>'L (13)'!masterFinishList</vt:lpstr>
      <vt:lpstr>'L (14)'!masterFinishList</vt:lpstr>
      <vt:lpstr>'L (15)'!masterFinishList</vt:lpstr>
      <vt:lpstr>'L (16)'!masterFinishList</vt:lpstr>
      <vt:lpstr>'L (17)'!masterFinishList</vt:lpstr>
      <vt:lpstr>'L (18)'!masterFinishList</vt:lpstr>
      <vt:lpstr>'L (19)'!masterFinishList</vt:lpstr>
      <vt:lpstr>'L (2)'!masterFinishList</vt:lpstr>
      <vt:lpstr>'L (20)'!masterFinishList</vt:lpstr>
      <vt:lpstr>'L (21)'!masterFinishList</vt:lpstr>
      <vt:lpstr>'L (22)'!masterFinishList</vt:lpstr>
      <vt:lpstr>'L (23)'!masterFinishList</vt:lpstr>
      <vt:lpstr>'L (24)'!masterFinishList</vt:lpstr>
      <vt:lpstr>'L (25)'!masterFinishList</vt:lpstr>
      <vt:lpstr>'L (26)'!masterFinishList</vt:lpstr>
      <vt:lpstr>'L (27)'!masterFinishList</vt:lpstr>
      <vt:lpstr>'L (28)'!masterFinishList</vt:lpstr>
      <vt:lpstr>'L (29)'!masterFinishList</vt:lpstr>
      <vt:lpstr>'L (3)'!masterFinishList</vt:lpstr>
      <vt:lpstr>'L (30)'!masterFinishList</vt:lpstr>
      <vt:lpstr>'L (31)'!masterFinishList</vt:lpstr>
      <vt:lpstr>'L (32)'!masterFinishList</vt:lpstr>
      <vt:lpstr>'L (33)'!masterFinishList</vt:lpstr>
      <vt:lpstr>'L (34)'!masterFinishList</vt:lpstr>
      <vt:lpstr>'L (35)'!masterFinishList</vt:lpstr>
      <vt:lpstr>'L (36)'!masterFinishList</vt:lpstr>
      <vt:lpstr>'L (37)'!masterFinishList</vt:lpstr>
      <vt:lpstr>'L (38)'!masterFinishList</vt:lpstr>
      <vt:lpstr>'L (4)'!masterFinishList</vt:lpstr>
      <vt:lpstr>'L (5)'!masterFinishList</vt:lpstr>
      <vt:lpstr>'L (6)'!masterFinishList</vt:lpstr>
      <vt:lpstr>'L (7)'!masterFinishList</vt:lpstr>
      <vt:lpstr>'L (8)'!masterFinishList</vt:lpstr>
      <vt:lpstr>'L (9)'!masterFinishList</vt:lpstr>
      <vt:lpstr>'N (1)'!masterFinishList</vt:lpstr>
      <vt:lpstr>'P (1)'!masterFinishList</vt:lpstr>
      <vt:lpstr>'S (1)'!masterFinishList</vt:lpstr>
      <vt:lpstr>'S (2)'!masterFinishList</vt:lpstr>
      <vt:lpstr>'S (3)'!masterFinishList</vt:lpstr>
      <vt:lpstr>'S (4)'!masterFinishList</vt:lpstr>
      <vt:lpstr>'S (5)'!masterFinishList</vt:lpstr>
      <vt:lpstr>'S (6)'!masterFinishList</vt:lpstr>
      <vt:lpstr>'S (7)'!masterFinishList</vt:lpstr>
      <vt:lpstr>masterFinishList</vt:lpstr>
      <vt:lpstr>'L (1)'!Pos</vt:lpstr>
      <vt:lpstr>'L (10)'!Pos</vt:lpstr>
      <vt:lpstr>'L (11)'!Pos</vt:lpstr>
      <vt:lpstr>'L (12)'!Pos</vt:lpstr>
      <vt:lpstr>'L (13)'!Pos</vt:lpstr>
      <vt:lpstr>'L (14)'!Pos</vt:lpstr>
      <vt:lpstr>'L (15)'!Pos</vt:lpstr>
      <vt:lpstr>'L (16)'!Pos</vt:lpstr>
      <vt:lpstr>'L (17)'!Pos</vt:lpstr>
      <vt:lpstr>'L (18)'!Pos</vt:lpstr>
      <vt:lpstr>'L (19)'!Pos</vt:lpstr>
      <vt:lpstr>'L (2)'!Pos</vt:lpstr>
      <vt:lpstr>'L (20)'!Pos</vt:lpstr>
      <vt:lpstr>'L (21)'!Pos</vt:lpstr>
      <vt:lpstr>'L (22)'!Pos</vt:lpstr>
      <vt:lpstr>'L (23)'!Pos</vt:lpstr>
      <vt:lpstr>'L (24)'!Pos</vt:lpstr>
      <vt:lpstr>'L (25)'!Pos</vt:lpstr>
      <vt:lpstr>'L (26)'!Pos</vt:lpstr>
      <vt:lpstr>'L (27)'!Pos</vt:lpstr>
      <vt:lpstr>'L (28)'!Pos</vt:lpstr>
      <vt:lpstr>'L (29)'!Pos</vt:lpstr>
      <vt:lpstr>'L (3)'!Pos</vt:lpstr>
      <vt:lpstr>'L (30)'!Pos</vt:lpstr>
      <vt:lpstr>'L (31)'!Pos</vt:lpstr>
      <vt:lpstr>'L (32)'!Pos</vt:lpstr>
      <vt:lpstr>'L (33)'!Pos</vt:lpstr>
      <vt:lpstr>'L (34)'!Pos</vt:lpstr>
      <vt:lpstr>'L (35)'!Pos</vt:lpstr>
      <vt:lpstr>'L (36)'!Pos</vt:lpstr>
      <vt:lpstr>'L (37)'!Pos</vt:lpstr>
      <vt:lpstr>'L (38)'!Pos</vt:lpstr>
      <vt:lpstr>'L (4)'!Pos</vt:lpstr>
      <vt:lpstr>'L (5)'!Pos</vt:lpstr>
      <vt:lpstr>'L (6)'!Pos</vt:lpstr>
      <vt:lpstr>'L (7)'!Pos</vt:lpstr>
      <vt:lpstr>'L (8)'!Pos</vt:lpstr>
      <vt:lpstr>'L (9)'!Pos</vt:lpstr>
      <vt:lpstr>Pos</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 (4)'!Print_Area</vt:lpstr>
      <vt:lpstr>G_A!Print_Area</vt:lpstr>
      <vt:lpstr>G_B!Print_Area</vt:lpstr>
      <vt:lpstr>J_A!Print_Area</vt:lpstr>
      <vt:lpstr>J_B!Print_Area</vt:lpstr>
      <vt:lpstr>'Job Info.'!Print_Area</vt:lpstr>
      <vt:lpstr>'K (1)'!Print_Area</vt:lpstr>
      <vt:lpstr>K_A!Print_Area</vt:lpstr>
      <vt:lpstr>'L (1)'!Print_Area</vt:lpstr>
      <vt:lpstr>'L (10)'!Print_Area</vt:lpstr>
      <vt:lpstr>'L (11)'!Print_Area</vt:lpstr>
      <vt:lpstr>'L (12)'!Print_Area</vt:lpstr>
      <vt:lpstr>'L (13)'!Print_Area</vt:lpstr>
      <vt:lpstr>'L (14)'!Print_Area</vt:lpstr>
      <vt:lpstr>'L (15)'!Print_Area</vt:lpstr>
      <vt:lpstr>'L (16)'!Print_Area</vt:lpstr>
      <vt:lpstr>'L (17)'!Print_Area</vt:lpstr>
      <vt:lpstr>'L (18)'!Print_Area</vt:lpstr>
      <vt:lpstr>'L (19)'!Print_Area</vt:lpstr>
      <vt:lpstr>'L (2)'!Print_Area</vt:lpstr>
      <vt:lpstr>'L (20)'!Print_Area</vt:lpstr>
      <vt:lpstr>'L (21)'!Print_Area</vt:lpstr>
      <vt:lpstr>'L (22)'!Print_Area</vt:lpstr>
      <vt:lpstr>'L (23)'!Print_Area</vt:lpstr>
      <vt:lpstr>'L (24)'!Print_Area</vt:lpstr>
      <vt:lpstr>'L (25)'!Print_Area</vt:lpstr>
      <vt:lpstr>'L (26)'!Print_Area</vt:lpstr>
      <vt:lpstr>'L (27)'!Print_Area</vt:lpstr>
      <vt:lpstr>'L (28)'!Print_Area</vt:lpstr>
      <vt:lpstr>'L (29)'!Print_Area</vt:lpstr>
      <vt:lpstr>'L (3)'!Print_Area</vt:lpstr>
      <vt:lpstr>'L (30)'!Print_Area</vt:lpstr>
      <vt:lpstr>'L (31)'!Print_Area</vt:lpstr>
      <vt:lpstr>'L (32)'!Print_Area</vt:lpstr>
      <vt:lpstr>'L (33)'!Print_Area</vt:lpstr>
      <vt:lpstr>'L (34)'!Print_Area</vt:lpstr>
      <vt:lpstr>'L (35)'!Print_Area</vt:lpstr>
      <vt:lpstr>'L (36)'!Print_Area</vt:lpstr>
      <vt:lpstr>'L (37)'!Print_Area</vt:lpstr>
      <vt:lpstr>'L (38)'!Print_Area</vt:lpstr>
      <vt:lpstr>'L (4)'!Print_Area</vt:lpstr>
      <vt:lpstr>'L (5)'!Print_Area</vt:lpstr>
      <vt:lpstr>'L (6)'!Print_Area</vt:lpstr>
      <vt:lpstr>'L (7)'!Print_Area</vt:lpstr>
      <vt:lpstr>'L (8)'!Print_Area</vt:lpstr>
      <vt:lpstr>'L (9)'!Print_Area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 (5)'!Print_Area</vt:lpstr>
      <vt:lpstr>'S (6)'!Print_Area</vt:lpstr>
      <vt:lpstr>'S (7)'!Print_Area</vt:lpstr>
      <vt:lpstr>S_A!Print_Area</vt:lpstr>
      <vt:lpstr>SectInfo!Print_Area</vt:lpstr>
      <vt:lpstr>J_A!Print_Titles</vt:lpstr>
      <vt:lpstr>SectInfo!Print_Titles</vt:lpstr>
      <vt:lpstr>'L (1)'!Type</vt:lpstr>
      <vt:lpstr>'L (10)'!Type</vt:lpstr>
      <vt:lpstr>'L (11)'!Type</vt:lpstr>
      <vt:lpstr>'L (12)'!Type</vt:lpstr>
      <vt:lpstr>'L (13)'!Type</vt:lpstr>
      <vt:lpstr>'L (14)'!Type</vt:lpstr>
      <vt:lpstr>'L (15)'!Type</vt:lpstr>
      <vt:lpstr>'L (16)'!Type</vt:lpstr>
      <vt:lpstr>'L (17)'!Type</vt:lpstr>
      <vt:lpstr>'L (18)'!Type</vt:lpstr>
      <vt:lpstr>'L (19)'!Type</vt:lpstr>
      <vt:lpstr>'L (2)'!Type</vt:lpstr>
      <vt:lpstr>'L (20)'!Type</vt:lpstr>
      <vt:lpstr>'L (21)'!Type</vt:lpstr>
      <vt:lpstr>'L (22)'!Type</vt:lpstr>
      <vt:lpstr>'L (23)'!Type</vt:lpstr>
      <vt:lpstr>'L (24)'!Type</vt:lpstr>
      <vt:lpstr>'L (25)'!Type</vt:lpstr>
      <vt:lpstr>'L (26)'!Type</vt:lpstr>
      <vt:lpstr>'L (27)'!Type</vt:lpstr>
      <vt:lpstr>'L (28)'!Type</vt:lpstr>
      <vt:lpstr>'L (29)'!Type</vt:lpstr>
      <vt:lpstr>'L (3)'!Type</vt:lpstr>
      <vt:lpstr>'L (30)'!Type</vt:lpstr>
      <vt:lpstr>'L (31)'!Type</vt:lpstr>
      <vt:lpstr>'L (32)'!Type</vt:lpstr>
      <vt:lpstr>'L (33)'!Type</vt:lpstr>
      <vt:lpstr>'L (34)'!Type</vt:lpstr>
      <vt:lpstr>'L (35)'!Type</vt:lpstr>
      <vt:lpstr>'L (36)'!Type</vt:lpstr>
      <vt:lpstr>'L (37)'!Type</vt:lpstr>
      <vt:lpstr>'L (38)'!Type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2023-05-12T13:28:44Z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